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20C52D6-F903-4275-BC60-24C85D49A96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Posting!$A$1:$P$19179</definedName>
    <definedName name="_xlnm._FilterDatabase" localSheetId="5" hidden="1">Supplier!$A$1:$XFC$3703</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60" r:id="rId28"/>
    <pivotCache cacheId="67" r:id="rId29"/>
  </pivotCaches>
</workbook>
</file>

<file path=xl/calcChain.xml><?xml version="1.0" encoding="utf-8"?>
<calcChain xmlns="http://schemas.openxmlformats.org/spreadsheetml/2006/main">
  <c r="G19180" i="1" l="1"/>
  <c r="G3705" i="2"/>
  <c r="G3704" i="2"/>
  <c r="G3700" i="2"/>
  <c r="G3698" i="2"/>
  <c r="G19156" i="1"/>
  <c r="G19157" i="1"/>
  <c r="G19158" i="1"/>
  <c r="G19159" i="1"/>
  <c r="G19160" i="1"/>
  <c r="G19154" i="1"/>
  <c r="G19153" i="1"/>
  <c r="G19152" i="1"/>
  <c r="G19151" i="1"/>
  <c r="G19147" i="1"/>
  <c r="G19146" i="1"/>
  <c r="G19133" i="1"/>
  <c r="G19134" i="1"/>
  <c r="G19135" i="1"/>
  <c r="G19136" i="1"/>
  <c r="G19137" i="1"/>
  <c r="G19138" i="1"/>
  <c r="G19139" i="1"/>
  <c r="G19140" i="1"/>
  <c r="G19141" i="1"/>
  <c r="G19142" i="1"/>
  <c r="G19143" i="1"/>
  <c r="G19144" i="1"/>
  <c r="G19145" i="1"/>
  <c r="G19148" i="1"/>
  <c r="G19149" i="1"/>
  <c r="G19150" i="1"/>
  <c r="G19155" i="1"/>
  <c r="G19171" i="1" l="1"/>
  <c r="G19003" i="1"/>
  <c r="G19132" i="1"/>
  <c r="G19130" i="1"/>
  <c r="G19127" i="1"/>
  <c r="G19121" i="1"/>
  <c r="G19126" i="1"/>
  <c r="G19128" i="1"/>
  <c r="G19129" i="1"/>
  <c r="G19125" i="1"/>
  <c r="G19124" i="1"/>
  <c r="G19123" i="1"/>
  <c r="G19122" i="1"/>
  <c r="G19120" i="1"/>
  <c r="G19119" i="1"/>
  <c r="G19118" i="1"/>
  <c r="G19117" i="1"/>
  <c r="G19116" i="1"/>
  <c r="G19115" i="1"/>
  <c r="G19114" i="1"/>
  <c r="G19131" i="1"/>
  <c r="G19100" i="1"/>
  <c r="G19101" i="1"/>
  <c r="G19102" i="1"/>
  <c r="G19103" i="1"/>
  <c r="G19104" i="1"/>
  <c r="G19105" i="1"/>
  <c r="G19106" i="1"/>
  <c r="G19107" i="1"/>
  <c r="G19108" i="1"/>
  <c r="G19109" i="1"/>
  <c r="G19110" i="1"/>
  <c r="G19111" i="1"/>
  <c r="G19112" i="1"/>
  <c r="G19113" i="1"/>
  <c r="G19093" i="1"/>
  <c r="G19096" i="1"/>
  <c r="G19097" i="1"/>
  <c r="G19098" i="1"/>
  <c r="G19099" i="1"/>
  <c r="G19095" i="1"/>
  <c r="G3703" i="2"/>
  <c r="G19094" i="1"/>
  <c r="G3702" i="2"/>
  <c r="G19179" i="1"/>
  <c r="G19178" i="1" l="1"/>
  <c r="G19177" i="1" l="1"/>
  <c r="G19176" i="1"/>
  <c r="G19087" i="1"/>
  <c r="G19088" i="1"/>
  <c r="G19089" i="1"/>
  <c r="G19090" i="1"/>
  <c r="G19091" i="1"/>
  <c r="G19092" i="1"/>
  <c r="G19086" i="1"/>
  <c r="G19085" i="1"/>
  <c r="G3701" i="2"/>
  <c r="G3696" i="2"/>
  <c r="G3686" i="2"/>
  <c r="G3679" i="2"/>
  <c r="G3699" i="2" l="1"/>
  <c r="G3697" i="2"/>
  <c r="G3695" i="2"/>
  <c r="G18964" i="1"/>
  <c r="G18891" i="1"/>
  <c r="G19053" i="1"/>
  <c r="G19084" i="1"/>
  <c r="G19062" i="1"/>
  <c r="G19077" i="1"/>
  <c r="G19078" i="1"/>
  <c r="G19079" i="1"/>
  <c r="G19080" i="1"/>
  <c r="G19081" i="1"/>
  <c r="G19082" i="1"/>
  <c r="G19083" i="1"/>
  <c r="G19175" i="1"/>
  <c r="G19174" i="1" l="1"/>
  <c r="G19172" i="1"/>
  <c r="G19173" i="1"/>
  <c r="G19074" i="1" l="1"/>
  <c r="G19075" i="1"/>
  <c r="G19076" i="1"/>
  <c r="G19170" i="1" l="1"/>
  <c r="G19169" i="1"/>
  <c r="G19168" i="1"/>
  <c r="G19167" i="1"/>
  <c r="G19023" i="1"/>
  <c r="G19024" i="1"/>
  <c r="G19025" i="1"/>
  <c r="G19022" i="1"/>
  <c r="G19064" i="1"/>
  <c r="G19065" i="1"/>
  <c r="G19161" i="1"/>
  <c r="G19026" i="1" l="1"/>
  <c r="G19027" i="1"/>
  <c r="G19066" i="1"/>
  <c r="G19067" i="1"/>
  <c r="G19021" i="1"/>
  <c r="G19068" i="1"/>
  <c r="G19069" i="1"/>
  <c r="G19070" i="1"/>
  <c r="G19028" i="1"/>
  <c r="G19029" i="1"/>
  <c r="G19030" i="1"/>
  <c r="G19071" i="1"/>
  <c r="G19072" i="1"/>
  <c r="G19073" i="1"/>
  <c r="G19063" i="1" l="1"/>
  <c r="G19061" i="1"/>
  <c r="G19060" i="1"/>
  <c r="G19059" i="1"/>
  <c r="G19018" i="1"/>
  <c r="G19056" i="1"/>
  <c r="G19057" i="1"/>
  <c r="G19058" i="1"/>
  <c r="G19019" i="1"/>
  <c r="G19020" i="1"/>
  <c r="G19033" i="1"/>
  <c r="C16" i="3"/>
  <c r="B16" i="3"/>
  <c r="C15" i="3"/>
  <c r="G19164" i="1"/>
  <c r="G19165" i="1"/>
  <c r="G19166" i="1"/>
  <c r="G3690" i="2" l="1"/>
  <c r="G3692" i="2"/>
  <c r="G19055" i="1"/>
  <c r="G19031" i="1"/>
  <c r="G19054" i="1"/>
  <c r="G19052" i="1"/>
  <c r="G19051" i="1"/>
  <c r="G19050" i="1"/>
  <c r="G19049" i="1"/>
  <c r="G19048" i="1"/>
  <c r="G19047" i="1"/>
  <c r="G19046" i="1"/>
  <c r="G19045" i="1"/>
  <c r="G19044" i="1"/>
  <c r="G19012" i="1"/>
  <c r="G19013" i="1"/>
  <c r="G19011" i="1"/>
  <c r="G19010" i="1"/>
  <c r="G19014" i="1"/>
  <c r="G19015" i="1"/>
  <c r="G19032" i="1"/>
  <c r="G19034" i="1"/>
  <c r="G19035" i="1"/>
  <c r="G19036" i="1"/>
  <c r="G19037" i="1"/>
  <c r="G19038" i="1"/>
  <c r="G19039" i="1"/>
  <c r="G19040" i="1"/>
  <c r="G19041" i="1"/>
  <c r="G19016" i="1"/>
  <c r="G19042" i="1"/>
  <c r="G19043" i="1"/>
  <c r="G19017" i="1"/>
  <c r="G18967" i="1"/>
  <c r="G18968" i="1"/>
  <c r="G18969" i="1"/>
  <c r="G18970" i="1"/>
  <c r="G18971" i="1"/>
  <c r="G18966" i="1"/>
  <c r="G19162" i="1"/>
  <c r="G19163" i="1"/>
  <c r="G18987" i="1"/>
  <c r="G18980" i="1"/>
  <c r="G18979" i="1"/>
  <c r="G18981" i="1"/>
  <c r="G18982" i="1"/>
  <c r="G18983" i="1"/>
  <c r="G18984" i="1"/>
  <c r="G18985" i="1"/>
  <c r="G18986" i="1"/>
  <c r="G18953" i="1"/>
  <c r="G19008" i="1"/>
  <c r="G19009" i="1" l="1"/>
  <c r="G18976" i="1"/>
  <c r="G18977" i="1"/>
  <c r="G18978" i="1"/>
  <c r="G18974" i="1" l="1"/>
  <c r="G18973" i="1"/>
  <c r="G18940" i="1" l="1"/>
  <c r="G18975" i="1"/>
  <c r="G18972" i="1"/>
  <c r="G18965" i="1" l="1"/>
  <c r="G18963" i="1" l="1"/>
  <c r="G3694" i="2"/>
  <c r="G3693" i="2"/>
  <c r="G18962" i="1"/>
  <c r="G18961" i="1"/>
  <c r="G18958" i="1"/>
  <c r="G18957" i="1"/>
  <c r="G18956" i="1" l="1"/>
  <c r="G18955" i="1"/>
  <c r="G18954" i="1"/>
  <c r="G18952" i="1"/>
  <c r="G18951" i="1"/>
  <c r="G18950" i="1"/>
  <c r="G18959" i="1"/>
  <c r="G18960" i="1"/>
  <c r="G18946" i="1"/>
  <c r="G18947" i="1"/>
  <c r="G18948" i="1"/>
  <c r="G18949" i="1"/>
  <c r="G18941" i="1"/>
  <c r="G18942" i="1"/>
  <c r="G18943" i="1"/>
  <c r="G18944" i="1"/>
  <c r="G18945" i="1"/>
  <c r="G18999" i="1"/>
  <c r="G3691" i="2"/>
  <c r="G18996" i="1"/>
  <c r="G19007" i="1"/>
  <c r="G18939" i="1"/>
  <c r="G18938" i="1"/>
  <c r="G18937" i="1"/>
  <c r="G18936" i="1"/>
  <c r="G18925" i="1"/>
  <c r="G18926" i="1"/>
  <c r="G18927" i="1"/>
  <c r="G18928" i="1"/>
  <c r="G18929" i="1"/>
  <c r="G18930" i="1"/>
  <c r="G18931" i="1"/>
  <c r="G18932" i="1"/>
  <c r="G18933" i="1"/>
  <c r="G18934" i="1"/>
  <c r="G18935" i="1"/>
  <c r="G3682" i="2" l="1"/>
  <c r="G3681" i="2"/>
  <c r="G3680" i="2"/>
  <c r="G3689" i="2"/>
  <c r="G3688" i="2"/>
  <c r="G3685" i="2"/>
  <c r="G3684" i="2"/>
  <c r="G18915" i="1"/>
  <c r="G18911" i="1"/>
  <c r="G18912" i="1"/>
  <c r="G18913" i="1"/>
  <c r="G18914" i="1"/>
  <c r="G18924" i="1"/>
  <c r="G18923" i="1"/>
  <c r="G18922" i="1"/>
  <c r="E18921" i="1"/>
  <c r="G18920" i="1"/>
  <c r="G18919" i="1"/>
  <c r="G3687" i="2"/>
  <c r="G18918" i="1"/>
  <c r="G18917" i="1"/>
  <c r="G18921" i="1" l="1"/>
  <c r="B15" i="3"/>
  <c r="G3683" i="2"/>
  <c r="G18916" i="1"/>
  <c r="G18910" i="1"/>
  <c r="G18903" i="1"/>
  <c r="G18904" i="1"/>
  <c r="G18905" i="1"/>
  <c r="G18906" i="1"/>
  <c r="G18907" i="1"/>
  <c r="G18908" i="1"/>
  <c r="G18909" i="1"/>
  <c r="G18902" i="1"/>
  <c r="G18901" i="1"/>
  <c r="G19006" i="1"/>
  <c r="G18897" i="1"/>
  <c r="G18898" i="1"/>
  <c r="G18899" i="1"/>
  <c r="G18900" i="1"/>
  <c r="G18895" i="1"/>
  <c r="G18896" i="1"/>
  <c r="G18894" i="1"/>
  <c r="G18893" i="1"/>
  <c r="G18892"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5" i="1" l="1"/>
  <c r="G18994" i="1"/>
  <c r="G18993"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92" i="1" l="1"/>
  <c r="G19005" i="1"/>
  <c r="G19004" i="1"/>
  <c r="G19002" i="1"/>
  <c r="G19001" i="1"/>
  <c r="G18847" i="1" l="1"/>
  <c r="G18846" i="1"/>
  <c r="G18844" i="1"/>
  <c r="G18843" i="1"/>
  <c r="G18839" i="1"/>
  <c r="G18840" i="1"/>
  <c r="G18841" i="1"/>
  <c r="G18842" i="1"/>
  <c r="G18838" i="1"/>
  <c r="G18837" i="1"/>
  <c r="G18836" i="1"/>
  <c r="G18835" i="1"/>
  <c r="G18823" i="1"/>
  <c r="G19000"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98"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91" i="1"/>
  <c r="G18997" i="1"/>
  <c r="G18990" i="1"/>
  <c r="G18989" i="1"/>
  <c r="G18988"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<sst xmlns="http://schemas.openxmlformats.org/spreadsheetml/2006/main" count="86823" uniqueCount="12931">
  <si>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</si>
  <si>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</si>
  <si>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</si>
  <si>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</si>
  <si>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</si>
  <si>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</si>
  <si>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</si>
  <si>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</si>
  <si>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</si>
  <si>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</si>
  <si>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</si>
  <si>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</si>
  <si>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</si>
  <si>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</si>
  <si>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</si>
  <si>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</si>
  <si>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</si>
  <si>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</si>
  <si>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</si>
  <si>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</si>
  <si>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</si>
  <si>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</si>
  <si>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</si>
  <si>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</si>
  <si>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</si>
  <si>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</si>
  <si>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</si>
  <si>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</si>
  <si>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</si>
  <si>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</si>
  <si>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</si>
  <si>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</si>
  <si>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</si>
  <si>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</si>
  <si>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</si>
  <si>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</si>
  <si>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</si>
  <si>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</si>
  <si>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</si>
  <si>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</si>
  <si>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</si>
  <si>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</si>
  <si>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</si>
  <si>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</si>
  <si>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</si>
  <si>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</si>
  <si>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</si>
  <si>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</si>
  <si>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</si>
  <si>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</si>
  <si>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</si>
  <si>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</si>
  <si>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</si>
  <si>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</si>
  <si>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</si>
  <si>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</si>
  <si>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</si>
  <si>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</si>
  <si>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</si>
  <si>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</si>
  <si>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</si>
  <si>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</si>
  <si>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</si>
  <si>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</si>
  <si>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</si>
  <si>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</si>
  <si>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</si>
  <si>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</si>
  <si>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</si>
  <si>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</si>
  <si>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</si>
  <si>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</si>
  <si>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</si>
  <si>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</si>
  <si>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</si>
  <si>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</si>
  <si>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</si>
  <si>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</si>
  <si>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</si>
  <si>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</si>
  <si>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</si>
  <si>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</si>
  <si>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</si>
  <si>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</si>
  <si>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</si>
  <si>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</si>
  <si>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</si>
  <si>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</si>
  <si>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</si>
  <si>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</si>
  <si>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</si>
  <si>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</si>
  <si>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</si>
  <si>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</si>
  <si>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</si>
  <si>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</si>
  <si>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</si>
  <si>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</si>
  <si>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</si>
  <si>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</si>
  <si>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</si>
  <si>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</si>
  <si>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</si>
  <si>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</si>
  <si>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</si>
  <si>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</si>
  <si>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</si>
  <si>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</si>
  <si>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</si>
  <si>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</si>
  <si>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</si>
  <si>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</si>
  <si>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</si>
  <si>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</si>
  <si>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</si>
  <si>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</si>
  <si>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</si>
  <si>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</si>
  <si>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</si>
  <si>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</si>
  <si>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</si>
  <si>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</si>
  <si>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</si>
  <si>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</si>
  <si>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</si>
  <si>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</si>
  <si>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</si>
  <si>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</si>
  <si>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</si>
  <si>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</si>
  <si>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</si>
  <si>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</si>
  <si>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</si>
  <si>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</si>
  <si>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</si>
  <si>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</si>
  <si>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</si>
  <si>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</si>
  <si>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</si>
  <si>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</si>
  <si>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</si>
  <si>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</si>
  <si>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</si>
  <si>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</si>
  <si>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</si>
  <si>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</si>
  <si>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</si>
  <si>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</si>
  <si>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</si>
  <si>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</si>
  <si>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</si>
  <si>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</si>
  <si>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</si>
  <si>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</si>
  <si>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</si>
  <si>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</si>
  <si>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</si>
  <si>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</si>
  <si>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</si>
  <si>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</si>
  <si>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</si>
  <si>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</si>
  <si>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</si>
  <si>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</si>
  <si>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</si>
  <si>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</si>
  <si>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</si>
  <si>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</si>
  <si>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</si>
  <si>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</si>
  <si>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</si>
  <si>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</si>
  <si>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</si>
  <si>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</si>
  <si>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</si>
  <si>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</si>
  <si>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</si>
  <si>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</si>
  <si>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</si>
  <si>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</si>
  <si>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</si>
  <si>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</si>
  <si>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</si>
  <si>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</si>
  <si>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</si>
  <si>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</si>
  <si>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</si>
  <si>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</si>
  <si>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</si>
  <si>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</si>
  <si>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</si>
  <si>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</si>
  <si>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</si>
  <si>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</si>
  <si>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</si>
  <si>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</si>
  <si>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</si>
  <si>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</si>
  <si>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</si>
  <si>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</si>
  <si>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</si>
  <si>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</si>
  <si>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</si>
  <si>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</si>
  <si>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</si>
  <si>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</si>
  <si>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</si>
  <si>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</si>
  <si>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</si>
  <si>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</si>
  <si>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</si>
  <si>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</si>
  <si>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</si>
  <si>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</si>
  <si>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</si>
  <si>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</si>
  <si>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</si>
  <si>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</si>
  <si>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</si>
  <si>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</si>
  <si>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</si>
  <si>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</si>
  <si>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</si>
  <si>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</si>
  <si>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</si>
  <si>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</si>
  <si>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</si>
  <si>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</si>
  <si>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</si>
  <si>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</si>
  <si>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</si>
  <si>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</si>
  <si>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</si>
  <si>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</si>
  <si>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</si>
  <si>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</si>
  <si>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</si>
  <si>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</si>
  <si>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</si>
  <si>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</si>
  <si>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</si>
  <si>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</si>
  <si>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</si>
  <si>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</si>
  <si>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</si>
  <si>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</si>
  <si>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</si>
  <si>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</si>
  <si>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</si>
  <si>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</si>
  <si>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</si>
  <si>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</si>
  <si>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</si>
  <si>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</si>
  <si>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</si>
  <si>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</si>
  <si>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</si>
  <si>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</si>
  <si>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</si>
  <si>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</si>
  <si>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</si>
  <si>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</si>
  <si>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</si>
  <si>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</si>
  <si>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</si>
  <si>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</si>
  <si>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</si>
  <si>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</si>
  <si>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</si>
  <si>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</si>
  <si>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</si>
  <si>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</si>
  <si>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</si>
  <si>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</si>
  <si>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</si>
  <si>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</si>
  <si>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</si>
  <si>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</si>
  <si>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</si>
  <si>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</si>
  <si>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</si>
  <si>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</si>
  <si>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</si>
  <si>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</si>
  <si>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</si>
  <si>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</si>
  <si>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</si>
  <si>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</si>
  <si>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</si>
  <si>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</si>
  <si>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</si>
  <si>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</si>
  <si>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</si>
  <si>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</si>
  <si>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</si>
  <si>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</si>
  <si>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</si>
  <si>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</si>
  <si>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</si>
  <si>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</si>
  <si>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</si>
  <si>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</si>
  <si>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</si>
  <si>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</si>
  <si>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</si>
  <si>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</si>
  <si>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</si>
  <si>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</si>
  <si>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</si>
  <si>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</si>
  <si>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</si>
  <si>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</si>
  <si>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</si>
  <si>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</si>
  <si>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</si>
  <si>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</si>
  <si>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</si>
  <si>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</si>
  <si>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</si>
  <si>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</si>
  <si>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</si>
  <si>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</si>
  <si>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</si>
  <si>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</si>
  <si>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</si>
  <si>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</si>
  <si>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</si>
  <si>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</si>
  <si>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</si>
  <si>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</si>
  <si>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</si>
  <si>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</si>
  <si>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</si>
  <si>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</si>
  <si>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</si>
  <si>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</si>
  <si>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</si>
  <si>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</si>
  <si>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</si>
  <si>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</si>
  <si>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</si>
  <si>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</si>
  <si>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</si>
  <si>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</si>
  <si>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</si>
  <si>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</si>
  <si>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</si>
  <si>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</si>
  <si>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</si>
  <si>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</si>
  <si>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</si>
  <si>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</si>
  <si>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</si>
  <si>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</si>
  <si>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</si>
  <si>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</si>
  <si>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</si>
  <si>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</si>
  <si>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</si>
  <si>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</si>
  <si>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</si>
  <si>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</si>
  <si>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</si>
  <si>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</si>
  <si>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</si>
  <si>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</si>
  <si>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</si>
  <si>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</si>
  <si>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</si>
  <si>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</si>
  <si>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</si>
  <si>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</si>
  <si>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</si>
  <si>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</si>
  <si>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</si>
  <si>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</si>
  <si>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</si>
  <si>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</si>
  <si>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</si>
  <si>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</si>
  <si>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</si>
  <si>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</si>
  <si>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</si>
  <si>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</si>
  <si>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</si>
  <si>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</si>
  <si>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</si>
  <si>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</si>
  <si>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</si>
  <si>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</si>
  <si>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</si>
  <si>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</si>
  <si>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</si>
  <si>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</si>
  <si>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</si>
  <si>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</si>
  <si>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</si>
  <si>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</si>
  <si>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</si>
  <si>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</si>
  <si>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</si>
  <si>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</si>
  <si>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</si>
  <si>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</si>
  <si>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</si>
  <si>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</si>
  <si>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</si>
  <si>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</si>
  <si>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</si>
  <si>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</si>
  <si>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</si>
  <si>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</si>
  <si>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</si>
  <si>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</si>
  <si>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</si>
  <si>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</si>
  <si>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</si>
  <si>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</si>
  <si>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</si>
  <si>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</si>
  <si>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</si>
  <si>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</si>
  <si>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</si>
  <si>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</si>
  <si>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</si>
  <si>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</si>
  <si>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</si>
  <si>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</si>
  <si>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</si>
  <si>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</si>
  <si>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</si>
  <si>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</si>
  <si>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</si>
  <si>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</si>
  <si>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</si>
  <si>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</si>
  <si>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</si>
  <si>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</si>
  <si>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</si>
  <si>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</si>
  <si>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</si>
  <si>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</si>
  <si>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</si>
  <si>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</si>
  <si>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</si>
  <si>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</si>
  <si>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</si>
  <si>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</si>
  <si>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</si>
  <si>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</si>
  <si>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</si>
  <si>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</si>
  <si>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</si>
  <si>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</si>
  <si>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</si>
  <si>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</si>
  <si>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</si>
  <si>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</si>
  <si>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</si>
  <si>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</si>
  <si>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</si>
  <si>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</si>
  <si>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</si>
  <si>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</si>
  <si>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</si>
  <si>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</si>
  <si>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</si>
  <si>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</si>
  <si>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</si>
  <si>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</si>
  <si>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</si>
  <si>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</si>
  <si>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</si>
  <si>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</si>
  <si>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</si>
  <si>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</si>
  <si>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</si>
  <si>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</si>
  <si>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</si>
  <si>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</si>
  <si>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</si>
  <si>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</si>
  <si>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</si>
  <si>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</si>
  <si>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</si>
  <si>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</si>
  <si>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</si>
  <si>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</si>
  <si>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</si>
  <si>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</si>
  <si>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</si>
  <si>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</si>
  <si>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</si>
  <si>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</si>
  <si>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</si>
  <si>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</si>
  <si>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</si>
  <si>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</si>
  <si>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</si>
  <si>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</si>
  <si>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</si>
  <si>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</si>
  <si>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</si>
  <si>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</si>
  <si>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</si>
  <si>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</si>
  <si>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</si>
  <si>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</si>
  <si>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</si>
  <si>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</si>
  <si>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</si>
  <si>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</si>
  <si>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</si>
  <si>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</si>
  <si>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</si>
  <si>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</si>
  <si>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</si>
  <si>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</si>
  <si>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</si>
  <si>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</si>
  <si>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</si>
  <si>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</si>
  <si>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</si>
  <si>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</si>
  <si>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</si>
  <si>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</si>
  <si>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</si>
  <si>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</si>
  <si>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</si>
  <si>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</si>
  <si>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</si>
  <si>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</si>
  <si>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</si>
  <si>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</si>
  <si>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</si>
  <si>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</si>
  <si>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</si>
  <si>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</si>
  <si>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</si>
  <si>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</si>
  <si>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</si>
  <si>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</si>
  <si>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</si>
  <si>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</si>
  <si>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</si>
  <si>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</si>
  <si>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</si>
  <si>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</si>
  <si>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</si>
  <si>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</si>
  <si>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</si>
  <si>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</si>
  <si>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</si>
  <si>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</si>
  <si>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</si>
  <si>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</si>
  <si>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</si>
  <si>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</si>
  <si>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</si>
  <si>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</si>
  <si>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</si>
  <si>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</si>
  <si>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</si>
  <si>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</si>
  <si>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</si>
  <si>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</si>
  <si>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</si>
  <si>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</si>
  <si>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</si>
  <si>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</si>
  <si>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</si>
  <si>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</si>
  <si>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</si>
  <si>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</si>
  <si>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</si>
  <si>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</si>
  <si>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</si>
  <si>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</si>
  <si>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</si>
  <si>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</si>
  <si>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</si>
  <si>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</si>
  <si>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</si>
  <si>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</si>
  <si>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</si>
  <si>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</si>
  <si>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</si>
  <si>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</si>
  <si>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</si>
  <si>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</si>
  <si>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</si>
  <si>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</si>
  <si>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</si>
  <si>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</si>
  <si>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</si>
  <si>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</si>
  <si>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</si>
  <si>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</si>
  <si>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</si>
  <si>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</si>
  <si>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</si>
  <si>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</si>
  <si>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</si>
  <si>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</si>
  <si>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</si>
  <si>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</si>
  <si>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</si>
  <si>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</si>
  <si>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</si>
  <si>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</si>
  <si>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</si>
  <si>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</si>
  <si>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</si>
  <si>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</si>
  <si>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</si>
  <si>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</si>
  <si>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</si>
  <si>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</si>
  <si>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</si>
  <si>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</si>
  <si>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</si>
  <si>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</si>
  <si>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</si>
  <si>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</si>
  <si>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</si>
  <si>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</si>
  <si>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</si>
  <si>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</si>
  <si>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</si>
  <si>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</si>
  <si>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</si>
  <si>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</si>
  <si>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</si>
  <si>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</si>
  <si>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</si>
  <si>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</si>
  <si>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</si>
  <si>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</si>
  <si>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</si>
  <si>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</si>
  <si>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</si>
  <si>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</si>
  <si>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</si>
  <si>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</si>
  <si>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</si>
  <si>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</si>
  <si>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</si>
  <si>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</si>
  <si>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</si>
  <si>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</si>
  <si>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</si>
  <si>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</si>
  <si>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</si>
  <si>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</si>
  <si>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</si>
  <si>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</si>
  <si>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</si>
  <si>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</si>
  <si>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</si>
  <si>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</si>
  <si>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</si>
  <si>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</si>
  <si>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</si>
  <si>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</si>
  <si>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</si>
  <si>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</si>
  <si>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</si>
  <si>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</si>
  <si>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</si>
  <si>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</si>
  <si>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</si>
  <si>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</si>
  <si>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</si>
  <si>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</si>
  <si>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</si>
  <si>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</si>
  <si>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</si>
  <si>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</si>
  <si>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</si>
  <si>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</si>
  <si>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</si>
  <si>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</si>
  <si>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</si>
  <si>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</si>
  <si>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</si>
  <si>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</si>
  <si>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</si>
  <si>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</si>
  <si>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</si>
  <si>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</si>
  <si>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</si>
  <si>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</si>
  <si>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</si>
  <si>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</si>
  <si>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</si>
  <si>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</si>
  <si>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</si>
  <si>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</si>
  <si>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</si>
  <si>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</si>
  <si>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</si>
  <si>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</si>
  <si>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</si>
  <si>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</si>
  <si>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</si>
  <si>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</si>
  <si>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</si>
  <si>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</si>
  <si>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</si>
  <si>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</si>
  <si>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</si>
  <si>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</si>
  <si>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</si>
  <si>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</si>
  <si>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</si>
  <si>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</si>
  <si>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</si>
  <si>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</si>
  <si>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</si>
  <si>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</si>
  <si>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</si>
  <si>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</si>
  <si>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</si>
  <si>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</si>
  <si>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</si>
  <si>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</si>
  <si>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</si>
  <si>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</si>
  <si>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</si>
  <si>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</si>
  <si>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</si>
  <si>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</si>
  <si>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</si>
  <si>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</si>
  <si>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</si>
  <si>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</si>
  <si>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</si>
  <si>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</si>
  <si>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</si>
  <si>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</si>
  <si>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</si>
  <si>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</si>
  <si>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</si>
  <si>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</si>
  <si>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</si>
  <si>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</si>
  <si>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</si>
  <si>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</si>
  <si>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</si>
  <si>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</si>
  <si>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</si>
  <si>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</si>
  <si>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</si>
  <si>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</si>
  <si>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</si>
  <si>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</si>
  <si>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</si>
  <si>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</si>
  <si>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</si>
  <si>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</si>
  <si>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</si>
  <si>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</si>
  <si>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</si>
  <si>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</si>
  <si>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</si>
  <si>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</si>
  <si>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</si>
  <si>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</si>
  <si>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</si>
  <si>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</si>
  <si>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</si>
  <si>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</si>
  <si>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</si>
  <si>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</si>
  <si>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</si>
  <si>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</si>
  <si>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</si>
  <si>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</si>
  <si>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</si>
  <si>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</si>
  <si>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</si>
  <si>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</si>
  <si>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</si>
  <si>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</si>
  <si>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</si>
  <si>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</si>
  <si>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</si>
  <si>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</si>
  <si>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</si>
  <si>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</si>
  <si>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</si>
  <si>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</si>
  <si>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</si>
  <si>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</si>
  <si>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</si>
  <si>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</si>
  <si>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</si>
  <si>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</si>
  <si>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</si>
  <si>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</si>
  <si>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</si>
  <si>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</si>
  <si>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</si>
  <si>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</si>
  <si>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</si>
  <si>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</si>
  <si>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</si>
  <si>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</si>
  <si>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</si>
  <si>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</si>
  <si>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</si>
  <si>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</si>
  <si>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</si>
  <si>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</si>
  <si>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</si>
  <si>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</si>
  <si>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</si>
  <si>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</si>
  <si>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</si>
  <si>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</si>
  <si>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</si>
  <si>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</si>
  <si>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</si>
  <si>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</si>
  <si>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</si>
  <si>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</si>
  <si>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</si>
  <si>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</si>
  <si>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</si>
  <si>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</si>
  <si>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</si>
  <si>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</si>
  <si>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</si>
  <si>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</si>
  <si>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</si>
  <si>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</si>
  <si>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</si>
  <si>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</si>
  <si>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</si>
  <si>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</si>
  <si>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</si>
  <si>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</si>
  <si>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</si>
  <si>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</si>
  <si>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</si>
  <si>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</si>
  <si>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</si>
  <si>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</si>
  <si>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</si>
  <si>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</si>
  <si>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</si>
  <si>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</si>
  <si>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</si>
  <si>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</si>
  <si>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</si>
  <si>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</si>
  <si>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</si>
  <si>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</si>
  <si>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</si>
  <si>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</si>
  <si>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</si>
  <si>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</si>
  <si>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</si>
  <si>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</si>
  <si>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</si>
  <si>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</si>
  <si>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</si>
  <si>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</si>
  <si>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</si>
  <si>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</si>
  <si>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</si>
  <si>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</si>
  <si>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</si>
  <si>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</si>
  <si>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</si>
  <si>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</si>
  <si>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</si>
  <si>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</si>
  <si>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</si>
  <si>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</si>
  <si>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</si>
  <si>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</si>
  <si>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</si>
  <si>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</si>
  <si>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</si>
  <si>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</si>
  <si>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</si>
  <si>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</si>
  <si>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</si>
  <si>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</si>
  <si>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</si>
  <si>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</si>
  <si>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</si>
  <si>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</si>
  <si>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</si>
  <si>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</si>
  <si>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</si>
  <si>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</si>
  <si>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</si>
  <si>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</si>
  <si>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</si>
  <si>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</si>
  <si>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</si>
  <si>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</si>
  <si>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</si>
  <si>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</si>
  <si>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</si>
  <si>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</si>
  <si>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</si>
  <si>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</si>
  <si>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</si>
  <si>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</si>
  <si>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</si>
  <si>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</si>
  <si>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</si>
  <si>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</si>
  <si>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</si>
  <si>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</si>
  <si>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</si>
  <si>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</si>
  <si>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</si>
  <si>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</si>
  <si>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</si>
  <si>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</si>
  <si>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</si>
  <si>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</si>
  <si>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</si>
  <si>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</si>
  <si>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</si>
  <si>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</si>
  <si>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</si>
  <si>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</si>
  <si>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</si>
  <si>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</si>
  <si>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</si>
  <si>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</si>
  <si>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</si>
  <si>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</si>
  <si>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</si>
  <si>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</si>
  <si>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</si>
  <si>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</si>
  <si>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</si>
  <si>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</si>
  <si>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</si>
  <si>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</si>
  <si>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</si>
  <si>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</si>
  <si>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</si>
  <si>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</si>
  <si>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</si>
  <si>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</si>
  <si>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</si>
  <si>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</si>
  <si>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</si>
  <si>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</si>
  <si>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</si>
  <si>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</si>
  <si>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</si>
  <si>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</si>
  <si>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</si>
  <si>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</si>
  <si>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</si>
  <si>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</si>
  <si>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</si>
  <si>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</si>
  <si>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</si>
  <si>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</si>
  <si>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</si>
  <si>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</si>
  <si>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</si>
  <si>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</si>
  <si>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</si>
  <si>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</si>
  <si>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</si>
  <si>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</si>
  <si>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</si>
  <si>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</si>
  <si>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</si>
  <si>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</si>
  <si>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</si>
  <si>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</si>
  <si>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</si>
  <si>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</si>
  <si>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</si>
  <si>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</si>
  <si>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</si>
  <si>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</si>
  <si>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</si>
  <si>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</si>
  <si>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</si>
  <si>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</si>
  <si>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</si>
  <si>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</si>
  <si>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</si>
  <si>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</si>
  <si>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</si>
  <si>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</si>
  <si>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</si>
  <si>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</si>
  <si>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</si>
  <si>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</si>
  <si>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</si>
  <si>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</si>
  <si>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</si>
  <si>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</si>
  <si>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</si>
  <si>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</si>
  <si>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</si>
  <si>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</si>
  <si>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</si>
  <si>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</si>
  <si>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</si>
  <si>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</si>
  <si>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</si>
  <si>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</si>
  <si>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</si>
  <si>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</si>
  <si>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</si>
  <si>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</si>
  <si>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</si>
  <si>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</si>
  <si>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</si>
  <si>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</si>
  <si>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</si>
  <si>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</si>
  <si>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</si>
  <si>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</si>
  <si>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</si>
  <si>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</si>
  <si>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</si>
  <si>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</si>
  <si>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</si>
  <si>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</si>
  <si>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</si>
  <si>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</si>
  <si>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</si>
  <si>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</si>
  <si>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</si>
  <si>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</si>
  <si>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</si>
  <si>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</si>
  <si>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</si>
  <si>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</si>
  <si>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</si>
  <si>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</si>
  <si>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</si>
  <si>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</si>
  <si>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</si>
  <si>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</si>
  <si>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</si>
  <si>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</si>
  <si>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</si>
  <si>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</si>
  <si>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</si>
  <si>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</si>
  <si>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</si>
  <si>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</si>
  <si>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</si>
  <si>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</si>
  <si>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</si>
  <si>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</si>
  <si>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</si>
  <si>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</si>
  <si>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</si>
  <si>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</si>
  <si>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</si>
  <si>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</si>
  <si>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</si>
  <si>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</si>
  <si>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</si>
  <si>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</si>
  <si>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</si>
  <si>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</si>
  <si>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</si>
  <si>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</si>
  <si>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</si>
  <si>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</si>
  <si>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</si>
  <si>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</si>
  <si>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</si>
  <si>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</si>
  <si>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</si>
  <si>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</si>
  <si>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</si>
  <si>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</si>
  <si>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</si>
  <si>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</si>
  <si>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</si>
  <si>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</si>
  <si>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</si>
  <si>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</si>
  <si>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</si>
  <si>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</si>
  <si>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</si>
  <si>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</si>
  <si>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</si>
  <si>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</si>
  <si>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</si>
  <si>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</si>
  <si>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</si>
  <si>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</si>
  <si>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</si>
  <si>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</si>
  <si>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</si>
  <si>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</si>
  <si>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</si>
  <si>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</si>
  <si>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</si>
  <si>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</si>
  <si>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</si>
  <si>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</si>
  <si>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</si>
  <si>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</si>
  <si>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</si>
  <si>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</si>
  <si>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</si>
  <si>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</si>
  <si>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</si>
  <si>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</si>
  <si>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</si>
  <si>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</si>
  <si>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</si>
  <si>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</si>
  <si>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</si>
  <si>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</si>
  <si>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</si>
  <si>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</si>
  <si>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</si>
  <si>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</si>
  <si>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</si>
  <si>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</si>
  <si>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</si>
  <si>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</si>
  <si>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</si>
  <si>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</si>
  <si>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</si>
  <si>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</si>
  <si>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</si>
  <si>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</si>
  <si>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</si>
  <si>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</si>
  <si>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</si>
  <si>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</si>
  <si>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</si>
  <si>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</si>
  <si>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</si>
  <si>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</si>
  <si>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</si>
  <si>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</si>
  <si>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</si>
  <si>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</si>
  <si>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</si>
  <si>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</si>
  <si>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</si>
  <si>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</si>
  <si>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</si>
  <si>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</si>
  <si>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</si>
  <si>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</si>
  <si>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</si>
  <si>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</si>
  <si>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</si>
  <si>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</si>
  <si>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</si>
  <si>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</si>
  <si>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</si>
  <si>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</si>
  <si>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</si>
  <si>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</si>
  <si>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</si>
  <si>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</si>
  <si>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</si>
  <si>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</si>
  <si>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</si>
  <si>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</si>
  <si>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</si>
  <si>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</si>
  <si>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</si>
  <si>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</si>
  <si>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</si>
  <si>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</si>
  <si>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</si>
  <si>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</si>
  <si>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</si>
  <si>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</si>
  <si>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</si>
  <si>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</si>
  <si>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</si>
  <si>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</si>
  <si>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</si>
  <si>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</si>
  <si>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</si>
  <si>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</si>
  <si>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</si>
  <si>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</si>
  <si>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</si>
  <si>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</si>
  <si>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</si>
  <si>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</si>
  <si>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</si>
  <si>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</si>
  <si>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</si>
  <si>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</si>
  <si>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</si>
  <si>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</si>
  <si>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</si>
  <si>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</si>
  <si>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</si>
  <si>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</si>
  <si>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</si>
  <si>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</si>
  <si>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</si>
  <si>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</si>
  <si>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</si>
  <si>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</si>
  <si>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</si>
  <si>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</si>
  <si>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</si>
  <si>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</si>
  <si>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</si>
  <si>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</si>
  <si>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</si>
  <si>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</si>
  <si>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</si>
  <si>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</si>
  <si>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</si>
  <si>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</si>
  <si>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</si>
  <si>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</si>
  <si>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</si>
  <si>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</si>
  <si>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</si>
  <si>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</si>
  <si>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</si>
  <si>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</si>
  <si>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</si>
  <si>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</si>
  <si>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</si>
  <si>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</si>
  <si>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</si>
  <si>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</si>
  <si>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</si>
  <si>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</si>
  <si>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</si>
  <si>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</si>
  <si>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</si>
  <si>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</si>
  <si>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</si>
  <si>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</si>
  <si>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</si>
  <si>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</si>
  <si>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</si>
  <si>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</si>
  <si>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</si>
  <si>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</si>
  <si>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</si>
  <si>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</si>
  <si>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</si>
  <si>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</si>
  <si>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</si>
  <si>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</si>
  <si>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</si>
  <si>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</si>
  <si>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</si>
  <si>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</si>
  <si>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</si>
  <si>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</si>
  <si>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</si>
  <si>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</si>
  <si>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</si>
  <si>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</si>
  <si>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</si>
  <si>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</si>
  <si>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</si>
  <si>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</si>
  <si>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</si>
  <si>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</si>
  <si>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</si>
  <si>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</si>
  <si>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</si>
  <si>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</si>
  <si>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</si>
  <si>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</si>
  <si>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</si>
  <si>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</si>
  <si>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</si>
  <si>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</si>
  <si>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</si>
  <si>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</si>
  <si>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</si>
  <si>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</si>
  <si>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</si>
  <si>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</si>
  <si>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</si>
  <si>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</si>
  <si>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</si>
  <si>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</si>
  <si>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</si>
  <si>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</si>
  <si>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</si>
  <si>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</si>
  <si>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</si>
  <si>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</si>
  <si>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</si>
  <si>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</si>
  <si>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</si>
  <si>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</si>
  <si>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</si>
  <si>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</si>
  <si>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</si>
  <si>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</si>
  <si>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</si>
  <si>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</si>
  <si>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</si>
  <si>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</si>
  <si>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</si>
  <si>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</si>
  <si>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</si>
  <si>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</si>
  <si>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</si>
  <si>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</si>
  <si>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</si>
  <si>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</si>
  <si>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</si>
  <si>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</si>
  <si>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</si>
  <si>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</si>
  <si>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</si>
  <si>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</si>
  <si>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</si>
  <si>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</si>
  <si>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</si>
  <si>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</si>
  <si>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</si>
  <si>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</si>
  <si>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</si>
  <si>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</si>
  <si>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</si>
  <si>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</si>
  <si>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</si>
  <si>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</si>
  <si>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</si>
  <si>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</si>
  <si>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</si>
  <si>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</si>
  <si>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</si>
  <si>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</si>
  <si>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</si>
  <si>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</si>
  <si>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</si>
  <si>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</si>
  <si>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</si>
  <si>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</si>
  <si>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</si>
  <si>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</si>
  <si>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</si>
  <si>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</si>
  <si>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</si>
  <si>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</si>
  <si>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</si>
  <si>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</si>
  <si>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</si>
  <si>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</si>
  <si>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</si>
  <si>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</si>
  <si>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</si>
  <si>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</si>
  <si>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</si>
  <si>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</si>
  <si>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</si>
  <si>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</si>
  <si>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</si>
  <si>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</si>
  <si>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</si>
  <si>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</si>
  <si>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</si>
  <si>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</si>
  <si>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</si>
  <si>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</si>
  <si>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</si>
  <si>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</si>
  <si>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</si>
  <si>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</si>
  <si>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</si>
  <si>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</si>
  <si>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</si>
  <si>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</si>
  <si>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</si>
  <si>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</si>
  <si>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</si>
  <si>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</si>
  <si>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</si>
  <si>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</si>
  <si>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</si>
  <si>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</si>
  <si>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</si>
  <si>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</si>
  <si>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</si>
  <si>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</si>
  <si>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</si>
  <si>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</si>
  <si>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</si>
  <si>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</si>
  <si>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</si>
  <si>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</si>
  <si>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</si>
  <si>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</si>
  <si>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</si>
  <si>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</si>
  <si>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</si>
  <si>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</si>
  <si>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</si>
  <si>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</si>
  <si>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</si>
  <si>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</si>
  <si>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</si>
  <si>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</si>
  <si>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</si>
  <si>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</si>
  <si>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</si>
  <si>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</si>
  <si>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</si>
  <si>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</si>
  <si>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</si>
  <si>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</si>
  <si>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</si>
  <si>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</si>
  <si>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</si>
  <si>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</si>
  <si>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</si>
  <si>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</si>
  <si>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</si>
  <si>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</si>
  <si>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</si>
  <si>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</si>
  <si>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</si>
  <si>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</si>
  <si>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</si>
  <si>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</si>
  <si>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</si>
  <si>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</si>
  <si>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</si>
  <si>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</si>
  <si>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</si>
  <si>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</si>
  <si>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</si>
  <si>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</si>
  <si>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</si>
  <si>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</si>
  <si>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</si>
  <si>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</si>
  <si>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</si>
  <si>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</si>
  <si>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</si>
  <si>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</si>
  <si>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</si>
  <si>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</si>
  <si>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</si>
  <si>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</si>
  <si>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</si>
  <si>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</si>
  <si>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</si>
  <si>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</si>
  <si>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</si>
  <si>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</si>
  <si>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</si>
  <si>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</si>
  <si>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</si>
  <si>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</si>
  <si>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</si>
  <si>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</si>
  <si>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</si>
  <si>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</si>
  <si>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</si>
  <si>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</si>
  <si>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</si>
  <si>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</si>
  <si>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</si>
  <si>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</si>
  <si>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</si>
  <si>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</si>
  <si>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</si>
  <si>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</si>
  <si>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</si>
  <si>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</si>
  <si>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</si>
  <si>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</si>
  <si>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</si>
  <si>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</si>
  <si>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</si>
  <si>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</si>
  <si>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</si>
  <si>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</si>
  <si>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</si>
  <si>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</si>
  <si>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</si>
  <si>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</si>
  <si>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</si>
  <si>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</si>
  <si>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</si>
  <si>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</si>
  <si>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</si>
  <si>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</si>
  <si>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</si>
  <si>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</si>
  <si>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</si>
  <si>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</si>
  <si>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</si>
  <si>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</si>
  <si>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</si>
  <si>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</si>
  <si>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</si>
  <si>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</si>
  <si>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</si>
  <si>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</si>
  <si>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</si>
  <si>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</si>
  <si>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</si>
  <si>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</si>
  <si>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</si>
  <si>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</si>
  <si>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</si>
  <si>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</si>
  <si>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</si>
  <si>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</si>
  <si>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</si>
  <si>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</si>
  <si>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</si>
  <si>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</si>
  <si>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</si>
  <si>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</si>
  <si>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</si>
  <si>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</si>
  <si>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</si>
  <si>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</si>
  <si>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</si>
  <si>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</si>
  <si>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</si>
  <si>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</si>
  <si>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</si>
  <si>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</si>
  <si>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</si>
  <si>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</si>
  <si>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</si>
  <si>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</si>
  <si>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</si>
  <si>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</si>
  <si>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</si>
  <si>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</si>
  <si>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</si>
  <si>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</si>
  <si>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</si>
  <si>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</si>
  <si>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</si>
  <si>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</si>
  <si>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</si>
  <si>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</si>
  <si>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</si>
  <si>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</si>
  <si>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</si>
  <si>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</si>
  <si>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</si>
  <si>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</si>
  <si>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</si>
  <si>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</si>
  <si>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</si>
  <si>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</si>
  <si>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</si>
  <si>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</si>
  <si>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</si>
  <si>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</si>
  <si>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</si>
  <si>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</si>
  <si>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</si>
  <si>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</si>
  <si>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</si>
  <si>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</si>
  <si>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</si>
  <si>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</si>
  <si>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</si>
  <si>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</si>
  <si>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</si>
  <si>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</si>
  <si>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</si>
  <si>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</si>
  <si>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</si>
  <si>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</si>
  <si>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</si>
  <si>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</si>
  <si>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</si>
  <si>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</si>
  <si>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</si>
  <si>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</si>
  <si>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</si>
  <si>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</si>
  <si>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</si>
  <si>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</si>
  <si>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</si>
  <si>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</si>
  <si>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</si>
  <si>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</si>
  <si>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</si>
  <si>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</si>
  <si>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</si>
  <si>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</si>
  <si>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</si>
  <si>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</si>
  <si>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</si>
  <si>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</si>
  <si>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</si>
  <si>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</si>
  <si>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</si>
  <si>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</si>
  <si>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</si>
  <si>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</si>
  <si>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</si>
  <si>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</si>
  <si>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</si>
  <si>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</si>
  <si>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</si>
  <si>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</si>
  <si>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</si>
  <si>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</si>
  <si>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</si>
  <si>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</si>
  <si>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</si>
  <si>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</si>
  <si>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</si>
  <si>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</si>
  <si>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</si>
  <si>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</si>
  <si>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</si>
  <si>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</si>
  <si>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</si>
  <si>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</si>
  <si>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</si>
  <si>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</si>
  <si>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</si>
  <si>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</si>
  <si>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</si>
  <si>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</si>
  <si>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</si>
  <si>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</si>
  <si>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</si>
  <si>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</si>
  <si>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</si>
  <si>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</si>
  <si>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</si>
  <si>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</si>
  <si>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</si>
  <si>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</si>
  <si>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</si>
  <si>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</si>
  <si>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</si>
  <si>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</si>
  <si>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</si>
  <si>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</si>
  <si>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</si>
  <si>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</si>
  <si>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</si>
  <si>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</si>
  <si>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</si>
  <si>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</si>
  <si>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</si>
  <si>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</si>
  <si>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</si>
  <si>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</si>
  <si>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</si>
  <si>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</si>
  <si>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</si>
  <si>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</si>
  <si>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</si>
  <si>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</si>
  <si>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</si>
  <si>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</si>
  <si>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</si>
  <si>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</si>
  <si>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</si>
  <si>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</si>
  <si>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</si>
  <si>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</si>
  <si>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</si>
  <si>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</si>
  <si>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</si>
  <si>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</si>
  <si>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</si>
  <si>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</si>
  <si>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</si>
  <si>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</si>
  <si>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</si>
  <si>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</si>
  <si>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</si>
  <si>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</si>
  <si>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</si>
  <si>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</si>
  <si>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</si>
  <si>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</si>
  <si>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</si>
  <si>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</si>
  <si>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</si>
  <si>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</si>
  <si>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</si>
  <si>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</si>
  <si>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</si>
  <si>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</si>
  <si>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</si>
  <si>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</si>
  <si>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</si>
  <si>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</si>
  <si>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</si>
  <si>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</si>
  <si>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</si>
  <si>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</si>
  <si>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</si>
  <si>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</si>
  <si>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</si>
  <si>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</si>
  <si>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</si>
  <si>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</si>
  <si>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</si>
  <si>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</si>
  <si>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</si>
  <si>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</si>
  <si>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</si>
  <si>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</si>
  <si>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</si>
  <si>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</si>
  <si>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</si>
  <si>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</si>
  <si>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</si>
  <si>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</si>
  <si>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</si>
  <si>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</si>
  <si>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</si>
  <si>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</si>
  <si>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</si>
  <si>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</si>
  <si>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</si>
  <si>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</si>
  <si>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</si>
  <si>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</si>
  <si>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</si>
  <si>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</si>
  <si>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</si>
  <si>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</si>
  <si>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</si>
  <si>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</si>
  <si>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</si>
  <si>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</si>
  <si>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</si>
  <si>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</si>
  <si>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</si>
  <si>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</si>
  <si>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</si>
  <si>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</si>
  <si>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</si>
  <si>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</si>
  <si>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</si>
  <si>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</si>
  <si>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</si>
  <si>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</si>
  <si>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</si>
  <si>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</si>
  <si>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</si>
  <si>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</si>
  <si>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</si>
  <si>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</si>
  <si>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</si>
  <si>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</si>
  <si>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</si>
  <si>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</si>
  <si>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</si>
  <si>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</si>
  <si>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</si>
  <si>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</si>
  <si>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</si>
  <si>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</si>
  <si>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</si>
  <si>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</si>
  <si>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</si>
  <si>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</si>
  <si>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</si>
  <si>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</si>
  <si>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</si>
  <si>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</si>
  <si>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</si>
  <si>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</si>
  <si>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</si>
  <si>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</si>
  <si>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</si>
  <si>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</si>
  <si>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</si>
  <si>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</si>
  <si>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</si>
  <si>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</si>
  <si>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</si>
  <si>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</si>
  <si>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</si>
  <si>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</si>
  <si>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</si>
  <si>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</si>
  <si>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</si>
  <si>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</si>
  <si>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</si>
  <si>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</si>
  <si>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</si>
  <si>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</si>
  <si>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</si>
  <si>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</si>
  <si>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</si>
  <si>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</si>
  <si>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</si>
  <si>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</si>
  <si>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</si>
  <si>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</si>
  <si>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</si>
  <si>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</si>
  <si>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</si>
  <si>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</si>
  <si>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</si>
  <si>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</si>
  <si>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</si>
  <si>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</si>
  <si>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</si>
  <si>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</si>
  <si>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</si>
  <si>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</si>
  <si>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</si>
  <si>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</si>
  <si>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</si>
  <si>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</si>
  <si>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</si>
  <si>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</si>
  <si>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</si>
  <si>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</si>
  <si>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</si>
  <si>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</si>
  <si>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</si>
  <si>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</si>
  <si>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</si>
  <si>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</si>
  <si>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</si>
  <si>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</si>
  <si>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</si>
  <si>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</si>
  <si>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</si>
  <si>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</si>
  <si>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</si>
  <si>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</si>
  <si>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</si>
  <si>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</si>
  <si>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</si>
  <si>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</si>
  <si>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</si>
  <si>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</si>
  <si>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</si>
  <si>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</si>
  <si>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</si>
  <si>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</si>
  <si>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</si>
  <si>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</si>
  <si>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</si>
  <si>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</si>
  <si>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</si>
  <si>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</si>
  <si>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</si>
  <si>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</si>
  <si>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</si>
  <si>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</si>
  <si>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</si>
  <si>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</si>
  <si>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</si>
  <si>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</si>
  <si>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</si>
  <si>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</si>
  <si>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</si>
  <si>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</si>
  <si>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</si>
  <si>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</si>
  <si>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</si>
  <si>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</si>
  <si>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</si>
  <si>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</si>
  <si>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</si>
  <si>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</si>
  <si>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</si>
  <si>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</si>
  <si>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</si>
  <si>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</si>
  <si>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</si>
  <si>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</si>
  <si>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</si>
  <si>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</si>
  <si>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</si>
  <si>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</si>
  <si>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</si>
  <si>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</si>
  <si>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</si>
  <si>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</si>
  <si>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</si>
  <si>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</si>
  <si>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</si>
  <si>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</si>
  <si>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</si>
  <si>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</si>
  <si>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</si>
  <si>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</si>
  <si>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</si>
  <si>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</si>
  <si>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</si>
  <si>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</si>
  <si>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</si>
  <si>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</si>
  <si>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</si>
  <si>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</si>
  <si>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</si>
  <si>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</si>
  <si>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</si>
  <si>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</si>
  <si>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</si>
  <si>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</si>
  <si>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</si>
  <si>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</si>
  <si>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</si>
  <si>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</si>
  <si>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</si>
  <si>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</si>
  <si>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</si>
  <si>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</si>
  <si>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</si>
  <si>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</si>
  <si>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</si>
  <si>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</si>
  <si>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</si>
  <si>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</si>
  <si>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</si>
  <si>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</si>
  <si>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</si>
  <si>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</si>
  <si>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</si>
  <si>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</si>
  <si>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</si>
  <si>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</si>
  <si>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</si>
  <si>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</si>
  <si>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</si>
  <si>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</si>
  <si>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</si>
  <si>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</si>
  <si>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</si>
  <si>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</si>
  <si>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</si>
  <si>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</si>
  <si>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</si>
  <si>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</si>
  <si>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</si>
  <si>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</si>
  <si>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</si>
  <si>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</si>
  <si>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</si>
  <si>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</si>
  <si>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</si>
  <si>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</si>
  <si>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</si>
  <si>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</si>
  <si>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</si>
  <si>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</si>
  <si>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</si>
  <si>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</si>
  <si>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</si>
  <si>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</si>
  <si>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</si>
  <si>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</si>
  <si>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</si>
  <si>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</si>
  <si>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</si>
  <si>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</si>
  <si>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</si>
  <si>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</si>
  <si>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</si>
  <si>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</si>
  <si>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</si>
  <si>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</si>
  <si>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</si>
  <si>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</si>
  <si>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</si>
  <si>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</si>
  <si>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</si>
  <si>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</si>
  <si>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</si>
  <si>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</si>
  <si>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</si>
  <si>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</si>
  <si>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</si>
  <si>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</si>
  <si>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</si>
  <si>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</si>
  <si>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</si>
  <si>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</si>
  <si>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</si>
  <si>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</si>
  <si>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</si>
  <si>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</si>
  <si>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</si>
  <si>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</si>
  <si>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</si>
  <si>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</si>
  <si>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</si>
  <si>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</si>
  <si>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</si>
  <si>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</si>
  <si>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</si>
  <si>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</si>
  <si>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</si>
  <si>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</si>
  <si>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</si>
  <si>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</si>
  <si>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</si>
  <si>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</si>
  <si>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</si>
  <si>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</si>
  <si>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</si>
  <si>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</si>
  <si>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</si>
  <si>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</si>
  <si>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</si>
  <si>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</si>
  <si>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</si>
  <si>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</si>
  <si>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</si>
  <si>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</si>
  <si>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</si>
  <si>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</si>
  <si>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</si>
  <si>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</si>
  <si>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</si>
  <si>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</si>
  <si>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</si>
  <si>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</si>
  <si>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</si>
  <si>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</si>
  <si>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</si>
  <si>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</si>
  <si>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</si>
  <si>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</si>
  <si>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</si>
  <si>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</si>
  <si>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</si>
  <si>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</si>
  <si>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</si>
  <si>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</si>
  <si>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</si>
  <si>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</si>
  <si>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</si>
  <si>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</si>
  <si>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</si>
  <si>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</si>
  <si>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</si>
  <si>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</si>
  <si>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</si>
  <si>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</si>
  <si>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</si>
  <si>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</si>
  <si>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</si>
  <si>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</si>
  <si>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</si>
  <si>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</si>
  <si>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</si>
  <si>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</si>
  <si>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</si>
  <si>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</si>
  <si>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</si>
  <si>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</si>
  <si>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</si>
  <si>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</si>
  <si>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</si>
  <si>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</si>
  <si>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</si>
  <si>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</si>
  <si>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</si>
  <si>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</si>
  <si>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</si>
  <si>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</si>
  <si>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</si>
  <si>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</si>
  <si>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</si>
  <si>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</si>
  <si>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</si>
  <si>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</si>
  <si>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</si>
  <si>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</si>
  <si>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</si>
  <si>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</si>
  <si>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</si>
  <si>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</si>
  <si>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</si>
  <si>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</si>
  <si>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</si>
  <si>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</si>
  <si>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</si>
  <si>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</si>
  <si>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</si>
  <si>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</si>
  <si>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</si>
  <si>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</si>
  <si>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</si>
  <si>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</si>
  <si>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</si>
  <si>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</si>
  <si>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</si>
  <si>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</si>
  <si>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</si>
  <si>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</si>
  <si>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</si>
  <si>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</si>
  <si>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</si>
  <si>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</si>
  <si>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</si>
  <si>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</si>
  <si>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</si>
  <si>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</si>
  <si>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</si>
  <si>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</si>
  <si>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</si>
  <si>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</si>
  <si>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</si>
  <si>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</si>
  <si>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</si>
  <si>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</si>
  <si>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</si>
  <si>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</si>
  <si>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</si>
  <si>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</si>
  <si>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</si>
  <si>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</si>
  <si>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</si>
  <si>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</si>
  <si>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</si>
  <si>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</si>
  <si>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</si>
  <si>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</si>
  <si>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</si>
  <si>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</si>
  <si>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</si>
  <si>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</si>
  <si>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</si>
  <si>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</si>
  <si>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</si>
  <si>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</si>
  <si>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</si>
  <si>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</si>
  <si>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</si>
  <si>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</si>
  <si>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</si>
  <si>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</si>
  <si>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</si>
  <si>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</si>
  <si>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</si>
  <si>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</si>
  <si>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</si>
  <si>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</si>
  <si>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</si>
  <si>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</si>
  <si>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</si>
  <si>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</si>
  <si>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</si>
  <si>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</si>
  <si>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</si>
  <si>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</si>
  <si>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</si>
  <si>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</si>
  <si>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</si>
  <si>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</si>
  <si>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</si>
  <si>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</si>
  <si>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</si>
  <si>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</si>
  <si>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</si>
  <si>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</si>
  <si>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</si>
  <si>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</si>
  <si>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</si>
  <si>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</si>
  <si>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</si>
  <si>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</si>
  <si>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</si>
  <si>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</si>
  <si>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</si>
  <si>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</si>
  <si>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</si>
  <si>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</si>
  <si>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</si>
  <si>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</si>
  <si>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</si>
  <si>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</si>
  <si>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</si>
  <si>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</si>
  <si>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</si>
  <si>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</si>
  <si>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</si>
  <si>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</si>
  <si>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</si>
  <si>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</si>
  <si>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</si>
  <si>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</si>
  <si>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</si>
  <si>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</si>
  <si>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</si>
  <si>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</si>
  <si>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</si>
  <si>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</si>
  <si>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</si>
  <si>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</si>
  <si>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</si>
  <si>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</si>
  <si>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</si>
  <si>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</si>
  <si>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</si>
  <si>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</si>
  <si>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</si>
  <si>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</si>
  <si>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</si>
  <si>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</si>
  <si>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</si>
  <si>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</si>
  <si>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</si>
  <si>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</si>
  <si>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</si>
  <si>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</si>
  <si>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</si>
  <si>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</si>
  <si>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</si>
  <si>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</si>
  <si>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</si>
  <si>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</si>
  <si>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</si>
  <si>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</si>
  <si>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</si>
  <si>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</si>
  <si>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</si>
  <si>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</si>
  <si>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</si>
  <si>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</si>
  <si>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</si>
  <si>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</si>
  <si>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</si>
  <si>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</si>
  <si>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</si>
  <si>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</si>
  <si>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</si>
  <si>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</si>
  <si>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</si>
  <si>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</si>
  <si>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</si>
  <si>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</si>
  <si>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</si>
  <si>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</si>
  <si>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</si>
  <si>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</si>
  <si>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</si>
  <si>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</si>
  <si>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</si>
  <si>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</si>
  <si>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</si>
  <si>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</si>
  <si>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</si>
  <si>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</si>
  <si>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</si>
  <si>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</si>
  <si>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</si>
  <si>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</si>
  <si>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</si>
  <si>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</si>
  <si>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</si>
  <si>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</si>
  <si>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</si>
  <si>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</si>
  <si>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</si>
  <si>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</si>
  <si>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</si>
  <si>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</si>
  <si>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</si>
  <si>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</si>
  <si>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</si>
  <si>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</si>
  <si>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</si>
  <si>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</si>
  <si>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</si>
  <si>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</si>
  <si>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</si>
  <si>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</si>
  <si>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</si>
  <si>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</si>
  <si>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</si>
  <si>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</si>
  <si>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</si>
  <si>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</si>
  <si>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</si>
  <si>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</si>
  <si>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</si>
  <si>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</si>
  <si>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</si>
  <si>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</si>
  <si>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</si>
  <si>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</si>
  <si>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</si>
  <si>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</si>
  <si>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</si>
  <si>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</si>
  <si>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</si>
  <si>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</si>
  <si>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</si>
  <si>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</si>
  <si>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</si>
  <si>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</si>
  <si>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</si>
  <si>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</si>
  <si>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</si>
  <si>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</si>
  <si>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</si>
  <si>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</si>
  <si>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</si>
  <si>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</si>
  <si>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</si>
  <si>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</si>
  <si>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</si>
  <si>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</si>
  <si>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</si>
  <si>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</si>
  <si>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</si>
  <si>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</si>
  <si>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</si>
  <si>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</si>
  <si>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</si>
  <si>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</si>
  <si>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</si>
  <si>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</si>
  <si>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</si>
  <si>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</si>
  <si>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</si>
  <si>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</si>
  <si>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</si>
  <si>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</si>
  <si>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</si>
  <si>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</si>
  <si>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</si>
  <si>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</si>
  <si>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</si>
  <si>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</si>
  <si>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</si>
  <si>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</si>
  <si>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</si>
  <si>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</si>
  <si>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</si>
  <si>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</si>
  <si>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</si>
  <si>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</si>
  <si>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</si>
  <si>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</si>
  <si>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</si>
  <si>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</si>
  <si>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</si>
  <si>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</si>
  <si>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</si>
  <si>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</si>
  <si>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</si>
  <si>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</si>
  <si>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</si>
  <si>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</si>
  <si>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</si>
  <si>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</si>
  <si>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</si>
  <si>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</si>
  <si>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</si>
  <si>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</si>
  <si>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</si>
  <si>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</si>
  <si>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</si>
  <si>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</si>
  <si>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</si>
  <si>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</si>
  <si>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</si>
  <si>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</si>
  <si>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</si>
  <si>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</si>
  <si>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</si>
  <si>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</si>
  <si>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</si>
  <si>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</si>
  <si>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</si>
  <si>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</si>
  <si>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</si>
  <si>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</si>
  <si>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</si>
  <si>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</si>
  <si>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</si>
  <si>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</si>
  <si>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</si>
  <si>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</si>
  <si>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</si>
  <si>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</si>
  <si>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</si>
  <si>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</si>
  <si>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</si>
  <si>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</si>
  <si>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</si>
  <si>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</si>
  <si>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</si>
  <si>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</si>
  <si>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</si>
  <si>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</si>
  <si>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</si>
  <si>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</si>
  <si>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</si>
  <si>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</si>
  <si>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</si>
  <si>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</si>
  <si>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</si>
  <si>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</si>
  <si>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</si>
  <si>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</si>
  <si>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</si>
  <si>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</si>
  <si>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</si>
  <si>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</si>
  <si>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</si>
  <si>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</si>
  <si>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</si>
  <si>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</si>
  <si>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</si>
  <si>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</si>
  <si>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</si>
  <si>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</si>
  <si>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</si>
  <si>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</si>
  <si>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</si>
  <si>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</si>
  <si>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</si>
  <si>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</si>
  <si>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</si>
  <si>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</si>
  <si>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</si>
  <si>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</si>
  <si>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</si>
  <si>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</si>
  <si>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</si>
  <si>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</si>
  <si>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</si>
  <si>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</si>
  <si>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</si>
  <si>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</si>
  <si>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</si>
  <si>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</si>
  <si>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</si>
  <si>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</si>
  <si>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</si>
  <si>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</si>
  <si>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</si>
  <si>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</si>
  <si>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</si>
  <si>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</si>
  <si>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</si>
  <si>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</si>
  <si>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</si>
  <si>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</si>
  <si>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</si>
  <si>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</si>
  <si>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</si>
  <si>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</si>
  <si>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</si>
  <si>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</si>
  <si>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</si>
  <si>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</si>
  <si>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</si>
  <si>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</si>
  <si>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</si>
  <si>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</si>
  <si>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</si>
  <si>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</si>
  <si>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</si>
  <si>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</si>
  <si>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</si>
  <si>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</si>
  <si>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</si>
  <si>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</si>
  <si>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</si>
  <si>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</si>
  <si>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</si>
  <si>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</si>
  <si>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</si>
  <si>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</si>
  <si>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</si>
  <si>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</si>
  <si>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</si>
  <si>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</si>
  <si>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</si>
  <si>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</si>
  <si>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</si>
  <si>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</si>
  <si>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</si>
  <si>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</si>
  <si>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</si>
  <si>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</si>
  <si>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</si>
  <si>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</si>
  <si>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</si>
  <si>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</si>
  <si>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</si>
  <si>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</si>
  <si>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</si>
  <si>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</si>
  <si>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</si>
  <si>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</si>
  <si>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</si>
  <si>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</si>
  <si>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</si>
  <si>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</si>
  <si>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</si>
  <si>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</si>
  <si>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</si>
  <si>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</si>
  <si>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</si>
  <si>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</si>
  <si>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</si>
  <si>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</si>
  <si>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</si>
  <si>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</si>
  <si>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</si>
  <si>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</si>
  <si>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</si>
  <si>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</si>
  <si>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</si>
  <si>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</si>
  <si>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</si>
  <si>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</si>
  <si>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</si>
  <si>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</si>
  <si>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</si>
  <si>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</si>
  <si>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</si>
  <si>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</si>
  <si>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</si>
  <si>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</si>
  <si>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</si>
  <si>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</si>
  <si>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</si>
  <si>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</si>
  <si>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</si>
  <si>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</si>
  <si>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</si>
  <si>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</si>
  <si>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</si>
  <si>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</si>
  <si>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</si>
  <si>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</si>
  <si>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</si>
  <si>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</si>
  <si>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</si>
  <si>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</si>
  <si>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</si>
  <si>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</si>
  <si>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</si>
  <si>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</si>
  <si>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</si>
  <si>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</si>
  <si>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</si>
  <si>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</si>
  <si>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</si>
  <si>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</si>
  <si>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</si>
  <si>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</si>
  <si>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</si>
  <si>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</si>
  <si>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</si>
  <si>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</si>
  <si>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</si>
  <si>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</si>
  <si>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</si>
  <si>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</si>
  <si>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</si>
  <si>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</si>
  <si>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</si>
  <si>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</si>
  <si>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</si>
  <si>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</si>
  <si>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</si>
  <si>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</si>
  <si>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</si>
  <si>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</si>
  <si>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</si>
  <si>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</si>
  <si>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</si>
  <si>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</si>
  <si>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</si>
  <si>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</si>
  <si>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</si>
  <si>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</si>
  <si>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</si>
  <si>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</si>
  <si>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</si>
  <si>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</si>
  <si>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</si>
  <si>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</si>
  <si>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</si>
  <si>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</si>
  <si>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</si>
  <si>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</si>
  <si>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</si>
  <si>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</si>
  <si>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</si>
  <si>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</si>
  <si>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</si>
  <si>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</si>
  <si>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</si>
  <si>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</si>
  <si>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</si>
  <si>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</si>
  <si>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</si>
  <si>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</si>
  <si>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</si>
  <si>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</si>
  <si>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</si>
  <si>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</si>
  <si>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</si>
  <si>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</si>
  <si>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</si>
  <si>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</si>
  <si>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</si>
  <si>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</si>
  <si>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</si>
  <si>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</si>
  <si>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</si>
  <si>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</si>
  <si>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</si>
  <si>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</si>
  <si>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</si>
  <si>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</si>
  <si>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</si>
  <si>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</si>
  <si>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</si>
  <si>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</si>
  <si>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</si>
  <si>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</si>
  <si>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</si>
  <si>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</si>
  <si>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</si>
  <si>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</si>
  <si>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</si>
  <si>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</si>
  <si>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</si>
  <si>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</si>
  <si>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</si>
  <si>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</si>
  <si>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</si>
  <si>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</si>
  <si>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</si>
  <si>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</si>
  <si>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</si>
  <si>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</si>
  <si>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</si>
  <si>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</si>
  <si>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</si>
  <si>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</si>
  <si>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</si>
  <si>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</si>
  <si>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</si>
  <si>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</si>
  <si>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</si>
  <si>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</si>
  <si>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</si>
  <si>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</si>
  <si>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</si>
  <si>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</si>
  <si>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</si>
  <si>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</si>
  <si>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</si>
  <si>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</si>
  <si>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</si>
  <si>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</si>
  <si>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</si>
  <si>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</si>
  <si>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</si>
  <si>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</si>
  <si>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</si>
  <si>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</si>
  <si>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</si>
  <si>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</si>
  <si>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</si>
  <si>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</si>
  <si>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</si>
  <si>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</si>
  <si>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</si>
  <si>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</si>
  <si>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</si>
  <si>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</si>
  <si>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</si>
  <si>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</si>
  <si>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</si>
  <si>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</si>
  <si>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</si>
  <si>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</si>
  <si>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</si>
  <si>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</si>
  <si>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</si>
  <si>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</si>
  <si>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</si>
  <si>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</si>
  <si>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</si>
  <si>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</si>
  <si>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</si>
  <si>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</si>
  <si>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</si>
  <si>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</si>
  <si>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</si>
  <si>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</si>
  <si>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</si>
  <si>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</si>
  <si>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</si>
  <si>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</si>
  <si>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</si>
  <si>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</si>
  <si>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</si>
  <si>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</si>
  <si>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</si>
  <si>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</si>
  <si>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</si>
  <si>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</si>
  <si>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</si>
  <si>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</si>
  <si>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</si>
  <si>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</si>
  <si>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</si>
  <si>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</si>
  <si>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</si>
  <si>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</si>
  <si>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</si>
  <si>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</si>
  <si>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</si>
  <si>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</si>
  <si>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</si>
  <si>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</si>
  <si>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</si>
  <si>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</si>
  <si>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</si>
  <si>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</si>
  <si>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</si>
  <si>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</si>
  <si>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</si>
  <si>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</si>
  <si>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</si>
  <si>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</si>
  <si>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</si>
  <si>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</si>
  <si>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</si>
  <si>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</si>
  <si>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</si>
  <si>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</si>
  <si>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</si>
  <si>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</si>
  <si>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</si>
  <si>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</si>
  <si>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</si>
  <si>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</si>
  <si>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</si>
  <si>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</si>
  <si>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</si>
  <si>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</si>
  <si>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</si>
  <si>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</si>
  <si>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</si>
  <si>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</si>
  <si>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</si>
  <si>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</si>
  <si>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</si>
  <si>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</si>
  <si>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</si>
  <si>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</si>
  <si>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</si>
  <si>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</si>
  <si>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</si>
  <si>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</si>
  <si>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</si>
  <si>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</si>
  <si>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</si>
  <si>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</si>
  <si>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</si>
  <si>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</si>
  <si>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</si>
  <si>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</si>
  <si>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</si>
  <si>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</si>
  <si>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</si>
  <si>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</si>
  <si>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</si>
  <si>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</si>
  <si>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</si>
  <si>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</si>
  <si>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</si>
  <si>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</si>
  <si>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</si>
  <si>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</si>
  <si>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</si>
  <si>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</si>
  <si>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</si>
  <si>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</si>
  <si>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</si>
  <si>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</si>
  <si>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</si>
  <si>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</si>
  <si>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</si>
  <si>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</si>
  <si>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</si>
  <si>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</si>
  <si>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</si>
  <si>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</si>
  <si>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</si>
  <si>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</si>
  <si>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</si>
  <si>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</si>
  <si>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</si>
  <si>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</si>
  <si>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</si>
  <si>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</si>
  <si>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</si>
  <si>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</si>
  <si>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</si>
  <si>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</si>
  <si>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</si>
  <si>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</si>
  <si>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</si>
  <si>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</si>
  <si>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</si>
  <si>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</si>
  <si>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</si>
  <si>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</si>
  <si>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</si>
  <si>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</si>
  <si>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</si>
  <si>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</si>
  <si>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</si>
  <si>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</si>
  <si>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</si>
  <si>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</si>
  <si>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</si>
  <si>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</si>
  <si>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</si>
  <si>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</si>
  <si>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</si>
  <si>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</si>
  <si>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</si>
  <si>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</si>
  <si>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</si>
  <si>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</si>
  <si>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</si>
  <si>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</si>
  <si>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</si>
  <si>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</si>
  <si>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</si>
  <si>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</si>
  <si>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</si>
  <si>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</si>
  <si>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</si>
  <si>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</si>
  <si>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</si>
  <si>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</si>
  <si>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</si>
  <si>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</si>
  <si>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</si>
  <si>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</si>
  <si>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</si>
  <si>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</si>
  <si>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</si>
  <si>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</si>
  <si>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</si>
  <si>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</si>
  <si>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</si>
  <si>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</si>
  <si>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</si>
  <si>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</si>
  <si>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</si>
  <si>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</si>
  <si>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</si>
  <si>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</si>
  <si>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</si>
  <si>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</si>
  <si>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</si>
  <si>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</si>
  <si>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</si>
  <si>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</si>
  <si>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</si>
  <si>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</si>
  <si>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</si>
  <si>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</si>
  <si>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</si>
  <si>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</si>
  <si>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</si>
  <si>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</si>
  <si>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</si>
  <si>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</si>
  <si>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</si>
  <si>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</si>
  <si>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</si>
  <si>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</si>
  <si>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</si>
  <si>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</si>
  <si>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</si>
  <si>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</si>
  <si>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</si>
  <si>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</si>
  <si>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</si>
  <si>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</si>
  <si>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</si>
  <si>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</si>
  <si>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</si>
  <si>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</si>
  <si>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</si>
  <si>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</si>
  <si>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</si>
  <si>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</si>
  <si>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</si>
  <si>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</si>
  <si>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</si>
  <si>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</si>
  <si>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</si>
  <si>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</si>
  <si>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</si>
  <si>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</si>
  <si>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</si>
  <si>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</si>
  <si>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</si>
  <si>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</si>
  <si>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</si>
  <si>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</si>
  <si>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</si>
  <si>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</si>
  <si>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</si>
  <si>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</si>
  <si>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</si>
  <si>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</si>
  <si>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</si>
  <si>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</si>
  <si>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</si>
  <si>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</si>
  <si>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</si>
  <si>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</si>
  <si>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</si>
  <si>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</si>
  <si>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</si>
  <si>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</si>
  <si>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</si>
  <si>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</si>
  <si>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</si>
  <si>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</si>
  <si>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</si>
  <si>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</si>
  <si>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</si>
  <si>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</si>
  <si>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</si>
  <si>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</si>
  <si>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</si>
  <si>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</si>
  <si>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</si>
  <si>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</si>
  <si>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</si>
  <si>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</si>
  <si>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</si>
  <si>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</si>
  <si>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</si>
  <si>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</si>
  <si>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</si>
  <si>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</si>
  <si>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</si>
  <si>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</si>
  <si>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</si>
  <si>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</si>
  <si>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</si>
  <si>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</si>
  <si>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</si>
  <si>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</si>
  <si>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</si>
  <si>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</si>
  <si>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</si>
  <si>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</si>
  <si>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</si>
  <si>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</si>
  <si>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</si>
  <si>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</si>
  <si>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</si>
  <si>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</si>
  <si>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</si>
  <si>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</si>
  <si>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</si>
  <si>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</si>
  <si>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</si>
  <si>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</si>
  <si>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</si>
  <si>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</si>
  <si>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</si>
  <si>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</si>
  <si>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</si>
  <si>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</si>
  <si>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</si>
  <si>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</si>
  <si>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</si>
  <si>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</si>
  <si>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</si>
  <si>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</si>
  <si>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</si>
  <si>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</si>
  <si>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</si>
  <si>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</si>
  <si>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</si>
  <si>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</si>
  <si>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</si>
  <si>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</si>
  <si>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</si>
  <si>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</si>
  <si>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</si>
  <si>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</si>
  <si>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</si>
  <si>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</si>
  <si>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</si>
  <si>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</si>
  <si>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</si>
  <si>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</si>
  <si>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</si>
  <si>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</si>
  <si>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</si>
  <si>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</si>
  <si>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</si>
  <si>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</si>
  <si>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</si>
  <si>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</si>
  <si>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</si>
  <si>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</si>
  <si>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</si>
  <si>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</si>
  <si>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</si>
  <si>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</si>
  <si>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</si>
  <si>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</si>
  <si>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</si>
  <si>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</si>
  <si>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</si>
  <si>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</si>
  <si>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</si>
  <si>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</si>
  <si>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</si>
  <si>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</si>
  <si>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</si>
  <si>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</si>
  <si>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</si>
  <si>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</si>
  <si>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</si>
  <si>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</si>
  <si>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</si>
  <si>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</si>
  <si>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</si>
  <si>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</si>
  <si>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</si>
  <si>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</si>
  <si>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</si>
  <si>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</si>
  <si>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</si>
  <si>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</si>
  <si>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</si>
  <si>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</si>
  <si>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</si>
  <si>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</si>
  <si>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</si>
  <si>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</si>
  <si>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</si>
  <si>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</si>
  <si>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</si>
  <si>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</si>
  <si>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</si>
  <si>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</si>
  <si>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</si>
  <si>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</si>
  <si>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</si>
  <si>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</si>
  <si>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</si>
  <si>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</si>
  <si>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</si>
  <si>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</si>
  <si>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</si>
  <si>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</si>
  <si>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</si>
  <si>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</si>
  <si>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</si>
  <si>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</si>
  <si>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</si>
  <si>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</si>
  <si>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</si>
  <si>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</si>
  <si>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</si>
  <si>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</si>
  <si>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</si>
  <si>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</si>
  <si>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</si>
  <si>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</si>
  <si>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</si>
  <si>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</si>
  <si>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</si>
  <si>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</si>
  <si>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</si>
  <si>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</si>
  <si>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</si>
  <si>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</si>
  <si>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</si>
  <si>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</si>
  <si>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</si>
  <si>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</si>
  <si>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</si>
  <si>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</si>
  <si>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</si>
  <si>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</si>
  <si>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</si>
  <si>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</si>
  <si>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</si>
  <si>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</si>
  <si>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</si>
  <si>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</si>
  <si>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</si>
  <si>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</si>
  <si>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</si>
  <si>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</si>
  <si>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</si>
  <si>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</si>
  <si>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</si>
  <si>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</si>
  <si>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</si>
  <si>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</si>
  <si>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</si>
  <si>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</si>
  <si>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</si>
  <si>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</si>
  <si>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</si>
  <si>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</si>
  <si>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</si>
  <si>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</si>
  <si>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</si>
  <si>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</si>
  <si>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</si>
  <si>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</si>
  <si>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</si>
  <si>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</si>
  <si>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</si>
  <si>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</si>
  <si>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</si>
  <si>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</si>
  <si>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</si>
  <si>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</si>
  <si>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</si>
  <si>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</si>
  <si>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</si>
  <si>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</si>
  <si>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</si>
  <si>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</si>
  <si>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</si>
  <si>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</si>
  <si>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</si>
  <si>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</si>
  <si>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</si>
  <si>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</si>
  <si>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</si>
  <si>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</si>
  <si>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</si>
  <si>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</si>
  <si>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</si>
  <si>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</si>
  <si>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</si>
  <si>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</si>
  <si>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</si>
  <si>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</si>
  <si>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</si>
  <si>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</si>
  <si>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</si>
  <si>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</si>
  <si>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</si>
  <si>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</si>
  <si>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</si>
  <si>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</si>
  <si>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</si>
  <si>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</si>
  <si>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</si>
  <si>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</si>
  <si>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</si>
  <si>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</si>
  <si>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</si>
  <si>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</si>
  <si>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</si>
  <si>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</si>
  <si>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</si>
  <si>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</si>
  <si>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</si>
  <si>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</si>
  <si>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</si>
  <si>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</si>
  <si>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</si>
  <si>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</si>
  <si>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</si>
  <si>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</si>
  <si>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</si>
  <si>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</si>
  <si>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</si>
  <si>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</si>
  <si>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</si>
  <si>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</si>
  <si>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</si>
  <si>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</si>
  <si>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</si>
  <si>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</si>
  <si>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</si>
  <si>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</si>
  <si>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</si>
  <si>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</si>
  <si>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</si>
  <si>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</si>
  <si>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</si>
  <si>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</si>
  <si>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</si>
  <si>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</si>
  <si>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</si>
  <si>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</si>
  <si>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</si>
  <si>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</si>
  <si>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</si>
  <si>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</si>
  <si>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</si>
  <si>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</si>
  <si>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</si>
  <si>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</si>
  <si>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</si>
  <si>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</si>
  <si>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</si>
  <si>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</si>
  <si>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</si>
  <si>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</si>
  <si>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</si>
  <si>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</si>
  <si>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</si>
  <si>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</si>
  <si>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</si>
  <si>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</si>
  <si>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</si>
  <si>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</si>
  <si>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</si>
  <si>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</si>
  <si>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</si>
  <si>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</si>
  <si>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</si>
  <si>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</si>
  <si>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</si>
  <si>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</si>
  <si>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</si>
  <si>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</si>
  <si>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</si>
  <si>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</si>
  <si>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</si>
  <si>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</si>
  <si>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</si>
  <si>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</si>
  <si>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</si>
  <si>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</si>
  <si>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</si>
  <si>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</si>
  <si>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</si>
  <si>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</si>
  <si>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</si>
  <si>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</si>
  <si>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</si>
  <si>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</si>
  <si>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</si>
  <si>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</si>
  <si>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</si>
  <si>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</si>
  <si>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</si>
  <si>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</si>
  <si>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</si>
  <si>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</si>
  <si>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</si>
  <si>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</si>
  <si>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</si>
  <si>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</si>
  <si>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</si>
  <si>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</si>
  <si>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</si>
  <si>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</si>
  <si>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</si>
  <si>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</si>
  <si>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</si>
  <si>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</si>
  <si>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</si>
  <si>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</si>
  <si>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</si>
  <si>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</si>
  <si>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</si>
  <si>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</si>
  <si>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</si>
  <si>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</si>
  <si>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</si>
  <si>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</si>
  <si>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</si>
  <si>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</si>
  <si>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</si>
  <si>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</si>
  <si>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</si>
  <si>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</si>
  <si>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</si>
  <si>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</si>
  <si>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</si>
  <si>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</si>
  <si>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</si>
  <si>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</si>
  <si>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</si>
  <si>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</si>
  <si>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</si>
  <si>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</si>
  <si>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</si>
  <si>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</si>
  <si>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</si>
  <si>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</si>
  <si>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</si>
  <si>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</si>
  <si>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</si>
  <si>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</si>
  <si>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</si>
  <si>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</si>
  <si>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</si>
  <si>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</si>
  <si>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</si>
  <si>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</si>
  <si>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</si>
  <si>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</si>
  <si>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</si>
  <si>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</si>
  <si>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</si>
  <si>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</si>
  <si>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</si>
  <si>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</si>
  <si>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</si>
  <si>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</si>
  <si>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</si>
  <si>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</si>
  <si>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</si>
  <si>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</si>
  <si>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</si>
  <si>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</si>
  <si>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</si>
  <si>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</si>
  <si>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</si>
  <si>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</si>
  <si>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</si>
  <si>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</si>
  <si>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</si>
  <si>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</si>
  <si>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</si>
  <si>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</si>
  <si>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</si>
  <si>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</si>
  <si>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</si>
  <si>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</si>
  <si>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</si>
  <si>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</si>
  <si>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</si>
  <si>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</si>
  <si>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</si>
  <si>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</si>
  <si>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</si>
  <si>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</si>
  <si>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</si>
  <si>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</si>
  <si>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</si>
  <si>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</si>
  <si>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</si>
  <si>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</si>
  <si>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</si>
  <si>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</si>
  <si>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</si>
  <si>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</si>
  <si>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</si>
  <si>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</si>
  <si>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</si>
  <si>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</si>
  <si>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</si>
  <si>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</si>
  <si>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</si>
  <si>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</si>
  <si>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</si>
  <si>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</si>
  <si>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</si>
  <si>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</si>
  <si>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</si>
  <si>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</si>
  <si>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</si>
  <si>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</si>
  <si>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</si>
  <si>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</si>
  <si>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</si>
  <si>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</si>
  <si>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</si>
  <si>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</si>
  <si>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</si>
  <si>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</si>
  <si>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</si>
  <si>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</si>
  <si>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</si>
  <si>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</si>
  <si>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</si>
  <si>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</si>
  <si>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</si>
  <si>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</si>
  <si>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</si>
  <si>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</si>
  <si>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</si>
  <si>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</si>
  <si>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</si>
  <si>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</si>
  <si>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</si>
  <si>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</si>
  <si>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</si>
  <si>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</si>
  <si>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</si>
  <si>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</si>
  <si>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</si>
  <si>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</si>
  <si>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</si>
  <si>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</si>
  <si>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</si>
  <si>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</si>
  <si>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</si>
  <si>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</si>
  <si>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</si>
  <si>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</si>
  <si>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</si>
  <si>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</si>
  <si>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</si>
  <si>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</si>
  <si>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</si>
  <si>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</si>
  <si>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</si>
  <si>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</si>
  <si>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</si>
  <si>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</si>
  <si>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</si>
  <si>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</si>
  <si>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</si>
  <si>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</si>
  <si>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</si>
  <si>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</si>
  <si>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</si>
  <si>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</si>
  <si>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</si>
  <si>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</si>
  <si>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</si>
  <si>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</si>
  <si>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</si>
  <si>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</si>
  <si>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</si>
  <si>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</si>
  <si>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</si>
  <si>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</si>
  <si>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</si>
  <si>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</si>
  <si>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</si>
  <si>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</si>
  <si>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</si>
  <si>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</si>
  <si>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</si>
  <si>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</si>
  <si>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</si>
  <si>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</si>
  <si>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</si>
  <si>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</si>
  <si>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</si>
  <si>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</si>
  <si>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</si>
  <si>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</si>
  <si>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</si>
  <si>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</si>
  <si>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</si>
  <si>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</si>
  <si>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</si>
  <si>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</si>
  <si>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</si>
  <si>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</si>
  <si>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</si>
  <si>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</si>
  <si>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</si>
  <si>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</si>
  <si>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</si>
  <si>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</si>
  <si>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</si>
  <si>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</si>
  <si>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</si>
  <si>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</si>
  <si>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</si>
  <si>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</si>
  <si>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</si>
  <si>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</si>
  <si>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</si>
  <si>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</si>
  <si>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</si>
  <si>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</si>
  <si>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</si>
  <si>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</si>
  <si>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</si>
  <si>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</si>
  <si>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</si>
  <si>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</si>
  <si>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</si>
  <si>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</si>
  <si>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</si>
  <si>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</si>
  <si>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</si>
  <si>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</si>
  <si>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</si>
  <si>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</si>
  <si>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</si>
  <si>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</si>
  <si>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</si>
  <si>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</si>
  <si>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</si>
  <si>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</si>
  <si>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</si>
  <si>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</si>
  <si>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</si>
  <si>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</si>
  <si>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</si>
  <si>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</si>
  <si>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</si>
  <si>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</si>
  <si>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</si>
  <si>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</si>
  <si>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</si>
  <si>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</si>
  <si>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</si>
  <si>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</si>
  <si>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</si>
  <si>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</si>
  <si>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</si>
  <si>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</si>
  <si>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</si>
  <si>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</si>
  <si>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</si>
  <si>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</si>
  <si>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</si>
  <si>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</si>
  <si>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</si>
  <si>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</si>
  <si>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</si>
  <si>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</si>
  <si>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</si>
  <si>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</si>
  <si>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</si>
  <si>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</si>
  <si>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</si>
  <si>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</si>
  <si>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</si>
  <si>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</si>
  <si>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</si>
  <si>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</si>
  <si>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</si>
  <si>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</si>
  <si>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</si>
  <si>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</si>
  <si>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</si>
  <si>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</si>
  <si>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</si>
  <si>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</si>
  <si>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</si>
  <si>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</si>
  <si>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</si>
  <si>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</si>
  <si>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</si>
  <si>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</si>
  <si>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</si>
  <si>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</si>
  <si>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</si>
  <si>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</si>
  <si>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</si>
  <si>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</si>
  <si>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</si>
  <si>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</si>
  <si>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</si>
  <si>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</si>
  <si>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</si>
  <si>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</si>
  <si>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</si>
  <si>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</si>
  <si>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</si>
  <si>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</si>
  <si>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</si>
  <si>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</si>
  <si>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</si>
  <si>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</si>
  <si>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</si>
  <si>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</si>
  <si>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</si>
  <si>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</si>
  <si>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</si>
  <si>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</si>
  <si>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</si>
  <si>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</si>
  <si>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</si>
  <si>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</si>
  <si>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</si>
  <si>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</si>
  <si>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</si>
  <si>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</si>
  <si>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</si>
  <si>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</si>
  <si>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</si>
  <si>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</si>
  <si>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</si>
  <si>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</si>
  <si>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</si>
  <si>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</si>
  <si>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</si>
  <si>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</si>
  <si>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</si>
  <si>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</si>
  <si>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</si>
  <si>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</si>
  <si>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</si>
  <si>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</si>
  <si>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</si>
  <si>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</si>
  <si>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</si>
  <si>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</si>
  <si>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</si>
  <si>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</si>
  <si>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</si>
  <si>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</si>
  <si>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</si>
  <si>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</si>
  <si>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</si>
  <si>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</si>
  <si>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</si>
  <si>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</si>
  <si>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</si>
  <si>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</si>
  <si>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</si>
  <si>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</si>
  <si>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</si>
  <si>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</si>
  <si>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</si>
  <si>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</si>
  <si>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</si>
  <si>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</si>
  <si>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</si>
  <si>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</si>
  <si>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</si>
  <si>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</si>
  <si>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</si>
  <si>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</si>
  <si>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</si>
  <si>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</si>
  <si>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</si>
  <si>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</si>
  <si>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</si>
  <si>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</si>
  <si>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</si>
  <si>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</si>
  <si>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</si>
  <si>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</si>
  <si>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</si>
  <si>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</si>
  <si>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</si>
  <si>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</si>
  <si>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</si>
  <si>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</si>
  <si>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</si>
  <si>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</si>
  <si>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</si>
  <si>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</si>
  <si>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</si>
  <si>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</si>
  <si>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</si>
  <si>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</si>
  <si>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</si>
  <si>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</si>
  <si>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</si>
  <si>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</si>
  <si>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</si>
  <si>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</si>
  <si>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</si>
  <si>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</si>
  <si>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</si>
  <si>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</si>
  <si>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</si>
  <si>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</si>
  <si>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</si>
  <si>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</si>
  <si>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</si>
  <si>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</si>
  <si>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</si>
  <si>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</si>
  <si>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</si>
  <si>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</si>
  <si>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</si>
  <si>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</si>
  <si>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</si>
  <si>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</si>
  <si>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</si>
  <si>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</si>
  <si>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</si>
  <si>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</si>
  <si>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</si>
  <si>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</si>
  <si>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</si>
  <si>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</si>
  <si>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</si>
  <si>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</si>
  <si>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</si>
  <si>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</si>
  <si>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</si>
  <si>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</si>
  <si>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</si>
  <si>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</si>
  <si>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</si>
  <si>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</si>
  <si>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</si>
  <si>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</si>
  <si>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</si>
  <si>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</si>
  <si>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</si>
  <si>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</si>
  <si>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</si>
  <si>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</si>
  <si>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</si>
  <si>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</si>
  <si>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</si>
  <si>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</si>
  <si>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</si>
  <si>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</si>
  <si>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</si>
  <si>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</si>
  <si>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</si>
  <si>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</si>
  <si>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</si>
  <si>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</si>
  <si>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</si>
  <si>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</si>
  <si>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</si>
  <si>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</si>
  <si>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</si>
  <si>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</si>
  <si>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</si>
  <si>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</si>
  <si>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</si>
  <si>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</si>
  <si>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</si>
  <si>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</si>
  <si>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</si>
  <si>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</si>
  <si>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</si>
  <si>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</si>
  <si>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</si>
  <si>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</si>
  <si>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</si>
  <si>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</si>
  <si>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</si>
  <si>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</si>
  <si>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</si>
  <si>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</si>
  <si>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</si>
  <si>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</si>
  <si>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</si>
  <si>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</si>
  <si>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</si>
  <si>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</si>
  <si>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</si>
  <si>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</si>
  <si>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</si>
  <si>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</si>
  <si>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</si>
  <si>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</si>
  <si>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</si>
  <si>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</si>
  <si>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</si>
  <si>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</si>
  <si>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</si>
  <si>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</si>
  <si>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</si>
  <si>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</si>
  <si>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</si>
  <si>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</si>
  <si>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</si>
  <si>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</si>
  <si>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</si>
  <si>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</si>
  <si>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</si>
  <si>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</si>
  <si>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</si>
  <si>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</si>
  <si>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</si>
  <si>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</si>
  <si>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</si>
  <si>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</si>
  <si>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</si>
  <si>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</si>
  <si>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</si>
  <si>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</si>
  <si>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</si>
  <si>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</si>
  <si>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</si>
  <si>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</si>
  <si>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</si>
  <si>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</si>
  <si>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</si>
  <si>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</si>
  <si>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</si>
  <si>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</si>
  <si>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</si>
  <si>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</si>
  <si>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</si>
  <si>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</si>
  <si>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</si>
  <si>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</si>
  <si>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</si>
  <si>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</si>
  <si>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</si>
  <si>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</si>
  <si>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</si>
  <si>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</si>
  <si>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</si>
  <si>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</si>
  <si>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</si>
  <si>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</si>
  <si>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</si>
  <si>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</si>
  <si>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</si>
  <si>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</si>
  <si>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</si>
  <si>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</si>
  <si>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</si>
  <si>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</si>
  <si>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</si>
  <si>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</si>
  <si>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</si>
  <si>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</si>
  <si>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</si>
  <si>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</si>
  <si>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</si>
  <si>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</si>
  <si>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</si>
  <si>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</si>
  <si>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</si>
  <si>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</si>
  <si>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</si>
  <si>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</si>
  <si>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</si>
  <si>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</si>
  <si>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</si>
  <si>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</si>
  <si>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</si>
  <si>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</si>
  <si>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</si>
  <si>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</si>
  <si>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</si>
  <si>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</si>
  <si>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</si>
  <si>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</si>
  <si>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</si>
  <si>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</si>
  <si>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</si>
  <si>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</si>
  <si>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</si>
  <si>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</si>
  <si>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</si>
  <si>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</si>
  <si>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</si>
  <si>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</si>
  <si>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</si>
  <si>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</si>
  <si>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</si>
  <si>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</si>
  <si>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</si>
  <si>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</si>
  <si>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</si>
  <si>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</si>
  <si>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</si>
  <si>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</si>
  <si>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</si>
  <si>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</si>
  <si>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</si>
  <si>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</si>
  <si>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</si>
  <si>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</si>
  <si>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</si>
  <si>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</si>
  <si>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</si>
  <si>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</si>
  <si>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</si>
  <si>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</si>
  <si>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</si>
  <si>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</si>
  <si>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</si>
  <si>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</si>
  <si>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</si>
  <si>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</si>
  <si>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</si>
  <si>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</si>
  <si>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</si>
  <si>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</si>
  <si>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</si>
  <si>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</si>
  <si>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</si>
  <si>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</si>
  <si>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</si>
  <si>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</si>
  <si>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</si>
  <si>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</si>
  <si>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</si>
  <si>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</si>
  <si>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</si>
  <si>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</si>
  <si>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</si>
  <si>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</si>
  <si>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</si>
  <si>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</si>
  <si>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</si>
  <si>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</si>
  <si>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</si>
  <si>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</si>
  <si>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</si>
  <si>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</si>
  <si>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</si>
  <si>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</si>
  <si>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</si>
  <si>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</si>
  <si>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</si>
  <si>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</si>
  <si>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</si>
  <si>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</si>
  <si>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</si>
  <si>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</si>
  <si>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</si>
  <si>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</si>
  <si>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</si>
  <si>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</si>
  <si>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</si>
  <si>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</si>
  <si>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</si>
  <si>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</si>
  <si>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</si>
  <si>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</si>
  <si>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</si>
  <si>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</si>
  <si>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</si>
  <si>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</si>
  <si>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</si>
  <si>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</si>
  <si>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</si>
  <si>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</si>
  <si>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</si>
  <si>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</si>
  <si>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</si>
  <si>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</si>
  <si>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</si>
  <si>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</si>
  <si>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</si>
  <si>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</si>
  <si>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</si>
  <si>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</si>
  <si>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</si>
  <si>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</si>
  <si>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</si>
  <si>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</si>
  <si>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</si>
  <si>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</si>
  <si>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</si>
  <si>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</si>
  <si>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</si>
  <si>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</si>
  <si>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</si>
  <si>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</si>
  <si>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</si>
  <si>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</si>
  <si>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</si>
  <si>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</si>
  <si>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</si>
  <si>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</si>
  <si>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</si>
  <si>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</si>
  <si>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</si>
  <si>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</si>
  <si>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</si>
  <si>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</si>
  <si>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</si>
  <si>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</si>
  <si>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</si>
  <si>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</si>
  <si>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</si>
  <si>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</si>
  <si>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</si>
  <si>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</si>
  <si>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</si>
  <si>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</si>
  <si>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</si>
  <si>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</si>
  <si>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</si>
  <si>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</si>
  <si>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</si>
  <si>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</si>
  <si>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</si>
  <si>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</si>
  <si>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</si>
  <si>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</si>
  <si>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</si>
  <si>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</si>
  <si>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</si>
  <si>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</si>
  <si>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</si>
  <si>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</si>
  <si>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</si>
  <si>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</si>
  <si>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</si>
  <si>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</si>
  <si>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</si>
  <si>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</si>
  <si>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</si>
  <si>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</si>
  <si>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</si>
  <si>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</si>
  <si>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</si>
  <si>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</si>
  <si>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</si>
  <si>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</si>
  <si>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</si>
  <si>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</si>
  <si>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</si>
  <si>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</si>
  <si>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</si>
  <si>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</si>
  <si>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</si>
  <si>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</si>
  <si>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</si>
  <si>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</si>
  <si>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</si>
  <si>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</si>
  <si>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</si>
  <si>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</si>
  <si>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</si>
  <si>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</si>
  <si>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</si>
  <si>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</si>
  <si>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</si>
  <si>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</si>
  <si>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</si>
  <si>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</si>
  <si>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</si>
  <si>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</si>
  <si>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</si>
  <si>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</si>
  <si>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</si>
  <si>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</si>
  <si>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</si>
  <si>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</si>
  <si>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</si>
  <si>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</si>
  <si>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</si>
  <si>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</si>
  <si>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</si>
  <si>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</si>
  <si>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</si>
  <si>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</si>
  <si>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</si>
  <si>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</si>
  <si>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</si>
  <si>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</si>
  <si>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</si>
  <si>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</si>
  <si>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</si>
  <si>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</si>
  <si>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</si>
  <si>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</si>
  <si>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</si>
  <si>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</si>
  <si>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</si>
  <si>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</si>
  <si>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</si>
  <si>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</si>
  <si>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</si>
  <si>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</si>
  <si>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</si>
  <si>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</si>
  <si>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</si>
  <si>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</si>
  <si>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</si>
  <si>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</si>
  <si>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</si>
  <si>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</si>
  <si>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</si>
  <si>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</si>
  <si>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</si>
  <si>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</si>
  <si>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</si>
  <si>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</si>
  <si>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</si>
  <si>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</si>
  <si>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</si>
  <si>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</si>
  <si>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</si>
  <si>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</si>
  <si>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</si>
  <si>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</si>
  <si>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</si>
  <si>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</si>
  <si>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</si>
  <si>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</si>
  <si>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</si>
  <si>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</si>
  <si>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</si>
  <si>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</si>
  <si>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</si>
  <si>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</si>
  <si>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</si>
  <si>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</si>
  <si>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</si>
  <si>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</si>
  <si>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</si>
  <si>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</si>
  <si>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</si>
  <si>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</si>
  <si>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</si>
  <si>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</si>
  <si>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</si>
  <si>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</si>
  <si>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</si>
  <si>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</si>
  <si>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</si>
  <si>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</si>
  <si>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</si>
  <si>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</si>
  <si>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</si>
  <si>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</si>
  <si>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</si>
  <si>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</si>
  <si>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</si>
  <si>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</si>
  <si>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</si>
  <si>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</si>
  <si>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</si>
  <si>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</si>
  <si>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</si>
  <si>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</si>
  <si>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</si>
  <si>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</si>
  <si>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</si>
  <si>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</si>
  <si>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</si>
  <si>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</si>
  <si>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</si>
  <si>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</si>
  <si>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</si>
  <si>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</si>
  <si>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</si>
  <si>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</si>
  <si>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</si>
  <si>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</si>
  <si>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</si>
  <si>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</si>
  <si>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</si>
  <si>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</si>
  <si>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</si>
  <si>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</si>
  <si>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</si>
  <si>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</si>
  <si>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</si>
  <si>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</si>
  <si>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</si>
  <si>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</si>
  <si>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</si>
  <si>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</si>
  <si>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</si>
  <si>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</si>
  <si>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</si>
  <si>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</si>
  <si>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</si>
  <si>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</si>
  <si>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</si>
  <si>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</si>
  <si>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</si>
  <si>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</si>
  <si>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</si>
  <si>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</si>
  <si>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</si>
  <si>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</si>
  <si>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</si>
  <si>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</si>
  <si>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</si>
  <si>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</si>
  <si>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</si>
  <si>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</si>
  <si>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</si>
  <si>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</si>
  <si>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</si>
  <si>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</si>
  <si>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</si>
  <si>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</si>
  <si>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</si>
  <si>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</si>
  <si>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</si>
  <si>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</si>
  <si>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</si>
  <si>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</si>
  <si>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</si>
  <si>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</si>
  <si>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</si>
  <si>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</si>
  <si>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</si>
  <si>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</si>
  <si>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</si>
  <si>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</si>
  <si>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</si>
  <si>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</si>
  <si>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</si>
  <si>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</si>
  <si>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</si>
  <si>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</si>
  <si>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</si>
  <si>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</si>
  <si>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</si>
  <si>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</si>
  <si>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</si>
  <si>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</si>
  <si>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</si>
  <si>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</si>
  <si>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</si>
  <si>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</si>
  <si>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</si>
  <si>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</si>
  <si>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</si>
  <si>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</si>
  <si>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</si>
  <si>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</si>
  <si>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</si>
  <si>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</si>
  <si>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</si>
  <si>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</si>
  <si>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</si>
  <si>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</si>
  <si>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</si>
  <si>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</si>
  <si>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</si>
  <si>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</si>
  <si>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</si>
  <si>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</si>
  <si>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</si>
  <si>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</si>
  <si>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</si>
  <si>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</si>
  <si>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</si>
  <si>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</si>
  <si>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</si>
  <si>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</si>
  <si>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</si>
  <si>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</si>
  <si>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</si>
  <si>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</si>
  <si>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</si>
  <si>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</si>
  <si>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</si>
  <si>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</si>
  <si>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</si>
  <si>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</si>
  <si>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</si>
  <si>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</si>
  <si>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</si>
  <si>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</si>
  <si>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</si>
  <si>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</si>
  <si>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</si>
  <si>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</si>
  <si>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</si>
  <si>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</si>
  <si>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</si>
  <si>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</si>
  <si>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</si>
  <si>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</si>
  <si>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</si>
  <si>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</si>
  <si>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</si>
  <si>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</si>
  <si>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</si>
  <si>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</si>
  <si>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</si>
  <si>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</si>
  <si>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</si>
  <si>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</si>
  <si>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</si>
  <si>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</si>
  <si>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</si>
  <si>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</si>
  <si>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</si>
  <si>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</si>
  <si>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</si>
  <si>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</si>
  <si>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</si>
  <si>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</si>
  <si>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</si>
  <si>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</si>
  <si>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</si>
  <si>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</si>
  <si>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</si>
  <si>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</si>
  <si>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</si>
  <si>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</si>
  <si>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</si>
  <si>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</si>
  <si>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</si>
  <si>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</si>
  <si>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</si>
  <si>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</si>
  <si>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</si>
  <si>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</si>
  <si>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</si>
  <si>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</si>
  <si>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</si>
  <si>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</si>
  <si>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</si>
  <si>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</si>
  <si>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</si>
  <si>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</si>
  <si>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</si>
  <si>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</si>
  <si>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</si>
  <si>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</si>
  <si>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</si>
  <si>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</si>
  <si>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</si>
  <si>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</si>
  <si>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</si>
  <si>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</si>
  <si>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</si>
  <si>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</si>
  <si>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</si>
  <si>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</si>
  <si>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</si>
  <si>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</si>
  <si>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</si>
  <si>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</si>
  <si>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</si>
  <si>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</si>
  <si>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</si>
  <si>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</si>
  <si>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</si>
  <si>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</si>
  <si>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</si>
  <si>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</si>
  <si>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</si>
  <si>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</si>
  <si>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</si>
  <si>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</si>
  <si>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</si>
  <si>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</si>
  <si>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</si>
  <si>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</si>
  <si>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</si>
  <si>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</si>
  <si>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</si>
  <si>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</si>
  <si>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</si>
  <si>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</si>
  <si>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</si>
  <si>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</si>
  <si>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</si>
  <si>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</si>
  <si>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</si>
  <si>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</si>
  <si>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</si>
  <si>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</si>
  <si>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</si>
  <si>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</si>
  <si>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</si>
  <si>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</si>
  <si>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</si>
  <si>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</si>
  <si>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</si>
  <si>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</si>
  <si>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</si>
  <si>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</si>
  <si>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</si>
  <si>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</si>
  <si>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</si>
  <si>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</si>
  <si>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</si>
  <si>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</si>
  <si>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</si>
  <si>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</si>
  <si>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</si>
  <si>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</si>
  <si>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</si>
  <si>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</si>
  <si>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</si>
  <si>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</si>
  <si>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</si>
  <si>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</si>
  <si>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</si>
  <si>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</si>
  <si>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</si>
  <si>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</si>
  <si>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</si>
  <si>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</si>
  <si>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</si>
  <si>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</si>
  <si>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</si>
  <si>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</si>
  <si>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</si>
  <si>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</si>
  <si>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</si>
  <si>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</si>
  <si>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</si>
  <si>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</si>
  <si>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</si>
  <si>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</si>
  <si>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</si>
  <si>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</si>
  <si>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</si>
  <si>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</si>
  <si>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</si>
  <si>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</si>
  <si>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</si>
  <si>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</si>
  <si>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</si>
  <si>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</si>
  <si>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</si>
  <si>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</si>
  <si>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</si>
  <si>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</si>
  <si>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</si>
  <si>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</si>
  <si>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</si>
  <si>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</si>
  <si>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</si>
  <si>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</si>
  <si>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</si>
  <si>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</si>
  <si>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</si>
  <si>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</si>
  <si>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</si>
  <si>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</si>
  <si>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</si>
  <si>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</si>
  <si>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</si>
  <si>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</si>
  <si>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</si>
  <si>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</si>
  <si>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</si>
  <si>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</si>
  <si>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</si>
  <si>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</si>
  <si>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</si>
  <si>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</si>
  <si>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</si>
  <si>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</si>
  <si>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</si>
  <si>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</si>
  <si>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</si>
  <si>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</si>
  <si>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</si>
  <si>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</si>
  <si>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</si>
  <si>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</si>
  <si>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</si>
  <si>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</si>
  <si>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</si>
  <si>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</si>
  <si>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</si>
  <si>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</si>
  <si>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</si>
  <si>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</si>
  <si>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</si>
  <si>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</si>
  <si>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</si>
  <si>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</si>
  <si>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</si>
  <si>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</si>
  <si>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</si>
  <si>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</si>
  <si>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</si>
  <si>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</si>
  <si>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</si>
  <si>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</si>
  <si>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</si>
  <si>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</si>
  <si>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</si>
  <si>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</si>
  <si>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</si>
  <si>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</si>
  <si>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</si>
  <si>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</si>
  <si>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</si>
  <si>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</si>
  <si>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</si>
  <si>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</si>
  <si>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</si>
  <si>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</si>
  <si>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</si>
  <si>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</si>
  <si>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</si>
  <si>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</si>
  <si>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</si>
  <si>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</si>
  <si>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</si>
  <si>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</si>
  <si>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</si>
  <si>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</si>
  <si>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</si>
  <si>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</si>
  <si>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</si>
  <si>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</si>
  <si>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</si>
  <si>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</si>
  <si>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</si>
  <si>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</si>
  <si>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</si>
  <si>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</si>
  <si>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</si>
  <si>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</si>
  <si>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</si>
  <si>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</si>
  <si>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</si>
  <si>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</si>
  <si>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</si>
  <si>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</si>
  <si>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</si>
  <si>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</si>
  <si>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</si>
  <si>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</si>
  <si>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</si>
  <si>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</si>
  <si>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</si>
  <si>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</si>
  <si>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</si>
  <si>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</si>
  <si>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</si>
  <si>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</si>
  <si>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</si>
  <si>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</si>
  <si>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</si>
  <si>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</si>
  <si>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</si>
  <si>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</si>
  <si>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</si>
  <si>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</si>
  <si>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</si>
  <si>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</si>
  <si>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</si>
  <si>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</si>
  <si>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</si>
  <si>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</si>
  <si>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</si>
  <si>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</si>
  <si>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</si>
  <si>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</si>
  <si>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</si>
  <si>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</si>
  <si>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</si>
  <si>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</si>
  <si>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</si>
  <si>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</si>
  <si>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</si>
  <si>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</si>
  <si>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</si>
  <si>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</si>
  <si>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</si>
  <si>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</si>
  <si>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</si>
  <si>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</si>
  <si>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</si>
  <si>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</si>
  <si>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</si>
  <si>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</si>
  <si>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</si>
  <si>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</si>
  <si>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</si>
  <si>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</si>
  <si>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</si>
  <si>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</si>
  <si>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</si>
  <si>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</si>
  <si>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</si>
  <si>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</si>
  <si>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</si>
  <si>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</si>
  <si>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</si>
  <si>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</si>
  <si>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</si>
  <si>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</si>
  <si>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</si>
  <si>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</si>
  <si>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</si>
  <si>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</si>
  <si>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</si>
  <si>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</si>
  <si>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</si>
  <si>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</si>
  <si>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</si>
  <si>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</si>
  <si>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</si>
  <si>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</si>
  <si>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</si>
  <si>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</si>
  <si>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</si>
  <si>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</si>
  <si>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</si>
  <si>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</si>
  <si>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</si>
  <si>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</si>
  <si>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</si>
  <si>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</si>
  <si>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</si>
  <si>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</si>
  <si>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</si>
  <si>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</si>
  <si>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</si>
  <si>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</si>
  <si>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</si>
  <si>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</si>
  <si>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</si>
  <si>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</si>
  <si>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</si>
  <si>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</si>
  <si>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</si>
  <si>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</si>
  <si>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</si>
  <si>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</si>
  <si>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</si>
  <si>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</si>
  <si>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</si>
  <si>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</si>
  <si>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</si>
  <si>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</si>
  <si>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</si>
  <si>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</si>
  <si>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</si>
  <si>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</si>
  <si>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</si>
  <si>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</si>
  <si>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</si>
  <si>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</si>
  <si>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</si>
  <si>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</si>
  <si>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</si>
  <si>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</si>
  <si>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</si>
  <si>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</si>
  <si>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</si>
  <si>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</si>
  <si>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</si>
  <si>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</si>
  <si>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</si>
  <si>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</si>
  <si>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</si>
  <si>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</si>
  <si>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</si>
  <si>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</si>
  <si>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</si>
  <si>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</si>
  <si>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</si>
  <si>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</si>
  <si>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</si>
  <si>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</si>
  <si>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</si>
  <si>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</si>
  <si>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</si>
  <si>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</si>
  <si>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</si>
  <si>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</si>
  <si>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</si>
  <si>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</si>
  <si>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</si>
  <si>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</si>
  <si>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</si>
  <si>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</si>
  <si>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</si>
  <si>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</si>
  <si>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</si>
  <si>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</si>
  <si>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</si>
  <si>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</si>
  <si>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</si>
  <si>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</si>
  <si>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</si>
  <si>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</si>
  <si>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</si>
  <si>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</si>
  <si>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</si>
  <si>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</si>
  <si>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</si>
  <si>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</si>
  <si>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</si>
  <si>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</si>
  <si>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</si>
  <si>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</si>
  <si>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</si>
  <si>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</si>
  <si>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</si>
  <si>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</si>
  <si>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</si>
  <si>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</si>
  <si>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</si>
  <si>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</si>
  <si>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</si>
  <si>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</si>
  <si>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</si>
  <si>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</si>
  <si>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</si>
  <si>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</si>
  <si>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</si>
  <si>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</si>
  <si>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</si>
  <si>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</si>
  <si>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</si>
  <si>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</si>
  <si>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</si>
  <si>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</si>
  <si>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</si>
  <si>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</si>
  <si>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</si>
  <si>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</si>
  <si>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</si>
  <si>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</si>
  <si>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</si>
  <si>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</si>
  <si>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</si>
  <si>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</si>
  <si>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</si>
  <si>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</si>
  <si>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</si>
  <si>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</si>
  <si>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</si>
  <si>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</si>
  <si>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</si>
  <si>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</si>
  <si>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</si>
  <si>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</si>
  <si>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</si>
  <si>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</si>
  <si>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</si>
  <si>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</si>
  <si>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</si>
  <si>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</si>
  <si>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</si>
  <si>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</si>
  <si>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</si>
  <si>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</si>
  <si>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</si>
  <si>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</si>
  <si>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</si>
  <si>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</si>
  <si>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</si>
  <si>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</si>
  <si>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</si>
  <si>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</si>
  <si>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</si>
  <si>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</si>
  <si>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</si>
  <si>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</si>
  <si>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</si>
  <si>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</si>
  <si>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</si>
  <si>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</si>
  <si>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</si>
  <si>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</si>
  <si>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</si>
  <si>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</si>
  <si>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</si>
  <si>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</si>
  <si>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</si>
  <si>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</si>
  <si>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</si>
  <si>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</si>
  <si>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</si>
  <si>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</si>
  <si>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</si>
  <si>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</si>
  <si>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</si>
  <si>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</si>
  <si>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</si>
  <si>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</si>
  <si>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</si>
  <si>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</si>
  <si>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</si>
  <si>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</si>
  <si>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</si>
  <si>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</si>
  <si>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</si>
  <si>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</si>
  <si>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</si>
  <si>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</si>
  <si>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</si>
  <si>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</si>
  <si>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</si>
  <si>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</si>
  <si>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</si>
  <si>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</si>
  <si>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</si>
  <si>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</si>
  <si>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</si>
  <si>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</si>
  <si>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</si>
  <si>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</si>
  <si>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</si>
  <si>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</si>
  <si>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</si>
  <si>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</si>
  <si>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</si>
  <si>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</si>
  <si>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</si>
  <si>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</si>
  <si>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</si>
  <si>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</si>
  <si>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</si>
  <si>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</si>
  <si>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</si>
  <si>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</si>
  <si>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</si>
  <si>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</si>
  <si>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</si>
  <si>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</si>
  <si>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</si>
  <si>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</si>
  <si>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</si>
  <si>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</si>
  <si>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</si>
  <si>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</si>
  <si>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</si>
  <si>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</si>
  <si>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</si>
  <si>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</si>
  <si>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</si>
  <si>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</si>
  <si>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</si>
  <si>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</si>
  <si>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</si>
  <si>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</si>
  <si>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</si>
  <si>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</si>
  <si>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</si>
  <si>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</si>
  <si>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</si>
  <si>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</si>
  <si>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</si>
  <si>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</si>
  <si>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</si>
  <si>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</si>
  <si>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</si>
  <si>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</si>
  <si>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</si>
  <si>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</si>
  <si>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</si>
  <si>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</si>
  <si>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</si>
  <si>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</si>
  <si>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</si>
  <si>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</si>
  <si>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</si>
  <si>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</si>
  <si>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</si>
  <si>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</si>
  <si>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</si>
  <si>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</si>
  <si>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</si>
  <si>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</si>
  <si>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</si>
  <si>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</si>
  <si>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</si>
  <si>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</si>
  <si>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</si>
  <si>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</si>
  <si>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</si>
  <si>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</si>
  <si>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</si>
  <si>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</si>
  <si>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</si>
  <si>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</si>
  <si>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</si>
  <si>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</si>
  <si>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</si>
  <si>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</si>
  <si>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</si>
  <si>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</si>
  <si>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</si>
  <si>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</si>
  <si>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</si>
  <si>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</si>
  <si>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</si>
  <si>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</si>
  <si>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</si>
  <si>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</si>
  <si>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</si>
  <si>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</si>
  <si>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</si>
  <si>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</si>
  <si>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</si>
  <si>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</si>
  <si>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</si>
  <si>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</si>
  <si>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</si>
  <si>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</si>
  <si>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</si>
  <si>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</si>
  <si>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</si>
  <si>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</si>
  <si>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</si>
  <si>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</si>
  <si>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</si>
  <si>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</si>
  <si>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</si>
  <si>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</si>
  <si>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</si>
  <si>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</si>
  <si>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</si>
  <si>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</si>
  <si>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</si>
  <si>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</si>
  <si>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</si>
  <si>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</si>
  <si>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</si>
  <si>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</si>
  <si>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</si>
  <si>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</si>
  <si>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</si>
  <si>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</si>
  <si>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</si>
  <si>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</si>
  <si>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</si>
  <si>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</si>
  <si>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</si>
  <si>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</si>
  <si>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</si>
  <si>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</si>
  <si>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</si>
  <si>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</si>
  <si>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</si>
  <si>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</si>
  <si>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</si>
  <si>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</si>
  <si>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</si>
  <si>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</si>
  <si>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</si>
  <si>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</si>
  <si>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</si>
  <si>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</si>
  <si>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</si>
  <si>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</si>
  <si>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</si>
  <si>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</si>
  <si>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</si>
  <si>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</si>
  <si>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</si>
  <si>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</si>
  <si>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</si>
  <si>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</si>
  <si>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</si>
  <si>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</si>
  <si>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</si>
  <si>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</si>
  <si>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</si>
  <si>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</si>
  <si>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</si>
  <si>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</si>
  <si>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</si>
  <si>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</si>
  <si>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</si>
  <si>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</si>
  <si>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</si>
  <si>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</si>
  <si>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</si>
  <si>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</si>
  <si>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</si>
  <si>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</si>
  <si>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</si>
  <si>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</si>
  <si>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</si>
  <si>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</si>
  <si>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</si>
  <si>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</si>
  <si>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</si>
  <si>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</si>
  <si>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</si>
  <si>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</si>
  <si>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</si>
  <si>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</si>
  <si>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</si>
  <si>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</si>
  <si>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</si>
  <si>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</si>
  <si>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</si>
  <si>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</si>
  <si>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</si>
  <si>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</si>
  <si>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</si>
  <si>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</si>
  <si>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</si>
  <si>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</si>
  <si>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</si>
  <si>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</si>
  <si>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</si>
  <si>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</si>
  <si>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</si>
  <si>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</si>
  <si>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</si>
  <si>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</si>
  <si>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</si>
  <si>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</si>
  <si>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</si>
  <si>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</si>
  <si>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</si>
  <si>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</si>
  <si>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</si>
  <si>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</si>
  <si>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</si>
  <si>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</si>
  <si>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</si>
  <si>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</si>
  <si>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</si>
  <si>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</si>
  <si>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</si>
  <si>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</si>
  <si>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</si>
  <si>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</si>
  <si>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</si>
  <si>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</si>
  <si>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</si>
  <si>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</si>
  <si>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</si>
  <si>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</si>
  <si>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</si>
  <si>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</si>
  <si>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</si>
  <si>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</si>
  <si>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</si>
  <si>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</si>
  <si>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</si>
  <si>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</si>
  <si>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</si>
  <si>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</si>
  <si>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</si>
  <si>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</si>
  <si>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</si>
  <si>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</si>
  <si>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</si>
  <si>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</si>
  <si>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</si>
  <si>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</si>
  <si>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</si>
  <si>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</si>
  <si>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</si>
  <si>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</si>
  <si>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</si>
  <si>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</si>
  <si>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</si>
  <si>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</si>
  <si>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</si>
  <si>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</si>
  <si>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</si>
  <si>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</si>
  <si>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</si>
  <si>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</si>
  <si>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</si>
  <si>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</si>
  <si>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</si>
  <si>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</si>
  <si>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</si>
  <si>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</si>
  <si>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</si>
  <si>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</si>
  <si>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</si>
  <si>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</si>
  <si>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</si>
  <si>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</si>
  <si>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</si>
  <si>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</si>
  <si>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</si>
  <si>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</si>
  <si>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</si>
  <si>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</si>
  <si>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</si>
  <si>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</si>
  <si>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</si>
  <si>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</si>
  <si>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</si>
  <si>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</si>
  <si>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</si>
  <si>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</si>
  <si>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</si>
  <si>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</si>
  <si>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</si>
  <si>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</si>
  <si>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</si>
  <si>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</si>
  <si>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</si>
  <si>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</si>
  <si>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</si>
  <si>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</si>
  <si>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</si>
  <si>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</si>
  <si>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</si>
  <si>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</si>
  <si>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</si>
  <si>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</si>
  <si>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</si>
  <si>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</si>
  <si>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</si>
  <si>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</si>
  <si>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</si>
  <si>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</si>
  <si>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</si>
  <si>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</si>
  <si>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</si>
  <si>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</si>
  <si>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</si>
  <si>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</si>
  <si>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</si>
  <si>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</si>
  <si>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</si>
  <si>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</si>
  <si>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</si>
  <si>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</si>
  <si>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</si>
  <si>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</si>
  <si>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</si>
  <si>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</si>
  <si>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</si>
  <si>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</si>
  <si>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</si>
  <si>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</si>
  <si>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</si>
  <si>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</si>
  <si>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</si>
  <si>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</si>
  <si>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</si>
  <si>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</si>
  <si>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</si>
  <si>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</si>
  <si>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</si>
  <si>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</si>
  <si>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</si>
  <si>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</si>
  <si>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</si>
  <si>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</si>
  <si>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</si>
  <si>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</si>
  <si>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</si>
  <si>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</si>
  <si>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</si>
  <si>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</si>
  <si>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</si>
  <si>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</si>
  <si>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</si>
  <si>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</si>
  <si>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</si>
  <si>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</si>
  <si>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</si>
  <si>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</si>
  <si>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</si>
  <si>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</si>
  <si>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</si>
  <si>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</si>
  <si>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</si>
  <si>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</si>
  <si>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</si>
  <si>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</si>
  <si>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</si>
  <si>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</si>
  <si>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</si>
  <si>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</si>
  <si>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</si>
  <si>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</si>
  <si>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</si>
  <si>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</si>
  <si>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</si>
  <si>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</si>
  <si>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</si>
  <si>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</si>
  <si>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</si>
  <si>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</si>
  <si>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</si>
  <si>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</si>
  <si>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</si>
  <si>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</si>
  <si>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</si>
  <si>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</si>
  <si>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</si>
  <si>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</si>
  <si>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</si>
  <si>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</si>
  <si>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</si>
  <si>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</si>
  <si>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</si>
  <si>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</si>
  <si>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</si>
  <si>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</si>
  <si>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</si>
  <si>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</si>
  <si>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</si>
  <si>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</si>
  <si>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</si>
  <si>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</si>
  <si>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</si>
  <si>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</si>
  <si>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</si>
  <si>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</si>
  <si>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</si>
  <si>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</si>
  <si>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</si>
  <si>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</si>
  <si>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</si>
  <si>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</si>
  <si>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</si>
  <si>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</si>
  <si>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</si>
  <si>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</si>
  <si>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</si>
  <si>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</si>
  <si>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</si>
  <si>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</si>
  <si>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</si>
  <si>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</si>
  <si>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</si>
  <si>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</si>
  <si>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</si>
  <si>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</si>
  <si>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</si>
  <si>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</si>
  <si>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</si>
  <si>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</si>
  <si>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</si>
  <si>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</si>
  <si>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</si>
  <si>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</si>
  <si>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</si>
  <si>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</si>
  <si>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</si>
  <si>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</si>
  <si>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</si>
  <si>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</si>
  <si>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</si>
  <si>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</si>
  <si>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</si>
  <si>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</si>
  <si>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</si>
  <si>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</si>
  <si>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</si>
  <si>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</si>
  <si>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</si>
  <si>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</si>
  <si>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</si>
  <si>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</si>
  <si>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</si>
  <si>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</si>
  <si>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</si>
  <si>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</si>
  <si>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</si>
  <si>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</si>
  <si>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</si>
  <si>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</si>
  <si>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</si>
  <si>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</si>
  <si>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</si>
  <si>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</si>
  <si>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</si>
  <si>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</si>
  <si>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</si>
  <si>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</si>
  <si>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</si>
  <si>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</si>
  <si>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</si>
  <si>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</si>
  <si>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</si>
  <si>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</si>
  <si>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</si>
  <si>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</si>
  <si>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</si>
  <si>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</si>
  <si>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</si>
  <si>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</si>
  <si>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</si>
  <si>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</si>
  <si>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</si>
  <si>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</si>
  <si>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</si>
  <si>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</si>
  <si>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</si>
  <si>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</si>
  <si>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</si>
  <si>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</si>
  <si>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</si>
  <si>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</si>
  <si>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</si>
  <si>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</si>
  <si>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</si>
  <si>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</si>
  <si>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</si>
  <si>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</si>
  <si>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</si>
  <si>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</si>
  <si>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</si>
  <si>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</si>
  <si>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</si>
  <si>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</si>
  <si>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</si>
  <si>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</si>
  <si>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</si>
  <si>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</si>
  <si>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</si>
  <si>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</si>
  <si>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</si>
  <si>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</si>
  <si>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</si>
  <si>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</si>
  <si>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</si>
  <si>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</si>
  <si>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</si>
  <si>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</si>
  <si>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</si>
  <si>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</si>
  <si>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</si>
  <si>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</si>
  <si>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</si>
  <si>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</si>
  <si>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</si>
  <si>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</si>
  <si>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</si>
  <si>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</si>
  <si>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</si>
  <si>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</si>
  <si>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</si>
  <si>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</si>
  <si>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</si>
  <si>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</si>
  <si>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</si>
  <si>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</si>
  <si>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</si>
  <si>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</si>
  <si>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</si>
  <si>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</si>
  <si>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</si>
  <si>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</si>
  <si>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</si>
  <si>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</si>
  <si>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</si>
  <si>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</si>
  <si>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</si>
  <si>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</si>
  <si>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</si>
  <si>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</si>
  <si>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</si>
  <si>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</si>
  <si>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</si>
  <si>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</si>
  <si>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</si>
  <si>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</si>
  <si>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</si>
  <si>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</si>
  <si>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</si>
  <si>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</si>
  <si>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</si>
  <si>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</si>
  <si>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</si>
  <si>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</si>
  <si>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</si>
  <si>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</si>
  <si>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</si>
  <si>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</si>
  <si>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</si>
  <si>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</si>
  <si>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</si>
  <si>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</si>
  <si>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</si>
  <si>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</si>
  <si>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</si>
  <si>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</si>
  <si>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</si>
  <si>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</si>
  <si>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</si>
  <si>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</si>
  <si>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</si>
  <si>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</si>
  <si>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</si>
  <si>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</si>
  <si>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</si>
  <si>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</si>
  <si>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</si>
  <si>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</si>
  <si>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</si>
  <si>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</si>
  <si>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</si>
  <si>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</si>
  <si>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</si>
  <si>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</si>
  <si>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</si>
  <si>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</si>
  <si>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</si>
  <si>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</si>
  <si>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</si>
  <si>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</si>
  <si>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</si>
  <si>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</si>
  <si>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</si>
  <si>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</si>
  <si>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</si>
  <si>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</si>
  <si>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</si>
  <si>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</si>
  <si>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</si>
  <si>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</si>
  <si>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</si>
  <si>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</si>
  <si>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</si>
  <si>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</si>
  <si>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</si>
  <si>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</si>
  <si>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</si>
  <si>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</si>
  <si>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</si>
  <si>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</si>
  <si>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</si>
  <si>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</si>
  <si>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</si>
  <si>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</si>
  <si>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</si>
  <si>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</si>
  <si>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</si>
  <si>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</si>
  <si>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</si>
  <si>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</si>
  <si>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</si>
  <si>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</si>
  <si>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</si>
  <si>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</si>
  <si>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</si>
  <si>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</si>
  <si>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</si>
  <si>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</si>
  <si>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</si>
  <si>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</si>
  <si>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</si>
  <si>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</si>
  <si>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</si>
  <si>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</si>
  <si>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</si>
  <si>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</si>
  <si>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</si>
  <si>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</si>
  <si>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</si>
  <si>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</si>
  <si>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</si>
  <si>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</si>
  <si>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</si>
  <si>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</si>
  <si>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</si>
  <si>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</si>
  <si>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</si>
  <si>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</si>
  <si>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</si>
  <si>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</si>
  <si>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</si>
  <si>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</si>
  <si>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</si>
  <si>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</si>
  <si>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</si>
  <si>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</si>
  <si>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</si>
  <si>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</si>
  <si>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</si>
  <si>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</si>
  <si>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</si>
  <si>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</si>
  <si>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</si>
  <si>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</si>
  <si>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</si>
  <si>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</si>
  <si>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</si>
  <si>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</si>
  <si>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</si>
  <si>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</si>
  <si>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</si>
  <si>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</si>
  <si>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</si>
  <si>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</si>
  <si>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</si>
  <si>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</si>
  <si>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</si>
  <si>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</si>
  <si>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</si>
  <si>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</si>
  <si>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</si>
  <si>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</si>
  <si>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</si>
  <si>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</si>
  <si>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</si>
  <si>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</si>
  <si>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</si>
  <si>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</si>
  <si>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</si>
  <si>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</si>
  <si>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</si>
  <si>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</si>
  <si>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</si>
  <si>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</si>
  <si>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</si>
  <si>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</si>
  <si>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</si>
  <si>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</si>
  <si>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</si>
  <si>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</si>
  <si>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</si>
  <si>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</si>
  <si>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</si>
  <si>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</si>
  <si>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</si>
  <si>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</si>
  <si>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</si>
  <si>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</si>
  <si>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</si>
  <si>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</si>
  <si>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</si>
  <si>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</si>
  <si>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</si>
  <si>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</si>
  <si>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</si>
  <si>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</si>
  <si>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</si>
  <si>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</si>
  <si>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</si>
  <si>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</si>
  <si>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</si>
  <si>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</si>
  <si>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</si>
  <si>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</si>
  <si>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</si>
  <si>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</si>
  <si>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</si>
  <si>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</si>
  <si>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</si>
  <si>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</si>
  <si>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</si>
  <si>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</si>
  <si>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</si>
  <si>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</si>
  <si>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</si>
  <si>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</si>
  <si>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</si>
  <si>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</si>
  <si>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</si>
  <si>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</si>
  <si>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</si>
  <si>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</si>
  <si>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</si>
  <si>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</si>
  <si>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</si>
  <si>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</si>
  <si>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</si>
  <si>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</si>
  <si>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</si>
  <si>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</si>
  <si>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</si>
  <si>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</si>
  <si>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</si>
  <si>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</si>
  <si>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</si>
  <si>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</si>
  <si>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</si>
  <si>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</si>
  <si>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</si>
  <si>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</si>
  <si>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</si>
  <si>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</si>
  <si>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</si>
  <si>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</si>
  <si>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</si>
  <si>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</si>
  <si>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</si>
  <si>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</si>
  <si>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</si>
  <si>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</si>
  <si>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</si>
  <si>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</si>
  <si>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</si>
  <si>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</si>
  <si>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</si>
  <si>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</si>
  <si>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</si>
  <si>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</si>
  <si>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</si>
  <si>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</si>
  <si>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</si>
  <si>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</si>
  <si>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</si>
  <si>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</si>
  <si>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</si>
  <si>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</si>
  <si>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</si>
  <si>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</si>
  <si>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</si>
  <si>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</si>
  <si>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</si>
  <si>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</si>
  <si>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</si>
  <si>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</si>
  <si>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</si>
  <si>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</si>
  <si>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</si>
  <si>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</si>
  <si>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</si>
  <si>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</si>
  <si>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</si>
  <si>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</si>
  <si>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</si>
  <si>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</si>
  <si>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</si>
  <si>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</si>
  <si>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</si>
  <si>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</si>
  <si>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</si>
  <si>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</si>
  <si>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</si>
  <si>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</si>
  <si>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</si>
  <si>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</si>
  <si>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</si>
  <si>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</si>
  <si>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</si>
  <si>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</si>
  <si>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</si>
  <si>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</si>
  <si>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</si>
  <si>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</si>
  <si>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</si>
  <si>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</si>
  <si>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</si>
  <si>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</si>
  <si>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</si>
  <si>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</si>
  <si>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</si>
  <si>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</si>
  <si>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</si>
  <si>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</si>
  <si>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</si>
  <si>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</si>
  <si>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</si>
  <si>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</si>
  <si>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</si>
  <si>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</si>
  <si>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</si>
  <si>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</si>
  <si>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</si>
  <si>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</si>
  <si>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</si>
  <si>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</si>
  <si>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</si>
  <si>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</si>
  <si>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</si>
  <si>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</si>
  <si>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</si>
  <si>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</si>
  <si>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</si>
  <si>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</si>
  <si>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</si>
  <si>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</si>
  <si>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</si>
  <si>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</si>
  <si>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</si>
  <si>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</si>
  <si>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</si>
  <si>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</si>
  <si>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</si>
  <si>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</si>
  <si>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</si>
  <si>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</si>
  <si>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</si>
  <si>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</si>
  <si>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</si>
  <si>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</si>
  <si>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</si>
  <si>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</si>
  <si>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</si>
  <si>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</si>
  <si>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</si>
  <si>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</si>
  <si>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</si>
  <si>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</si>
  <si>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</si>
  <si>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</si>
  <si>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</si>
  <si>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</si>
  <si>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</si>
  <si>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</si>
  <si>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</si>
  <si>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</si>
  <si>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</si>
  <si>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</si>
  <si>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</si>
  <si>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</si>
  <si>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</si>
  <si>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</si>
  <si>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</si>
  <si>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</si>
  <si>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</si>
  <si>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</si>
  <si>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</si>
  <si>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</si>
  <si>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</si>
  <si>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</si>
  <si>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</si>
  <si>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</si>
  <si>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</si>
  <si>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</si>
  <si>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</si>
  <si>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</si>
  <si>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</si>
  <si>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</si>
  <si>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</si>
  <si>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</si>
  <si>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</si>
  <si>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</si>
  <si>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</si>
  <si>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</si>
  <si>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</si>
  <si>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</si>
  <si>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</si>
  <si>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</si>
  <si>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</si>
  <si>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</si>
  <si>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</si>
  <si>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</si>
  <si>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</si>
  <si>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</si>
  <si>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</si>
  <si>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</si>
  <si>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</si>
  <si>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</si>
  <si>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</si>
  <si>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</si>
  <si>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</si>
  <si>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</si>
  <si>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</si>
  <si>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</si>
  <si>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</si>
  <si>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</si>
  <si>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</si>
  <si>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</si>
  <si>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</si>
  <si>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</si>
  <si>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</si>
  <si>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</si>
  <si>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</si>
  <si>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</si>
  <si>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</si>
  <si>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</si>
  <si>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</si>
  <si>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</si>
  <si>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</si>
  <si>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</si>
  <si>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</si>
  <si>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</si>
  <si>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</si>
  <si>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</si>
  <si>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</si>
  <si>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</si>
  <si>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</si>
  <si>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</si>
  <si>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</si>
  <si>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</si>
  <si>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</si>
  <si>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</si>
  <si>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</si>
  <si>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</si>
  <si>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</si>
  <si>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</si>
  <si>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</si>
  <si>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</si>
  <si>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</si>
  <si>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</si>
  <si>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</si>
  <si>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</si>
  <si>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</si>
  <si>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</si>
  <si>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</si>
  <si>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</si>
  <si>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</si>
  <si>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</si>
  <si>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</si>
  <si>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</si>
  <si>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</si>
  <si>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</si>
  <si>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</si>
  <si>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</si>
  <si>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</si>
  <si>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</si>
  <si>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</si>
  <si>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</si>
  <si>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</si>
  <si>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</si>
  <si>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</si>
  <si>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</si>
  <si>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</si>
  <si>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</si>
  <si>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</si>
  <si>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</si>
  <si>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</si>
  <si>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</si>
  <si>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</si>
  <si>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</si>
  <si>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</si>
  <si>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</si>
  <si>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</si>
  <si>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</si>
  <si>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</si>
  <si>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</si>
  <si>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</si>
  <si>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</si>
  <si>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</si>
  <si>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</si>
  <si>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</si>
  <si>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</si>
  <si>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</si>
  <si>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</si>
  <si>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</si>
  <si>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</si>
  <si>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</si>
  <si>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</si>
  <si>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</si>
  <si>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</si>
  <si>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</si>
  <si>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</si>
  <si>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</si>
  <si>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</si>
  <si>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</si>
  <si>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</si>
  <si>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</si>
  <si>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</si>
  <si>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</si>
  <si>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</si>
  <si>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</si>
  <si>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</si>
  <si>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</si>
  <si>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</si>
  <si>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</si>
  <si>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</si>
  <si>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</si>
  <si>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</si>
  <si>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</si>
  <si>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</si>
  <si>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</si>
  <si>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</si>
  <si>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</si>
  <si>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</si>
  <si>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</si>
  <si>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</si>
  <si>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</si>
  <si>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</si>
  <si>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</si>
  <si>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</si>
  <si>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</si>
  <si>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</si>
  <si>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</si>
  <si>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</si>
  <si>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</si>
  <si>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</si>
  <si>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</si>
  <si>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</si>
  <si>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</si>
  <si>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</si>
  <si>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</si>
  <si>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</si>
  <si>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</si>
  <si>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</si>
  <si>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</si>
  <si>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</si>
  <si>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</si>
  <si>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</si>
  <si>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</si>
  <si>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</si>
  <si>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</si>
  <si>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</si>
  <si>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</si>
  <si>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</si>
  <si>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</si>
  <si>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</si>
  <si>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</si>
  <si>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</si>
  <si>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</si>
  <si>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</si>
  <si>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</si>
  <si>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</si>
  <si>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</si>
  <si>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</si>
  <si>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</si>
  <si>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</si>
  <si>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</si>
  <si>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</si>
  <si>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</si>
  <si>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</si>
  <si>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</si>
  <si>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</si>
  <si>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</si>
  <si>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</si>
  <si>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</si>
  <si>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</si>
  <si>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</si>
  <si>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</si>
  <si>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</si>
  <si>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</si>
  <si>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</si>
  <si>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</si>
  <si>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</si>
  <si>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</si>
  <si>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</si>
  <si>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</si>
  <si>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</si>
  <si>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</si>
  <si>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</si>
  <si>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</si>
  <si>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</si>
  <si>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</si>
  <si>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</si>
  <si>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</si>
  <si>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</si>
  <si>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</si>
  <si>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</si>
  <si>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</si>
  <si>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</si>
  <si>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</si>
  <si>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</si>
  <si>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</si>
  <si>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</si>
  <si>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</si>
  <si>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</si>
  <si>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</si>
  <si>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</si>
  <si>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</si>
  <si>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</si>
  <si>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</si>
  <si>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</si>
  <si>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</si>
  <si>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</si>
  <si>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</si>
  <si>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</si>
  <si>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</si>
  <si>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</si>
  <si>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</si>
  <si>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</si>
  <si>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</si>
  <si>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</si>
  <si>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</si>
  <si>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</si>
  <si>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</si>
  <si>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</si>
  <si>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</si>
  <si>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</si>
  <si>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</si>
  <si>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</si>
  <si>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</si>
  <si>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</si>
  <si>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</si>
  <si>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</si>
  <si>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</si>
  <si>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</si>
  <si>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</si>
  <si>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</si>
  <si>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</si>
  <si>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</si>
  <si>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</si>
  <si>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</si>
  <si>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</si>
  <si>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</si>
  <si>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</si>
  <si>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</si>
  <si>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</si>
  <si>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</si>
  <si>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</si>
  <si>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</si>
  <si>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</si>
  <si>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</si>
  <si>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</si>
  <si>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</si>
  <si>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</si>
  <si>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</si>
  <si>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</si>
  <si>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</si>
  <si>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</si>
  <si>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</si>
  <si>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</si>
  <si>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</si>
  <si>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</si>
  <si>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</si>
  <si>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</si>
  <si>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</si>
  <si>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</si>
  <si>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</si>
  <si>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</si>
  <si>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</si>
  <si>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</si>
  <si>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</si>
  <si>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</si>
  <si>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</si>
  <si>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</si>
  <si>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</si>
  <si>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</si>
  <si>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</si>
  <si>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</si>
  <si>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</si>
  <si>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</si>
  <si>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</si>
  <si>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</si>
  <si>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</si>
  <si>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</si>
  <si>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</si>
  <si>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</si>
  <si>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</si>
  <si>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</si>
  <si>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</si>
  <si>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</si>
  <si>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</si>
  <si>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</si>
  <si>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</si>
  <si>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</si>
  <si>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</si>
  <si>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</si>
  <si>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</si>
  <si>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</si>
  <si>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</si>
  <si>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</si>
  <si>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</si>
  <si>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</si>
  <si>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</si>
  <si>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</si>
  <si>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</si>
  <si>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</si>
  <si>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</si>
  <si>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</si>
  <si>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</si>
  <si>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</si>
  <si>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</si>
  <si>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</si>
  <si>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</si>
  <si>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</si>
  <si>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</si>
  <si>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</si>
  <si>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</si>
  <si>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</si>
  <si>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</si>
  <si>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</si>
  <si>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</si>
  <si>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</si>
  <si>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</si>
  <si>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</si>
  <si>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</si>
  <si>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</si>
  <si>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</si>
  <si>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</si>
  <si>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</si>
  <si>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</si>
  <si>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</si>
  <si>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</si>
  <si>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</si>
  <si>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</si>
  <si>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</si>
  <si>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</si>
  <si>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</si>
  <si>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</si>
  <si>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</si>
  <si>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</si>
  <si>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</si>
  <si>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</si>
  <si>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</si>
  <si>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</si>
  <si>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</si>
  <si>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</si>
  <si>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</si>
  <si>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</si>
  <si>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</si>
  <si>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</si>
  <si>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</si>
  <si>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</si>
  <si>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</si>
  <si>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</si>
  <si>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</si>
  <si>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</si>
  <si>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</si>
  <si>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</si>
  <si>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</si>
  <si>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</si>
  <si>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</si>
  <si>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</si>
  <si>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</si>
  <si>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</si>
  <si>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</si>
  <si>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</si>
  <si>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</si>
  <si>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</si>
  <si>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</si>
  <si>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</si>
  <si>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</si>
  <si>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</si>
  <si>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</si>
  <si>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</si>
  <si>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</si>
  <si>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</si>
  <si>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</si>
  <si>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</si>
  <si>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</si>
  <si>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</si>
  <si>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</si>
  <si>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</si>
  <si>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</si>
  <si>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</si>
  <si>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</si>
  <si>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</si>
  <si>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</si>
  <si>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</si>
  <si>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</si>
  <si>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</si>
  <si>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</si>
  <si>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</si>
  <si>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</si>
  <si>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</si>
  <si>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</si>
  <si>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</si>
  <si>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</si>
  <si>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</si>
  <si>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</si>
  <si>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</si>
  <si>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</si>
  <si>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</si>
  <si>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</si>
  <si>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</si>
  <si>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</si>
  <si>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</si>
  <si>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</si>
  <si>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</si>
  <si>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</si>
  <si>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</si>
  <si>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</si>
  <si>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</si>
  <si>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</si>
  <si>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</si>
  <si>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</si>
  <si>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</si>
  <si>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</si>
  <si>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</si>
  <si>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</si>
  <si>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</si>
  <si>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</si>
  <si>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</si>
  <si>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</si>
  <si>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</si>
  <si>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</si>
  <si>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</si>
  <si>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</si>
  <si>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</si>
  <si>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</si>
  <si>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</si>
  <si>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</si>
  <si>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</si>
  <si>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</si>
  <si>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</si>
  <si>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</si>
  <si>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</si>
  <si>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</si>
  <si>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</si>
  <si>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</si>
  <si>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</si>
  <si>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</si>
  <si>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</si>
  <si>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</si>
  <si>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</si>
  <si>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</si>
  <si>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</si>
  <si>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</si>
  <si>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</si>
  <si>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</si>
  <si>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</si>
  <si>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</si>
  <si>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</si>
  <si>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</si>
  <si>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</si>
  <si>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</si>
  <si>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</si>
  <si>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</si>
  <si>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</si>
  <si>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</si>
  <si>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</si>
  <si>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</si>
  <si>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</si>
  <si>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</si>
  <si>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</si>
  <si>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</si>
  <si>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</si>
  <si>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</si>
  <si>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</si>
  <si>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</si>
  <si>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</si>
  <si>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</si>
  <si>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</si>
  <si>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</si>
  <si>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</si>
  <si>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</si>
  <si>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</si>
  <si>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</si>
  <si>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</si>
  <si>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</si>
  <si>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</si>
  <si>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</si>
  <si>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</si>
  <si>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</si>
  <si>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</si>
  <si>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</si>
  <si>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</si>
  <si>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</si>
  <si>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</si>
  <si>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</si>
  <si>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</si>
  <si>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</si>
  <si>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</si>
  <si>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</si>
  <si>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</si>
  <si>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</si>
  <si>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</si>
  <si>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</si>
  <si>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</si>
  <si>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</si>
  <si>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</si>
  <si>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</si>
  <si>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</si>
  <si>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</si>
  <si>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</si>
  <si>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</si>
  <si>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</si>
  <si>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</si>
  <si>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</si>
  <si>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</si>
  <si>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</si>
  <si>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</si>
  <si>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</si>
  <si>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</si>
  <si>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</si>
  <si>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</si>
  <si>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</si>
  <si>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</si>
  <si>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</si>
  <si>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</si>
  <si>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</si>
  <si>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</si>
  <si>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</si>
  <si>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</si>
  <si>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</si>
  <si>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</si>
  <si>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</si>
  <si>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</si>
  <si>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</si>
  <si>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</si>
  <si>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</si>
  <si>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</si>
  <si>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</si>
  <si>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</si>
  <si>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</si>
  <si>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</si>
  <si>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</si>
  <si>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</si>
  <si>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</si>
  <si>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</si>
  <si>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</si>
  <si>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</si>
  <si>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</si>
  <si>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</si>
  <si>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</si>
  <si>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</si>
  <si>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</si>
  <si>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</si>
  <si>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</si>
  <si>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</si>
  <si>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</si>
  <si>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</si>
  <si>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</si>
  <si>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</si>
  <si>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</si>
  <si>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</si>
  <si>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</si>
  <si>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</si>
  <si>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</si>
  <si>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</si>
  <si>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</si>
  <si>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</si>
  <si>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</si>
  <si>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</si>
  <si>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</si>
  <si>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</si>
  <si>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</si>
  <si>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</si>
  <si>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</si>
  <si>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</si>
  <si>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</si>
  <si>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</si>
  <si>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</si>
  <si>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</si>
  <si>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</si>
  <si>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</si>
  <si>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</si>
  <si>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</si>
  <si>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</si>
  <si>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</si>
  <si>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</si>
  <si>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</si>
  <si>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</si>
  <si>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</si>
  <si>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</si>
  <si>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</si>
  <si>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</si>
  <si>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</si>
  <si>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</si>
  <si>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</si>
  <si>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</si>
  <si>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</si>
  <si>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</si>
  <si>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</si>
  <si>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</si>
  <si>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</si>
  <si>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</si>
  <si>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</si>
  <si>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</si>
  <si>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</si>
  <si>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</si>
  <si>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</si>
  <si>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</si>
  <si>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</si>
  <si>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</si>
  <si>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</si>
  <si>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</si>
  <si>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</si>
  <si>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</si>
  <si>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</si>
  <si>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</si>
  <si>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</si>
  <si>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</si>
  <si>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</si>
  <si>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</si>
  <si>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</si>
  <si>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</si>
  <si>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</si>
  <si>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</si>
  <si>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</si>
  <si>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</si>
  <si>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</si>
  <si>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</si>
  <si>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</si>
  <si>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</si>
  <si>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</si>
  <si>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</si>
  <si>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</si>
  <si>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</si>
  <si>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</si>
  <si>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</si>
  <si>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</si>
  <si>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</si>
  <si>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</si>
  <si>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</si>
  <si>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</si>
  <si>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</si>
  <si>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</si>
  <si>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</si>
  <si>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</si>
  <si>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</si>
  <si>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</si>
  <si>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</si>
  <si>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</si>
  <si>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</si>
  <si>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</si>
  <si>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</si>
  <si>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</si>
  <si>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</si>
  <si>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</si>
  <si>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</si>
  <si>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</si>
  <si>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</si>
  <si>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</si>
  <si>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</si>
  <si>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</si>
  <si>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</si>
  <si>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</si>
  <si>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</si>
  <si>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</si>
  <si>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</si>
  <si>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</si>
  <si>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</si>
  <si>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</si>
  <si>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</si>
  <si>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</si>
  <si>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</si>
  <si>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</si>
  <si>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</si>
  <si>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</si>
  <si>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</si>
  <si>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</si>
  <si>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</si>
  <si>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</si>
  <si>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</si>
  <si>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</si>
  <si>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</si>
  <si>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</si>
  <si>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</si>
  <si>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</si>
  <si>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</si>
  <si>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</si>
  <si>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</si>
  <si>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</si>
  <si>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</si>
  <si>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</si>
  <si>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</si>
  <si>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</si>
  <si>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</si>
  <si>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</si>
  <si>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</si>
  <si>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</si>
  <si>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</si>
  <si>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</si>
  <si>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</si>
  <si>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</si>
  <si>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</si>
  <si>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</si>
  <si>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</si>
  <si>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</si>
  <si>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</si>
  <si>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</si>
  <si>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</si>
  <si>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</si>
  <si>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</si>
  <si>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</si>
  <si>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</si>
  <si>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</si>
  <si>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</si>
  <si>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</si>
  <si>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</si>
  <si>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</si>
  <si>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</si>
  <si>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</si>
  <si>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</si>
  <si>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</si>
  <si>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</si>
  <si>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</si>
  <si>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</si>
  <si>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</si>
  <si>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</si>
  <si>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</si>
  <si>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</si>
  <si>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</si>
  <si>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</si>
  <si>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</si>
  <si>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</si>
  <si>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</si>
  <si>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</si>
  <si>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</si>
  <si>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</si>
  <si>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</si>
  <si>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</si>
  <si>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</si>
  <si>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</si>
  <si>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</si>
  <si>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</si>
  <si>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</si>
  <si>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</si>
  <si>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</si>
  <si>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</si>
  <si>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</si>
  <si>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</si>
  <si>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</si>
  <si>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</si>
  <si>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</si>
  <si>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</si>
  <si>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</si>
  <si>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</si>
  <si>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</si>
  <si>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</si>
  <si>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</si>
  <si>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</si>
  <si>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</si>
  <si>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</si>
  <si>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</si>
  <si>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</si>
  <si>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</si>
  <si>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</si>
  <si>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</si>
  <si>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</si>
  <si>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</si>
  <si>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</si>
  <si>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</si>
  <si>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</si>
  <si>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</si>
  <si>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</si>
  <si>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</si>
  <si>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</si>
  <si>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</si>
  <si>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</si>
  <si>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</si>
  <si>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</si>
  <si>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</si>
  <si>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</si>
  <si>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</si>
  <si>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</si>
  <si>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</si>
  <si>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</si>
  <si>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</si>
  <si>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</si>
  <si>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</si>
  <si>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</si>
  <si>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</si>
  <si>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</si>
  <si>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</si>
  <si>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</si>
  <si>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</si>
  <si>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</si>
  <si>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</si>
  <si>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</si>
  <si>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</si>
  <si>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</si>
  <si>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</si>
  <si>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</si>
  <si>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</si>
  <si>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</si>
  <si>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</si>
  <si>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</si>
  <si>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</si>
  <si>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</si>
  <si>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</si>
  <si>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</si>
  <si>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</si>
  <si>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</si>
  <si>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</si>
  <si>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</si>
  <si>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</si>
  <si>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</si>
  <si>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</si>
  <si>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</si>
  <si>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</si>
  <si>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</si>
  <si>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</si>
  <si>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</si>
  <si>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</si>
  <si>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</si>
  <si>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</si>
  <si>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</si>
  <si>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</si>
  <si>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</si>
  <si>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</si>
  <si>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</si>
  <si>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</si>
  <si>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</si>
  <si>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</si>
  <si>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</si>
  <si>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</si>
  <si>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</si>
  <si>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</si>
  <si>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</si>
  <si>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</si>
  <si>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</si>
  <si>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</si>
  <si>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</si>
  <si>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</si>
  <si>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</si>
  <si>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</si>
  <si>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</si>
  <si>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</si>
  <si>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</si>
  <si>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</si>
  <si>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</si>
  <si>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</si>
  <si>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</si>
  <si>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</si>
  <si>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</si>
  <si>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</si>
  <si>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</si>
  <si>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</si>
  <si>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</si>
  <si>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</si>
  <si>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</si>
  <si>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</si>
  <si>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</si>
  <si>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</si>
  <si>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</si>
  <si>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</si>
  <si>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</si>
  <si>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</si>
  <si>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</si>
  <si>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</si>
  <si>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</si>
  <si>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</si>
  <si>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</si>
  <si>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</si>
  <si>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</si>
  <si>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</si>
  <si>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</si>
  <si>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</si>
  <si>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</si>
  <si>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</si>
  <si>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</si>
  <si>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</si>
  <si>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</si>
  <si>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</si>
  <si>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</si>
  <si>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</si>
  <si>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</si>
  <si>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</si>
  <si>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</si>
  <si>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</si>
  <si>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</si>
  <si>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</si>
  <si>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</si>
  <si>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</si>
  <si>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</si>
  <si>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</si>
  <si>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</si>
  <si>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</si>
  <si>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</si>
  <si>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</si>
  <si>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</si>
  <si>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</si>
  <si>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</si>
  <si>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</si>
  <si>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</si>
  <si>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</si>
  <si>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</si>
  <si>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</si>
  <si>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</si>
  <si>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</si>
  <si>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</si>
  <si>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</si>
  <si>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</si>
  <si>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</si>
  <si>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</si>
  <si>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</si>
  <si>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</si>
  <si>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</si>
  <si>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</si>
  <si>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</si>
  <si>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</si>
  <si>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</si>
  <si>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</si>
  <si>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</si>
  <si>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</si>
  <si>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</si>
  <si>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</si>
  <si>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</si>
  <si>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</si>
  <si>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</si>
  <si>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</si>
  <si>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</si>
  <si>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</si>
  <si>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</si>
  <si>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</si>
  <si>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</si>
  <si>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</si>
  <si>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</si>
  <si>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</si>
  <si>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</si>
  <si>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</si>
  <si>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</si>
  <si>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</si>
  <si>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</si>
  <si>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</si>
  <si>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</si>
  <si>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</si>
  <si>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</si>
  <si>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</si>
  <si>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</si>
  <si>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</si>
  <si>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</si>
  <si>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</si>
  <si>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</si>
  <si>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</si>
  <si>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</si>
  <si>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</si>
  <si>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</si>
  <si>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</si>
  <si>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</si>
  <si>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</si>
  <si>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</si>
  <si>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</si>
  <si>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</si>
  <si>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</si>
  <si>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</si>
  <si>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</si>
  <si>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</si>
  <si>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</si>
  <si>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</si>
  <si>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</si>
  <si>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</si>
  <si>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</si>
  <si>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</si>
  <si>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</si>
  <si>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</si>
  <si>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</si>
  <si>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</si>
  <si>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</si>
  <si>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</si>
  <si>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</si>
  <si>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</si>
  <si>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</si>
  <si>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</si>
  <si>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</si>
  <si>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</si>
  <si>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</si>
  <si>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</si>
  <si>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</si>
  <si>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</si>
  <si>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</si>
  <si>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</si>
  <si>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</si>
  <si>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</si>
  <si>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</si>
  <si>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</si>
  <si>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</si>
  <si>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</si>
  <si>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</si>
  <si>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</si>
  <si>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</si>
  <si>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</si>
  <si>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</si>
  <si>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</si>
  <si>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</si>
  <si>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</si>
  <si>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</si>
  <si>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</si>
  <si>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</si>
  <si>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</si>
  <si>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</si>
  <si>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</si>
  <si>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</si>
  <si>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</si>
  <si>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</si>
  <si>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</si>
  <si>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</si>
  <si>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</si>
  <si>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</si>
  <si>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</si>
  <si>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</si>
  <si>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</si>
  <si>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</si>
  <si>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</si>
  <si>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</si>
  <si>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</si>
  <si>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</si>
  <si>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</si>
  <si>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</si>
  <si>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</si>
  <si>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</si>
  <si>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</si>
  <si>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</si>
  <si>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</si>
  <si>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</si>
  <si>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</si>
  <si>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</si>
  <si>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</si>
  <si>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</si>
  <si>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</si>
  <si>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</si>
  <si>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</si>
  <si>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</si>
  <si>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</si>
  <si>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</si>
  <si>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</si>
  <si>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</si>
  <si>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</si>
  <si>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</si>
  <si>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</si>
  <si>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</si>
  <si>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</si>
  <si>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</si>
  <si>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</si>
  <si>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</si>
  <si>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</si>
  <si>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</si>
  <si>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</si>
  <si>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</si>
  <si>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</si>
  <si>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</si>
  <si>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</si>
  <si>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</si>
  <si>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</si>
  <si>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</si>
  <si>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</si>
  <si>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</si>
  <si>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</si>
  <si>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</si>
  <si>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</si>
  <si>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</si>
  <si>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</si>
  <si>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</si>
  <si>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</si>
  <si>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</si>
  <si>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</si>
  <si>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</si>
  <si>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</si>
  <si>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</si>
  <si>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</si>
  <si>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</si>
  <si>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</si>
  <si>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</si>
  <si>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</si>
  <si>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</si>
  <si>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</si>
  <si>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</si>
  <si>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</si>
  <si>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</si>
  <si>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</si>
  <si>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</si>
  <si>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</si>
  <si>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</si>
  <si>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</si>
  <si>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</si>
  <si>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</si>
  <si>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</si>
  <si>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</si>
  <si>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</si>
  <si>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</si>
  <si>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</si>
  <si>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</si>
  <si>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</si>
  <si>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</si>
  <si>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</si>
  <si>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</si>
  <si>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</si>
  <si>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</si>
  <si>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</si>
  <si>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</si>
  <si>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</si>
  <si>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</si>
  <si>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</si>
  <si>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</si>
  <si>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</si>
  <si>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</si>
  <si>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</si>
  <si>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</si>
  <si>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</si>
  <si>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</si>
  <si>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</si>
  <si>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</si>
  <si>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</si>
  <si>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</si>
  <si>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</si>
  <si>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</si>
  <si>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</si>
  <si>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</si>
  <si>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</si>
  <si>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</si>
  <si>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</si>
  <si>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</si>
  <si>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</si>
  <si>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</si>
  <si>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</si>
  <si>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</si>
  <si>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</si>
  <si>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</si>
  <si>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</si>
  <si>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</si>
  <si>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</si>
  <si>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</si>
  <si>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</si>
  <si>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</si>
  <si>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</si>
  <si>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</si>
  <si>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</si>
  <si>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</si>
  <si>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</si>
  <si>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</si>
  <si>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</si>
  <si>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</si>
  <si>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</si>
  <si>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</si>
  <si>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</si>
  <si>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</si>
  <si>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</si>
  <si>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</si>
  <si>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</si>
  <si>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</si>
  <si>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</si>
  <si>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</si>
  <si>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</si>
  <si>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</si>
  <si>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</si>
  <si>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</si>
  <si>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</si>
  <si>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</si>
  <si>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</si>
  <si>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</si>
  <si>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</si>
  <si>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</si>
  <si>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</si>
  <si>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</si>
  <si>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</si>
  <si>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</si>
  <si>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</si>
  <si>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</si>
  <si>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</si>
  <si>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</si>
  <si>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</si>
  <si>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</si>
  <si>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</si>
  <si>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</si>
  <si>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</si>
  <si>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</si>
  <si>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</si>
  <si>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</si>
  <si>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</si>
  <si>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</si>
  <si>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</si>
  <si>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</si>
  <si>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</si>
  <si>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</si>
  <si>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</si>
  <si>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</si>
  <si>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</si>
  <si>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</si>
  <si>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</si>
  <si>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</si>
  <si>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</si>
  <si>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</si>
  <si>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</si>
  <si>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</si>
  <si>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</si>
  <si>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</si>
  <si>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</si>
  <si>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</si>
  <si>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</si>
  <si>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</si>
  <si>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</si>
  <si>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</si>
  <si>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</si>
  <si>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</si>
  <si>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</si>
  <si>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</si>
  <si>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</si>
  <si>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</si>
  <si>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</si>
  <si>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</si>
  <si>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</si>
  <si>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</si>
  <si>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</si>
  <si>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</si>
  <si>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</si>
  <si>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</si>
  <si>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</si>
  <si>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</si>
  <si>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</si>
  <si>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</si>
  <si>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</si>
  <si>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</si>
  <si>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</si>
  <si>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</si>
  <si>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</si>
  <si>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</si>
  <si>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</si>
  <si>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</si>
  <si>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</si>
  <si>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</si>
  <si>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</si>
  <si>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</si>
  <si>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</si>
  <si>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</si>
  <si>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</si>
  <si>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</si>
  <si>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</si>
  <si>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</si>
  <si>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</si>
  <si>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</si>
  <si>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</si>
  <si>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</si>
  <si>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</si>
  <si>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</si>
  <si>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</si>
  <si>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</si>
  <si>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</si>
  <si>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</si>
  <si>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</si>
  <si>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</si>
  <si>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</si>
  <si>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</si>
  <si>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</si>
  <si>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</si>
  <si>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</si>
  <si>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</si>
  <si>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</si>
  <si>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</si>
  <si>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</si>
  <si>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</si>
  <si>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</si>
  <si>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</si>
  <si>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</si>
  <si>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</si>
  <si>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</si>
  <si>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</si>
  <si>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</si>
  <si>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</si>
  <si>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</si>
  <si>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</si>
  <si>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</si>
  <si>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</si>
  <si>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</si>
  <si>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</si>
  <si>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</si>
  <si>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</si>
  <si>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</si>
  <si>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</si>
  <si>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</si>
  <si>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</si>
  <si>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</si>
  <si>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</si>
  <si>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</si>
  <si>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</si>
  <si>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</si>
  <si>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</si>
  <si>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</si>
  <si>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</si>
  <si>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</si>
  <si>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</si>
  <si>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</si>
  <si>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</si>
  <si>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</si>
  <si>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</si>
  <si>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</si>
  <si>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</si>
  <si>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</si>
  <si>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</si>
  <si>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</si>
  <si>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</si>
  <si>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</si>
  <si>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</si>
  <si>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</si>
  <si>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</si>
  <si>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</si>
  <si>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</si>
  <si>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</si>
  <si>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</si>
  <si>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</si>
  <si>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</si>
  <si>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</si>
  <si>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</si>
  <si>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</si>
  <si>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</si>
  <si>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</si>
  <si>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</si>
  <si>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</si>
  <si>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</si>
  <si>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</si>
  <si>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</si>
  <si>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</si>
  <si>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</si>
  <si>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</si>
  <si>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</si>
  <si>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</si>
  <si>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</si>
  <si>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</si>
  <si>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</si>
  <si>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</si>
  <si>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</si>
  <si>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</si>
  <si>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</si>
  <si>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</si>
  <si>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</si>
  <si>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</si>
  <si>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</si>
  <si>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</si>
  <si>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</si>
  <si>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</si>
  <si>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</si>
  <si>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</si>
  <si>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</si>
  <si>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</si>
  <si>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</si>
  <si>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</si>
  <si>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</si>
  <si>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</si>
  <si>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</si>
  <si>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</si>
  <si>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</si>
  <si>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</si>
  <si>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</si>
  <si>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</si>
  <si>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</si>
  <si>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</si>
  <si>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</si>
  <si>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</si>
  <si>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</si>
  <si>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</si>
  <si>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</si>
  <si>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</si>
  <si>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</si>
  <si>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</si>
  <si>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</si>
  <si>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</si>
  <si>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</si>
  <si>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</si>
  <si>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</si>
  <si>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</si>
  <si>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</si>
  <si>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</si>
  <si>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</si>
  <si>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</si>
  <si>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</si>
  <si>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</si>
  <si>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</si>
  <si>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</si>
  <si>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</si>
  <si>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</si>
  <si>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</si>
  <si>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</si>
  <si>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</si>
  <si>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</si>
  <si>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</si>
  <si>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</si>
  <si>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</si>
  <si>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</si>
  <si>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</si>
  <si>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</si>
  <si>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</si>
  <si>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</si>
  <si>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</si>
  <si>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</si>
  <si>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</si>
  <si>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</si>
  <si>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</si>
  <si>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</si>
  <si>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</si>
  <si>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</si>
  <si>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</si>
  <si>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</si>
  <si>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</si>
  <si>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</si>
  <si>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</si>
  <si>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</si>
  <si>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</si>
  <si>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</si>
  <si>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</si>
  <si>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</si>
  <si>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</si>
  <si>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</si>
  <si>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</si>
  <si>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</si>
  <si>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</si>
  <si>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</si>
  <si>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</si>
  <si>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</si>
  <si>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</si>
  <si>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</si>
  <si>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</si>
  <si>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</si>
  <si>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</si>
  <si>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</si>
  <si>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</si>
  <si>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</si>
  <si>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</si>
  <si>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</si>
  <si>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</si>
  <si>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</si>
  <si>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</si>
  <si>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</si>
  <si>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</si>
  <si>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</si>
  <si>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</si>
  <si>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</si>
  <si>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</si>
  <si>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</si>
  <si>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</si>
  <si>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</si>
  <si>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</si>
  <si>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</si>
  <si>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</si>
  <si>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</si>
  <si>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</si>
  <si>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</si>
  <si>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</si>
  <si>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</si>
  <si>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</si>
  <si>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</si>
  <si>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</si>
  <si>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</si>
  <si>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</si>
  <si>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</si>
  <si>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</si>
  <si>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</si>
  <si>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</si>
  <si>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</si>
  <si>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</si>
  <si>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</si>
  <si>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</si>
  <si>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</si>
  <si>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</si>
  <si>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</si>
  <si>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</si>
  <si>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</si>
  <si>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</si>
  <si>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</si>
  <si>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</si>
  <si>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</si>
  <si>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</si>
  <si>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</si>
  <si>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</si>
  <si>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</si>
  <si>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</si>
  <si>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</si>
  <si>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</si>
  <si>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</si>
  <si>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</si>
  <si>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</si>
  <si>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</si>
  <si>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</si>
  <si>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</si>
  <si>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</si>
  <si>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</si>
  <si>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</si>
  <si>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</si>
  <si>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</si>
  <si>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</si>
  <si>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</si>
  <si>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</si>
  <si>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</si>
  <si>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</si>
  <si>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</si>
  <si>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</si>
  <si>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</si>
  <si>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</si>
  <si>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</si>
  <si>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</si>
  <si>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</si>
  <si>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</si>
  <si>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</si>
  <si>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</si>
  <si>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</si>
  <si>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</si>
  <si>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</si>
  <si>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</si>
  <si>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</si>
  <si>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</si>
  <si>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</si>
  <si>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</si>
  <si>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</si>
  <si>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</si>
  <si>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</si>
  <si>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</si>
  <si>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</si>
  <si>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</si>
  <si>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</si>
  <si>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</si>
  <si>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</si>
  <si>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</si>
  <si>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</si>
  <si>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</si>
  <si>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</si>
  <si>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</si>
  <si>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</si>
  <si>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</si>
  <si>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</si>
  <si>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</si>
  <si>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</si>
  <si>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</si>
  <si>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</si>
  <si>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</si>
  <si>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</si>
  <si>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</si>
  <si>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</si>
  <si>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</si>
  <si>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</si>
  <si>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</si>
  <si>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</si>
  <si>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</si>
  <si>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</si>
  <si>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</si>
  <si>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</si>
  <si>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</si>
  <si>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</si>
  <si>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</si>
  <si>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</si>
  <si>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</si>
  <si>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</si>
  <si>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</si>
  <si>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</si>
  <si>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</si>
  <si>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</si>
  <si>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</si>
  <si>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</si>
  <si>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</si>
  <si>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</si>
  <si>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</si>
  <si>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</si>
  <si>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</si>
  <si>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</si>
  <si>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</si>
  <si>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</si>
  <si>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</si>
  <si>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</si>
  <si>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</si>
  <si>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</si>
  <si>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</si>
  <si>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</si>
  <si>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</si>
  <si>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</si>
  <si>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</si>
  <si>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</si>
  <si>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</si>
  <si>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</si>
  <si>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</si>
  <si>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</si>
  <si>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</si>
  <si>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</si>
  <si>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</si>
  <si>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</si>
  <si>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</si>
  <si>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</si>
  <si>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</si>
  <si>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</si>
  <si>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</si>
  <si>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</si>
  <si>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</si>
  <si>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</si>
  <si>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</si>
  <si>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</si>
  <si>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</si>
  <si>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</si>
  <si>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</si>
  <si>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</si>
  <si>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</si>
  <si>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</si>
  <si>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</si>
  <si>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</si>
  <si>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</si>
  <si>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</si>
  <si>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</si>
  <si>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</si>
  <si>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</si>
  <si>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</si>
  <si>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</si>
  <si>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</si>
  <si>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</si>
  <si>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</si>
  <si>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</si>
  <si>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</si>
  <si>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</si>
  <si>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</si>
  <si>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</si>
  <si>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</si>
  <si>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</si>
  <si>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</si>
  <si>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</si>
  <si>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</si>
  <si>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</si>
  <si>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</si>
  <si>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</si>
  <si>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</si>
  <si>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</si>
  <si>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</si>
  <si>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</si>
  <si>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</si>
  <si>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</si>
  <si>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</si>
  <si>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</si>
  <si>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</si>
  <si>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</si>
  <si>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</si>
  <si>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</si>
  <si>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</si>
  <si>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</si>
  <si>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</si>
  <si>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</si>
  <si>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</si>
  <si>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</si>
  <si>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</si>
  <si>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</si>
  <si>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</si>
  <si>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</si>
  <si>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</si>
  <si>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</si>
  <si>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</si>
  <si>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</si>
  <si>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</si>
  <si>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</si>
  <si>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</si>
  <si>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</si>
  <si>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</si>
  <si>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</si>
  <si>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</si>
  <si>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</si>
  <si>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</si>
  <si>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</si>
  <si>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</si>
  <si>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</si>
  <si>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</si>
  <si>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</si>
  <si>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</si>
  <si>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</si>
  <si>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</si>
  <si>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</si>
  <si>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</si>
  <si>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</si>
  <si>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</si>
  <si>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</si>
  <si>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</si>
  <si>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</si>
  <si>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</si>
  <si>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</si>
  <si>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</si>
  <si>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</si>
  <si>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</si>
  <si>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</si>
  <si>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</si>
  <si>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</si>
  <si>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</si>
  <si>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</si>
  <si>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</si>
  <si>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</si>
  <si>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</si>
  <si>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</si>
  <si>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</si>
  <si>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</si>
  <si>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</si>
  <si>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</si>
  <si>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</si>
  <si>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</si>
  <si>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</si>
  <si>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</si>
  <si>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</si>
  <si>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</si>
  <si>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</si>
  <si>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</si>
  <si>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</si>
  <si>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</si>
  <si>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</si>
  <si>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</si>
  <si>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</si>
  <si>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</si>
  <si>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</si>
  <si>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</si>
  <si>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</si>
  <si>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</si>
  <si>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</si>
  <si>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</si>
  <si>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</si>
  <si>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</si>
  <si>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</si>
  <si>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</si>
  <si>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</si>
  <si>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</si>
  <si>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</si>
  <si>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</si>
  <si>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</si>
  <si>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</si>
  <si>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</si>
  <si>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</si>
  <si>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</si>
  <si>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</si>
  <si>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</si>
  <si>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</si>
  <si>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</si>
  <si>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</si>
  <si>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</si>
  <si>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</si>
  <si>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</si>
  <si>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</si>
  <si>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</si>
  <si>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</si>
  <si>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</si>
  <si>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</si>
  <si>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</si>
  <si>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</si>
  <si>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</si>
  <si>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</si>
  <si>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</si>
  <si>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</si>
  <si>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</si>
  <si>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</si>
  <si>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</si>
  <si>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</si>
  <si>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</si>
  <si>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</si>
  <si>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</si>
  <si>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</si>
  <si>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</si>
  <si>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</si>
  <si>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</si>
  <si>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</si>
  <si>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</si>
  <si>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</si>
  <si>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</si>
  <si>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</si>
  <si>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</si>
  <si>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</si>
  <si>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</si>
  <si>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</si>
  <si>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</si>
  <si>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</si>
  <si>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</si>
  <si>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</si>
  <si>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</si>
  <si>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</si>
  <si>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</si>
  <si>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</si>
  <si>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</si>
  <si>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</si>
  <si>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</si>
  <si>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</si>
  <si>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</si>
  <si>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</si>
  <si>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</si>
  <si>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</si>
  <si>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</si>
  <si>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</si>
  <si>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</si>
  <si>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</si>
  <si>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</si>
  <si>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</si>
  <si>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</si>
  <si>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</si>
  <si>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</si>
  <si>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</si>
  <si>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</si>
  <si>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</si>
  <si>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</si>
  <si>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</si>
  <si>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</si>
  <si>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</si>
  <si>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</si>
  <si>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</si>
  <si>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</si>
  <si>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</si>
  <si>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</si>
  <si>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</si>
  <si>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</si>
  <si>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</si>
  <si>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</si>
  <si>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</si>
  <si>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</si>
  <si>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</si>
  <si>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</si>
  <si>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</si>
  <si>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</si>
  <si>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</si>
  <si>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</si>
  <si>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</si>
  <si>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</si>
  <si>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</si>
  <si>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</si>
  <si>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</si>
  <si>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</si>
  <si>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</si>
  <si>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</si>
  <si>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</si>
  <si>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</si>
  <si>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</si>
  <si>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</si>
  <si>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</si>
  <si>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</si>
  <si>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</si>
  <si>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</si>
  <si>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</si>
  <si>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</si>
  <si>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</si>
  <si>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</si>
  <si>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</si>
  <si>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</si>
  <si>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</si>
  <si>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</si>
  <si>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</si>
  <si>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</si>
  <si>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</si>
  <si>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</si>
  <si>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</si>
  <si>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</si>
  <si>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</si>
  <si>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</si>
  <si>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</si>
  <si>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</si>
  <si>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</si>
  <si>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</si>
  <si>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</si>
  <si>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</si>
  <si>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</si>
  <si>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</si>
  <si>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</si>
  <si>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</si>
  <si>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</si>
  <si>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</si>
  <si>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</si>
  <si>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</si>
  <si>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</si>
  <si>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</si>
  <si>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</si>
  <si>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</si>
  <si>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</si>
  <si>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</si>
  <si>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</si>
  <si>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</si>
  <si>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</si>
  <si>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</si>
  <si>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</si>
  <si>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</si>
  <si>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</si>
  <si>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</si>
  <si>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</si>
  <si>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</si>
  <si>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</si>
  <si>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</si>
  <si>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</si>
  <si>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</si>
  <si>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</si>
  <si>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</si>
  <si>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</si>
  <si>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</si>
  <si>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</si>
  <si>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</si>
  <si>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</si>
  <si>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</si>
  <si>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</si>
  <si>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</si>
  <si>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</si>
  <si>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</si>
  <si>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</si>
  <si>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</si>
  <si>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</si>
  <si>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</si>
  <si>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</si>
  <si>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</si>
  <si>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</si>
  <si>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</si>
  <si>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</si>
  <si>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</si>
  <si>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</si>
  <si>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</si>
  <si>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</si>
  <si>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</si>
  <si>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</si>
  <si>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</si>
  <si>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</si>
  <si>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</si>
  <si>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</si>
  <si>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</si>
  <si>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</si>
  <si>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</si>
  <si>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</si>
  <si>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</si>
  <si>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</si>
  <si>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</si>
  <si>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</si>
  <si>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</si>
  <si>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</si>
  <si>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</si>
  <si>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</si>
  <si>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</si>
  <si>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</si>
  <si>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</si>
  <si>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</si>
  <si>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</si>
  <si>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</si>
  <si>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</si>
  <si>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</si>
  <si>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</si>
  <si>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</si>
  <si>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</si>
  <si>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</si>
  <si>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</si>
  <si>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</si>
  <si>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</si>
  <si>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</si>
  <si>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</si>
  <si>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</si>
  <si>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</si>
  <si>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</si>
  <si>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</si>
  <si>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</si>
  <si>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</si>
  <si>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</si>
  <si>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</si>
  <si>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</si>
  <si>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</si>
  <si>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</si>
  <si>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</si>
  <si>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</si>
  <si>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</si>
  <si>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</si>
  <si>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</si>
  <si>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</si>
  <si>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</si>
  <si>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</si>
  <si>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</si>
  <si>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</si>
  <si>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</si>
  <si>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</si>
  <si>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</si>
  <si>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</si>
  <si>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</si>
  <si>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</si>
  <si>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</si>
  <si>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</si>
  <si>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</si>
  <si>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</si>
  <si>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</si>
  <si>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</si>
  <si>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</si>
  <si>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</si>
  <si>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</si>
  <si>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</si>
  <si>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</si>
  <si>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</si>
  <si>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</si>
  <si>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</si>
  <si>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</si>
  <si>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</si>
  <si>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</si>
  <si>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</si>
  <si>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</si>
  <si>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</si>
  <si>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</si>
  <si>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</si>
  <si>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</si>
  <si>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</si>
  <si>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</si>
  <si>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</si>
  <si>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</si>
  <si>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</si>
  <si>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</si>
  <si>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</si>
  <si>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</si>
  <si>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</si>
  <si>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</si>
  <si>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</si>
  <si>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</si>
  <si>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</si>
  <si>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</si>
  <si>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</si>
  <si>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</si>
  <si>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</si>
  <si>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</si>
  <si>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</si>
  <si>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</si>
  <si>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</si>
  <si>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</si>
  <si>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</si>
  <si>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</si>
  <si>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</si>
  <si>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</si>
  <si>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</si>
  <si>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</si>
  <si>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</si>
  <si>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</si>
  <si>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</si>
  <si>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</si>
  <si>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</si>
  <si>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</si>
  <si>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</si>
  <si>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</si>
  <si>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</si>
  <si>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</si>
  <si>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</si>
  <si>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</si>
  <si>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</si>
  <si>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</si>
  <si>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</si>
  <si>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</si>
  <si>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</si>
  <si>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</si>
  <si>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</si>
  <si>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</si>
  <si>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</si>
  <si>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</si>
  <si>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</si>
  <si>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</si>
  <si>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</si>
  <si>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</si>
  <si>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</si>
  <si>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</si>
  <si>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</si>
  <si>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</si>
  <si>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</si>
  <si>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</si>
  <si>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</si>
  <si>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</si>
  <si>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</si>
  <si>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</si>
  <si>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</si>
  <si>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</si>
  <si>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</si>
  <si>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</si>
  <si>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</si>
  <si>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</si>
  <si>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</si>
  <si>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</si>
  <si>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</si>
  <si>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</si>
  <si>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</si>
  <si>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</si>
  <si>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</si>
  <si>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</si>
  <si>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</si>
  <si>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</si>
  <si>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</si>
  <si>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</si>
  <si>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</si>
  <si>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</si>
  <si>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</si>
  <si>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</si>
  <si>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</si>
  <si>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</si>
  <si>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</si>
  <si>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</si>
  <si>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</si>
  <si>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</si>
  <si>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</si>
  <si>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</si>
  <si>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</si>
  <si>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</si>
  <si>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</si>
  <si>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</si>
  <si>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</si>
  <si>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</si>
  <si>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</si>
  <si>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</si>
  <si>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</si>
  <si>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</si>
  <si>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</si>
  <si>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</si>
  <si>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</si>
  <si>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</si>
  <si>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</si>
  <si>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</si>
  <si>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</si>
  <si>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</si>
  <si>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</si>
  <si>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</si>
  <si>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</si>
  <si>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</si>
  <si>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</si>
  <si>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</si>
  <si>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</si>
  <si>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</si>
  <si>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</si>
  <si>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</si>
  <si>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</si>
  <si>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</si>
  <si>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</si>
  <si>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</si>
  <si>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</si>
  <si>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</si>
  <si>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</si>
  <si>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</si>
  <si>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</si>
  <si>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</si>
  <si>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</si>
  <si>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</si>
  <si>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</si>
  <si>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</si>
  <si>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</si>
  <si>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</si>
  <si>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</si>
  <si>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</si>
  <si>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</si>
  <si>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</si>
  <si>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</si>
  <si>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</si>
  <si>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</si>
  <si>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</si>
  <si>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</si>
  <si>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</si>
  <si>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</si>
  <si>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</si>
  <si>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</si>
  <si>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</si>
  <si>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</si>
  <si>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</si>
  <si>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</si>
  <si>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</si>
  <si>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</si>
  <si>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</si>
  <si>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</si>
  <si>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</si>
  <si>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</si>
  <si>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</si>
  <si>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</si>
  <si>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</si>
  <si>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</si>
  <si>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</si>
  <si>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</si>
  <si>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</si>
  <si>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</si>
  <si>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</si>
  <si>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</si>
  <si>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</si>
  <si>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</si>
  <si>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</si>
  <si>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</si>
  <si>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</si>
  <si>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</si>
  <si>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</si>
  <si>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</si>
  <si>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</si>
  <si>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</si>
  <si>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</si>
  <si>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</si>
  <si>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</si>
  <si>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</si>
  <si>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</si>
  <si>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</si>
  <si>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</si>
  <si>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</si>
  <si>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</si>
  <si>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</si>
  <si>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</si>
  <si>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</si>
  <si>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</si>
  <si>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</si>
  <si>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</si>
  <si>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</si>
  <si>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</si>
  <si>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</si>
  <si>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</si>
  <si>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</si>
  <si>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</si>
  <si>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</si>
  <si>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</si>
  <si>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</si>
  <si>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</si>
  <si>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</si>
  <si>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</si>
  <si>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</si>
  <si>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</si>
  <si>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</si>
  <si>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</si>
  <si>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</si>
  <si>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</si>
  <si>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</si>
  <si>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</si>
  <si>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</si>
  <si>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</si>
  <si>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</si>
  <si>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</si>
  <si>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</si>
  <si>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</si>
  <si>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</si>
  <si>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</si>
  <si>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</si>
  <si>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</si>
  <si>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</si>
  <si>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</si>
  <si>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</si>
  <si>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</si>
  <si>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</si>
  <si>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</si>
  <si>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</si>
  <si>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</si>
  <si>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</si>
  <si>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</si>
  <si>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</si>
  <si>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</si>
  <si>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</si>
  <si>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</si>
  <si>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</si>
  <si>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</si>
  <si>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</si>
  <si>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</si>
  <si>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</si>
  <si>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</si>
  <si>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</si>
  <si>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</si>
  <si>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</si>
  <si>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</si>
  <si>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</si>
  <si>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</si>
  <si>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</si>
  <si>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</si>
  <si>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</si>
  <si>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</si>
  <si>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</si>
  <si>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</si>
  <si>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</si>
  <si>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</si>
  <si>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</si>
  <si>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</si>
  <si>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</si>
  <si>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</si>
  <si>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</si>
  <si>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</si>
  <si>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</si>
  <si>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</si>
  <si>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</si>
  <si>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</si>
  <si>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</si>
  <si>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</si>
  <si>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</si>
  <si>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</si>
  <si>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</si>
  <si>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</si>
  <si>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</si>
  <si>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</si>
  <si>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</si>
  <si>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</si>
  <si>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</si>
  <si>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</si>
  <si>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</si>
  <si>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</si>
  <si>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</si>
  <si>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</si>
  <si>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</si>
  <si>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</si>
  <si>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</si>
  <si>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</si>
  <si>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</si>
  <si>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</si>
  <si>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</si>
  <si>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</si>
  <si>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</si>
  <si>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</si>
  <si>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</si>
  <si>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</si>
  <si>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</si>
  <si>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</si>
  <si>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</si>
  <si>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</si>
  <si>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</si>
  <si>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</si>
  <si>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</si>
  <si>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</si>
  <si>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</si>
  <si>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</si>
  <si>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</si>
  <si>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</si>
  <si>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</si>
  <si>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</si>
  <si>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</si>
  <si>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</si>
  <si>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</si>
  <si>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</si>
  <si>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</si>
  <si>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</si>
  <si>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</si>
  <si>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</si>
  <si>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</si>
  <si>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</si>
  <si>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</si>
  <si>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</si>
  <si>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</si>
  <si>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</si>
  <si>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</si>
  <si>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</si>
  <si>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</si>
  <si>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</si>
  <si>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</si>
  <si>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</si>
  <si>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</si>
  <si>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</si>
  <si>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</si>
  <si>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</si>
  <si>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</si>
  <si>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</si>
  <si>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</si>
  <si>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</si>
  <si>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</si>
  <si>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</si>
  <si>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</si>
  <si>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</si>
  <si>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</si>
  <si>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</si>
  <si>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</si>
  <si>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</si>
  <si>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</si>
  <si>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</si>
  <si>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</si>
  <si>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</si>
  <si>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</si>
  <si>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</si>
  <si>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</si>
  <si>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</si>
  <si>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</si>
  <si>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</si>
  <si>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</si>
  <si>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</si>
  <si>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</si>
  <si>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</si>
  <si>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</si>
  <si>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</si>
  <si>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</si>
  <si>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</si>
  <si>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</si>
  <si>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</si>
  <si>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</si>
  <si>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</si>
  <si>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</si>
  <si>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</si>
  <si>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</si>
  <si>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</si>
  <si>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</si>
  <si>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</si>
  <si>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</si>
  <si>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</si>
  <si>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</si>
  <si>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</si>
  <si>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</si>
  <si>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</si>
  <si>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</si>
  <si>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</si>
  <si>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</si>
  <si>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</si>
  <si>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</si>
  <si>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</si>
  <si>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</si>
  <si>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</si>
  <si>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</si>
  <si>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</si>
  <si>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</si>
  <si>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</si>
  <si>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</si>
  <si>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</si>
  <si>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</si>
  <si>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</si>
  <si>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</si>
  <si>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</si>
  <si>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</si>
  <si>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</si>
  <si>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</si>
  <si>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</si>
  <si>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</si>
  <si>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</si>
  <si>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</si>
  <si>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</si>
  <si>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</si>
  <si>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</si>
  <si>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</si>
  <si>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</si>
  <si>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</si>
  <si>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</si>
  <si>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</si>
  <si>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</si>
  <si>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</si>
  <si>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</si>
  <si>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</si>
  <si>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</si>
  <si>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</si>
  <si>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</si>
  <si>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</si>
  <si>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</si>
  <si>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</si>
  <si>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</si>
  <si>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</si>
  <si>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</si>
  <si>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</si>
  <si>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</si>
  <si>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</si>
  <si>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</si>
  <si>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</si>
  <si>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</si>
  <si>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</si>
  <si>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</si>
  <si>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</si>
  <si>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</si>
  <si>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</si>
  <si>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</si>
  <si>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</si>
  <si>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</si>
  <si>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</si>
  <si>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</si>
  <si>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</si>
  <si>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</si>
  <si>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</si>
  <si>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</si>
  <si>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</si>
  <si>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</si>
  <si>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</si>
  <si>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</si>
  <si>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</si>
  <si>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</si>
  <si>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</si>
  <si>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</si>
  <si>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</si>
  <si>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</si>
  <si>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</si>
  <si>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</si>
  <si>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</si>
  <si>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</si>
  <si>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</si>
  <si>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</si>
  <si>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</si>
  <si>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</si>
  <si>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</si>
  <si>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</si>
  <si>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</si>
  <si>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</si>
  <si>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</si>
  <si>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</si>
  <si>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</si>
  <si>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</si>
  <si>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</si>
  <si>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</si>
  <si>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</si>
  <si>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</si>
  <si>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</si>
  <si>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</si>
  <si>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</si>
  <si>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</si>
  <si>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</si>
  <si>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</si>
  <si>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</si>
  <si>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</si>
  <si>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</si>
  <si>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</si>
  <si>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</si>
  <si>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</si>
  <si>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</si>
  <si>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</si>
  <si>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</si>
  <si>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</si>
  <si>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</si>
  <si>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</si>
  <si>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</si>
  <si>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</si>
  <si>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</si>
  <si>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</si>
  <si>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</si>
  <si>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</si>
  <si>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</si>
  <si>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</si>
  <si>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</si>
  <si>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</si>
  <si>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</si>
  <si>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</si>
  <si>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</si>
  <si>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</si>
  <si>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</si>
  <si>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</si>
  <si>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</si>
  <si>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</si>
  <si>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</si>
  <si>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</si>
  <si>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</si>
  <si>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</si>
  <si>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</si>
  <si>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</si>
  <si>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</si>
  <si>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</si>
  <si>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</si>
  <si>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</si>
  <si>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</si>
  <si>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</si>
  <si>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</si>
  <si>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</si>
  <si>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</si>
  <si>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</si>
  <si>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</si>
  <si>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</si>
  <si>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</si>
  <si>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</si>
  <si>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</si>
  <si>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</si>
  <si>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</si>
  <si>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</si>
  <si>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</si>
  <si>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</si>
  <si>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</si>
  <si>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</si>
  <si>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</si>
  <si>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</si>
  <si>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</si>
  <si>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</si>
  <si>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</si>
  <si>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</si>
  <si>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</si>
  <si>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</si>
  <si>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</si>
  <si>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</si>
  <si>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</si>
  <si>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</si>
  <si>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</si>
  <si>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</si>
  <si>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</si>
  <si>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</si>
  <si>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</si>
  <si>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</si>
  <si>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</si>
  <si>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</si>
  <si>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</si>
  <si>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</si>
  <si>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</si>
  <si>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</si>
  <si>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</si>
  <si>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</si>
  <si>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</si>
  <si>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</si>
  <si>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</si>
  <si>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</si>
  <si>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</si>
  <si>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</si>
  <si>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</si>
  <si>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</si>
  <si>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</si>
  <si>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</si>
  <si>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</si>
  <si>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</si>
  <si>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</si>
  <si>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</si>
  <si>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</si>
  <si>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</si>
  <si>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</si>
  <si>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</si>
  <si>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</si>
  <si>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</si>
  <si>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</si>
  <si>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</si>
  <si>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</si>
  <si>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</si>
  <si>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</si>
  <si>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</si>
  <si>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</si>
  <si>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</si>
  <si>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</si>
  <si>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</si>
  <si>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</si>
  <si>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</si>
  <si>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</si>
  <si>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</si>
  <si>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</si>
  <si>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</si>
  <si>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</si>
  <si>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</si>
  <si>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</si>
  <si>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</si>
  <si>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</si>
  <si>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</si>
  <si>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</si>
  <si>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</si>
  <si>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</si>
  <si>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</si>
  <si>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</si>
  <si>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</si>
  <si>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</si>
  <si>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</si>
  <si>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</si>
  <si>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</si>
  <si>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</si>
  <si>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</si>
  <si>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</si>
  <si>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</si>
  <si>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</si>
  <si>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</si>
  <si>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</si>
  <si>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</si>
  <si>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</si>
  <si>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</si>
  <si>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</si>
  <si>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</si>
  <si>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</si>
  <si>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</si>
  <si>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</si>
  <si>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</si>
  <si>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</si>
  <si>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</si>
  <si>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</si>
  <si>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</si>
  <si>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</si>
  <si>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</si>
  <si>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</si>
  <si>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</si>
  <si>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</si>
  <si>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</si>
  <si>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</si>
  <si>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</si>
  <si>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</si>
  <si>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</si>
  <si>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</si>
  <si>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</si>
  <si>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</si>
  <si>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</si>
  <si>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</si>
  <si>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</si>
  <si>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</si>
  <si>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</si>
  <si>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</si>
  <si>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</si>
  <si>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</si>
  <si>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</si>
  <si>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</si>
  <si>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</si>
  <si>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</si>
  <si>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</si>
  <si>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</si>
  <si>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</si>
  <si>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</si>
  <si>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</si>
  <si>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</si>
  <si>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</si>
  <si>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</si>
  <si>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</si>
  <si>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</si>
  <si>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</si>
  <si>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</si>
  <si>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</si>
  <si>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</si>
  <si>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</si>
  <si>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</si>
  <si>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</si>
  <si>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</si>
  <si>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</si>
  <si>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</si>
  <si>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</si>
  <si>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</si>
  <si>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</si>
  <si>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</si>
  <si>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</si>
  <si>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</si>
  <si>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</si>
  <si>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</si>
  <si>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</si>
  <si>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</si>
  <si>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</si>
  <si>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</si>
  <si>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</si>
  <si>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</si>
  <si>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</si>
  <si>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</si>
  <si>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</si>
  <si>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</si>
  <si>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</si>
  <si>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</si>
  <si>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</si>
  <si>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</si>
  <si>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</si>
  <si>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</si>
  <si>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</si>
  <si>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</si>
  <si>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</si>
  <si>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</si>
  <si>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</si>
  <si>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</si>
  <si>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</si>
  <si>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</si>
  <si>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</si>
  <si>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</si>
  <si>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</si>
  <si>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</si>
  <si>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</si>
  <si>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</si>
  <si>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</si>
  <si>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</si>
  <si>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</si>
  <si>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</si>
  <si>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</si>
  <si>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</si>
  <si>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</si>
  <si>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</si>
  <si>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</si>
  <si>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</si>
  <si>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</si>
  <si>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</si>
  <si>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</si>
  <si>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</si>
  <si>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</si>
  <si>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</si>
  <si>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</si>
  <si>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</si>
  <si>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</si>
  <si>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</si>
  <si>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</si>
  <si>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</si>
  <si>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</si>
  <si>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</si>
  <si>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</si>
  <si>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</si>
  <si>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</si>
  <si>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</si>
  <si>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</si>
  <si>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</si>
  <si>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</si>
  <si>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</si>
  <si>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</si>
  <si>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</si>
  <si>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</si>
  <si>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</si>
  <si>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</si>
  <si>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</si>
  <si>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</si>
  <si>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</si>
  <si>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</si>
  <si>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</si>
  <si>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</si>
  <si>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</si>
  <si>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</si>
  <si>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</si>
  <si>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</si>
  <si>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</si>
  <si>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</si>
  <si>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</si>
  <si>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</si>
  <si>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</si>
  <si>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</si>
  <si>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</si>
  <si>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</si>
  <si>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</si>
  <si>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</si>
  <si>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</si>
  <si>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</si>
  <si>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</si>
  <si>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</si>
  <si>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</si>
  <si>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</si>
  <si>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</si>
  <si>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</si>
  <si>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</si>
  <si>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</si>
  <si>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</si>
  <si>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</si>
  <si>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</si>
  <si>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</si>
  <si>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</si>
  <si>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</si>
  <si>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</si>
  <si>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</si>
  <si>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</si>
  <si>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</si>
  <si>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</si>
  <si>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</si>
  <si>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</si>
  <si>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</si>
  <si>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</si>
  <si>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</si>
  <si>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</si>
  <si>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</si>
  <si>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</si>
  <si>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</si>
  <si>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</si>
  <si>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</si>
  <si>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</si>
  <si>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</si>
  <si>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</si>
  <si>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</si>
  <si>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</si>
  <si>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</si>
  <si>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</si>
  <si>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</si>
  <si>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</si>
  <si>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</si>
  <si>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</si>
  <si>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</si>
  <si>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</si>
  <si>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</si>
  <si>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</si>
  <si>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</si>
  <si>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</si>
  <si>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</si>
  <si>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</si>
  <si>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</si>
  <si>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</si>
  <si>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</si>
  <si>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</si>
  <si>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</si>
  <si>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</si>
  <si>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</si>
  <si>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</si>
  <si>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</si>
  <si>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</si>
  <si>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</si>
  <si>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</si>
  <si>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</si>
  <si>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</si>
  <si>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</si>
  <si>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</si>
  <si>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</si>
  <si>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</si>
  <si>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</si>
  <si>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</si>
  <si>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</si>
  <si>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</si>
  <si>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</si>
  <si>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</si>
  <si>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</si>
  <si>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</si>
  <si>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</si>
  <si>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</si>
  <si>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</si>
  <si>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</si>
  <si>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</si>
  <si>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</si>
  <si>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</si>
  <si>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</si>
  <si>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</si>
  <si>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</si>
  <si>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</si>
  <si>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</si>
  <si>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</si>
  <si>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</si>
  <si>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</si>
  <si>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</si>
  <si>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</si>
  <si>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</si>
  <si>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</si>
  <si>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</si>
  <si>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</si>
  <si>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</si>
  <si>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</si>
  <si>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</si>
  <si>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</si>
  <si>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</si>
  <si>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</si>
  <si>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</si>
  <si>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</si>
  <si>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</si>
  <si>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</si>
  <si>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</si>
  <si>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</si>
  <si>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</si>
  <si>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</si>
  <si>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</si>
  <si>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</si>
  <si>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</si>
  <si>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</si>
  <si>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</si>
  <si>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</si>
  <si>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</si>
  <si>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</si>
  <si>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</si>
  <si>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</si>
  <si>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</si>
  <si>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</si>
  <si>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</si>
  <si>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</si>
  <si>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</si>
  <si>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</si>
  <si>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</si>
  <si>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</si>
  <si>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</si>
  <si>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</si>
  <si>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</si>
  <si>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</si>
  <si>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</si>
  <si>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</si>
  <si>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</si>
  <si>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</si>
  <si>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</si>
  <si>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</si>
  <si>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</si>
  <si>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</si>
  <si>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</si>
  <si>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</si>
  <si>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</si>
  <si>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</si>
  <si>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</si>
  <si>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</si>
  <si>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</si>
  <si>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</si>
  <si>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</si>
  <si>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</si>
  <si>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</si>
  <si>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</si>
  <si>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</si>
  <si>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</si>
  <si>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</si>
  <si>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</si>
  <si>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</si>
  <si>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</si>
  <si>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</si>
  <si>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</si>
  <si>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</si>
  <si>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</si>
  <si>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</si>
  <si>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</si>
  <si>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</si>
  <si>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</si>
  <si>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</si>
  <si>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</si>
  <si>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</si>
  <si>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</si>
  <si>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</si>
  <si>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</si>
  <si>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</si>
  <si>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</si>
  <si>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</si>
  <si>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</si>
  <si>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</si>
  <si>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</si>
  <si>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</si>
  <si>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</si>
  <si>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</si>
  <si>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</si>
  <si>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</si>
  <si>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</si>
  <si>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</si>
  <si>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</si>
  <si>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</si>
  <si>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</si>
  <si>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</si>
  <si>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</si>
  <si>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</si>
  <si>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</si>
  <si>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</si>
  <si>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</si>
  <si>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</si>
  <si>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</si>
  <si>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</si>
  <si>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</si>
  <si>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</si>
  <si>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</si>
  <si>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</si>
  <si>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</si>
  <si>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</si>
  <si>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</si>
  <si>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</si>
  <si>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</si>
  <si>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</si>
  <si>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</si>
  <si>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</si>
  <si>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</si>
  <si>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</si>
  <si>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</si>
  <si>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</si>
  <si>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</si>
  <si>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</si>
  <si>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</si>
  <si>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</si>
  <si>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</si>
  <si>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</si>
  <si>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</si>
  <si>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</si>
  <si>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</si>
  <si>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</si>
  <si>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</si>
  <si>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</si>
  <si>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</si>
  <si>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</si>
  <si>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</si>
  <si>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</si>
  <si>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</si>
  <si>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</si>
  <si>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</si>
  <si>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</si>
  <si>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</si>
  <si>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</si>
  <si>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</si>
  <si>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</si>
  <si>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</si>
  <si>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</si>
  <si>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</si>
  <si>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</si>
  <si>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</si>
  <si>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</si>
  <si>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</si>
  <si>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</si>
  <si>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</si>
  <si>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</si>
  <si>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</si>
  <si>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</si>
  <si>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</si>
  <si>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</si>
  <si>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</si>
  <si>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</si>
  <si>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</si>
  <si>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</si>
  <si>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</si>
  <si>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</si>
  <si>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</si>
  <si>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</si>
  <si>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</si>
  <si>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</si>
  <si>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</si>
  <si>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</si>
  <si>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</si>
  <si>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</si>
  <si>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</si>
  <si>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</si>
  <si>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</si>
  <si>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</si>
  <si>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</si>
  <si>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</si>
  <si>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</si>
  <si>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</si>
  <si>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</si>
  <si>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</si>
  <si>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</si>
  <si>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</si>
  <si>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</si>
  <si>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</si>
  <si>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</si>
  <si>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</si>
  <si>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</si>
  <si>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</si>
  <si>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</si>
  <si>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</si>
  <si>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</si>
  <si>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</si>
  <si>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</si>
  <si>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</si>
  <si>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</si>
  <si>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</si>
  <si>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</si>
  <si>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</si>
  <si>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</si>
  <si>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</si>
  <si>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</si>
  <si>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</si>
  <si>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</si>
  <si>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</si>
  <si>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</si>
  <si>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</si>
  <si>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</si>
  <si>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</si>
  <si>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</si>
  <si>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</si>
  <si>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</si>
  <si>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</si>
  <si>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</si>
  <si>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</si>
  <si>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</si>
  <si>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</si>
  <si>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</si>
  <si>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</si>
  <si>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</si>
  <si>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</si>
  <si>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</si>
  <si>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</si>
  <si>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</si>
  <si>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</si>
  <si>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</si>
  <si>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</si>
  <si>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</si>
  <si>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</si>
  <si>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</si>
  <si>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</si>
  <si>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</si>
  <si>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</si>
  <si>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</si>
  <si>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</si>
  <si>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</si>
  <si>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</si>
  <si>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</si>
  <si>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</si>
  <si>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</si>
  <si>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</si>
  <si>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</si>
  <si>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</si>
  <si>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</si>
  <si>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</si>
  <si>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</si>
  <si>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</si>
  <si>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</si>
  <si>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</si>
  <si>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</si>
  <si>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</si>
  <si>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</si>
  <si>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</si>
  <si>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</si>
  <si>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</si>
  <si>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</si>
  <si>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</si>
  <si>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</si>
  <si>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</si>
  <si>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</si>
  <si>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</si>
  <si>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</si>
  <si>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</si>
  <si>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</si>
  <si>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</si>
  <si>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</si>
  <si>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</si>
  <si>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</si>
  <si>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</si>
  <si>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</si>
  <si>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</si>
  <si>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</si>
  <si>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</si>
  <si>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</si>
  <si>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</si>
  <si>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</si>
  <si>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</si>
  <si>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</si>
  <si>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</si>
  <si>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</si>
  <si>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</si>
  <si>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</si>
  <si>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</si>
  <si>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</si>
  <si>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</si>
  <si>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</si>
  <si>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</si>
  <si>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</si>
  <si>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</si>
  <si>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</si>
  <si>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</si>
  <si>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</si>
  <si>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</si>
  <si>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</si>
  <si>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</si>
  <si>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</si>
  <si>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</si>
  <si>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</si>
  <si>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</si>
  <si>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</si>
  <si>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</si>
  <si>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</si>
  <si>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</si>
  <si>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</si>
  <si>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</si>
  <si>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</si>
  <si>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</si>
  <si>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</si>
  <si>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</si>
  <si>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</si>
  <si>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</si>
  <si>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</si>
  <si>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</si>
  <si>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</si>
  <si>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</si>
  <si>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</si>
  <si>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</si>
  <si>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</si>
  <si>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</si>
  <si>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</si>
  <si>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</si>
  <si>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</si>
  <si>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</si>
  <si>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</si>
  <si>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</si>
  <si>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</si>
  <si>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</si>
  <si>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</si>
  <si>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</si>
  <si>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</si>
  <si>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</si>
  <si>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</si>
  <si>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</si>
  <si>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</si>
  <si>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</si>
  <si>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</si>
  <si>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</si>
  <si>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</si>
  <si>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</si>
  <si>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</si>
  <si>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</si>
  <si>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</si>
  <si>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</si>
  <si>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</si>
  <si>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</si>
  <si>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</si>
  <si>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</si>
  <si>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</si>
  <si>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</si>
  <si>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</si>
  <si>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</si>
  <si>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</si>
  <si>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</si>
  <si>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</si>
  <si>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</si>
  <si>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</si>
  <si>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</si>
  <si>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</si>
  <si>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</si>
  <si>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</si>
  <si>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</si>
  <si>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</si>
  <si>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</si>
  <si>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</si>
  <si>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</si>
  <si>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</si>
  <si>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</si>
  <si>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</si>
  <si>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</si>
  <si>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</si>
  <si>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</si>
  <si>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</si>
  <si>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</si>
  <si>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</si>
  <si>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</si>
  <si>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</si>
  <si>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</si>
  <si>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</si>
  <si>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</si>
  <si>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</si>
  <si>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</si>
  <si>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</si>
  <si>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</si>
  <si>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</si>
  <si>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</si>
  <si>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</si>
  <si>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</si>
  <si>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</si>
  <si>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</si>
  <si>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</si>
  <si>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</si>
  <si>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</si>
  <si>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</si>
  <si>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</si>
  <si>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</si>
  <si>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</si>
  <si>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</si>
  <si>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</si>
  <si>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</si>
  <si>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</si>
  <si>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</si>
  <si>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</si>
  <si>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</si>
  <si>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</si>
  <si>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</si>
  <si>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</si>
  <si>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</si>
  <si>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</si>
  <si>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</si>
  <si>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</si>
  <si>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</si>
  <si>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</si>
  <si>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</si>
  <si>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</si>
  <si>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</si>
  <si>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</si>
  <si>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</si>
  <si>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</si>
  <si>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</si>
  <si>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</si>
  <si>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</si>
  <si>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</si>
  <si>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</si>
  <si>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</si>
  <si>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</si>
  <si>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</si>
  <si>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</si>
  <si>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</si>
  <si>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</si>
  <si>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</si>
  <si>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</si>
  <si>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</si>
  <si>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</si>
  <si>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</si>
  <si>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</si>
  <si>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</si>
  <si>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</si>
  <si>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</si>
  <si>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</si>
  <si>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</si>
  <si>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</si>
  <si>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</si>
  <si>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</si>
  <si>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</si>
  <si>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</si>
  <si>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</si>
  <si>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</si>
  <si>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</si>
  <si>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</si>
  <si>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</si>
  <si>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</si>
  <si>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</si>
  <si>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</si>
  <si>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</si>
  <si>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</si>
  <si>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</si>
  <si>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</si>
  <si>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</si>
  <si>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</si>
  <si>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</si>
  <si>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</si>
  <si>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</si>
  <si>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</si>
  <si>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</si>
  <si>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</si>
  <si>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</si>
  <si>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</si>
  <si>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</si>
  <si>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</si>
  <si>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</si>
  <si>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</si>
  <si>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</si>
  <si>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</si>
  <si>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</si>
  <si>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</si>
  <si>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</si>
  <si>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</si>
  <si>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</si>
  <si>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</si>
  <si>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</si>
  <si>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</si>
  <si>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</si>
  <si>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</si>
  <si>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</si>
  <si>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</si>
  <si>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</si>
  <si>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</si>
  <si>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</si>
  <si>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</si>
  <si>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</si>
  <si>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</si>
  <si>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</si>
  <si>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</si>
  <si>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</si>
  <si>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</si>
  <si>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</si>
  <si>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</si>
  <si>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</si>
  <si>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</si>
  <si>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</si>
  <si>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</si>
  <si>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</si>
  <si>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</si>
  <si>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</si>
  <si>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</si>
  <si>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</si>
  <si>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</si>
  <si>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</si>
  <si>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</si>
  <si>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</si>
  <si>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</si>
  <si>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</si>
  <si>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</si>
  <si>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</si>
  <si>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</si>
  <si>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</si>
  <si>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</si>
  <si>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</si>
  <si>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</si>
  <si>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</si>
  <si>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</si>
  <si>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</si>
  <si>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</si>
  <si>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</si>
  <si>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</si>
  <si>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</si>
  <si>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</si>
  <si>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</si>
  <si>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</si>
  <si>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</si>
  <si>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</si>
  <si>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</si>
  <si>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</si>
  <si>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</si>
  <si>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</si>
  <si>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</si>
  <si>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</si>
  <si>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</si>
  <si>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</si>
  <si>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</si>
  <si>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</si>
  <si>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</si>
  <si>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</si>
  <si>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</si>
  <si>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</si>
  <si>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</si>
  <si>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</si>
  <si>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</si>
  <si>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</si>
  <si>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</si>
  <si>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</si>
  <si>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</si>
  <si>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</si>
  <si>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</si>
  <si>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</si>
  <si>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</si>
  <si>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</si>
  <si>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</si>
  <si>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</si>
  <si>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</si>
  <si>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</si>
  <si>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</si>
  <si>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</si>
  <si>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</si>
  <si>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</si>
  <si>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</si>
  <si>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</si>
  <si>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</si>
  <si>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</si>
  <si>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</si>
  <si>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</si>
  <si>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</si>
  <si>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</si>
  <si>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</si>
  <si>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</si>
  <si>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</si>
  <si>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</si>
  <si>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</si>
  <si>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</si>
  <si>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</si>
  <si>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</si>
  <si>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</si>
  <si>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</si>
  <si>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</si>
  <si>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</si>
  <si>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</si>
  <si>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</si>
  <si>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</si>
  <si>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</si>
  <si>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</si>
  <si>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</si>
  <si>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</si>
  <si>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</si>
  <si>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</si>
  <si>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</si>
  <si>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</si>
  <si>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</si>
  <si>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</si>
  <si>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</si>
  <si>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</si>
  <si>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</si>
  <si>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</si>
  <si>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</si>
  <si>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</si>
  <si>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</si>
  <si>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</si>
  <si>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</si>
  <si>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</si>
  <si>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</si>
  <si>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</si>
  <si>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</si>
  <si>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</si>
  <si>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</si>
  <si>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</si>
  <si>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</si>
  <si>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</si>
  <si>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</si>
  <si>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</si>
  <si>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</si>
  <si>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</si>
  <si>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</si>
  <si>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</si>
  <si>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</si>
  <si>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</si>
  <si>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</si>
  <si>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</si>
  <si>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</si>
  <si>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</si>
  <si>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</si>
  <si>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</si>
  <si>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</si>
  <si>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</si>
  <si>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</si>
  <si>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</si>
  <si>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</si>
  <si>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</si>
  <si>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</si>
  <si>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</si>
  <si>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</si>
  <si>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</si>
  <si>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</si>
  <si>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</si>
  <si>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</si>
  <si>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</si>
  <si>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</si>
  <si>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</si>
  <si>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</si>
  <si>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</si>
  <si>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</si>
  <si>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</si>
  <si>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</si>
  <si>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</si>
  <si>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</si>
  <si>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</si>
  <si>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</si>
  <si>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</si>
  <si>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</si>
  <si>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</si>
  <si>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</si>
  <si>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</si>
  <si>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</si>
  <si>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</si>
  <si>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</si>
  <si>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</si>
  <si>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</si>
  <si>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</si>
  <si>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</si>
  <si>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</si>
  <si>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</si>
  <si>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</si>
  <si>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</si>
  <si>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</si>
  <si>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</si>
  <si>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</si>
  <si>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</si>
  <si>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</si>
  <si>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</si>
  <si>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</si>
  <si>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</si>
  <si>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</si>
  <si>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</si>
  <si>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</si>
  <si>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</si>
  <si>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</si>
  <si>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</si>
  <si>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</si>
  <si>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</si>
  <si>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</si>
  <si>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</si>
  <si>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</si>
  <si>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</si>
  <si>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</si>
  <si>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</si>
  <si>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</si>
  <si>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</si>
  <si>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</si>
  <si>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</si>
  <si>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</si>
  <si>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</si>
  <si>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</si>
  <si>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</si>
  <si>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</si>
  <si>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</si>
  <si>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</si>
  <si>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</si>
  <si>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</si>
  <si>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</si>
  <si>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</si>
  <si>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</si>
  <si>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</si>
  <si>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</si>
  <si>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</si>
  <si>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</si>
  <si>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</si>
  <si>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</si>
  <si>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</si>
  <si>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</si>
  <si>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</si>
  <si>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</si>
  <si>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</si>
  <si>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</si>
  <si>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</si>
  <si>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</si>
  <si>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</si>
  <si>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</si>
  <si>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</si>
  <si>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</si>
  <si>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</si>
  <si>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</si>
  <si>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</si>
  <si>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</si>
  <si>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</si>
  <si>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</si>
  <si>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</si>
  <si>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</si>
  <si>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</si>
  <si>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</si>
  <si>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</si>
  <si>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</si>
  <si>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</si>
  <si>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</si>
  <si>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</si>
  <si>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</si>
  <si>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</si>
  <si>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</si>
  <si>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</si>
  <si>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</si>
  <si>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</si>
  <si>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</si>
  <si>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</si>
  <si>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</si>
  <si>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</si>
  <si>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</si>
  <si>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</si>
  <si>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</si>
  <si>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</si>
  <si>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</si>
  <si>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</si>
  <si>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</si>
  <si>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</si>
  <si>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</si>
  <si>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</si>
  <si>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</si>
  <si>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</si>
  <si>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</si>
  <si>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</si>
  <si>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</si>
  <si>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</si>
  <si>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</si>
  <si>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</si>
  <si>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</si>
  <si>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</si>
  <si>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</si>
  <si>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</si>
  <si>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</si>
  <si>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</si>
  <si>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</si>
  <si>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</si>
  <si>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</si>
  <si>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</si>
  <si>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</si>
  <si>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</si>
  <si>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</si>
  <si>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</si>
  <si>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</si>
  <si>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</si>
  <si>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</si>
  <si>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</si>
  <si>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</si>
  <si>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</si>
  <si>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</si>
  <si>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</si>
  <si>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</si>
  <si>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</si>
  <si>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</si>
  <si>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</si>
  <si>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</si>
  <si>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</si>
  <si>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</si>
  <si>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</si>
  <si>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</si>
  <si>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</si>
  <si>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</si>
  <si>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</si>
  <si>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</si>
  <si>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</si>
  <si>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</si>
  <si>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</si>
  <si>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</si>
  <si>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</si>
  <si>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</si>
  <si>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</si>
  <si>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</si>
  <si>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</si>
  <si>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</si>
  <si>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</si>
  <si>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</si>
  <si>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</si>
  <si>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</si>
  <si>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</si>
  <si>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</si>
  <si>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</si>
  <si>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</si>
  <si>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</si>
  <si>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</si>
  <si>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</si>
  <si>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</si>
  <si>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</si>
  <si>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</si>
  <si>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</si>
  <si>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</si>
  <si>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</si>
  <si>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</si>
  <si>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</si>
  <si>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</si>
  <si>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</si>
  <si>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</si>
  <si>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</si>
  <si>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</si>
  <si>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</si>
  <si>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</si>
  <si>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</si>
  <si>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</si>
  <si>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</si>
  <si>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</si>
  <si>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</si>
  <si>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</si>
  <si>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</si>
  <si>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</si>
  <si>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</si>
  <si>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</si>
  <si>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</si>
  <si>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</si>
  <si>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</si>
  <si>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</si>
  <si>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</si>
  <si>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</si>
  <si>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</si>
  <si>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</si>
  <si>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</si>
  <si>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</si>
  <si>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</si>
  <si>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</si>
  <si>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</si>
  <si>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</si>
  <si>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</si>
  <si>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</si>
  <si>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</si>
  <si>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</si>
  <si>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</si>
  <si>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</si>
  <si>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</si>
  <si>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</si>
  <si>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</si>
  <si>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</si>
  <si>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</si>
  <si>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</si>
  <si>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</si>
  <si>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</si>
  <si>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</si>
  <si>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</si>
  <si>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</si>
  <si>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</si>
  <si>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</si>
  <si>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</si>
  <si>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</si>
  <si>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</si>
  <si>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</si>
  <si>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</si>
  <si>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</si>
  <si>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</si>
  <si>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</si>
  <si>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</si>
  <si>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</si>
  <si>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</si>
  <si>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</si>
  <si>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</si>
  <si>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</si>
  <si>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</si>
  <si>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</si>
  <si>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</si>
  <si>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</si>
  <si>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</si>
  <si>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</si>
  <si>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</si>
  <si>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</si>
  <si>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</si>
  <si>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</si>
  <si>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</si>
  <si>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</si>
  <si>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</si>
  <si>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</si>
  <si>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</si>
  <si>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</si>
  <si>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</si>
  <si>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</si>
  <si>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</si>
  <si>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</si>
  <si>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</si>
  <si>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</si>
  <si>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</si>
  <si>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</si>
  <si>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</si>
  <si>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</si>
  <si>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</si>
  <si>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</si>
  <si>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</si>
  <si>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</si>
  <si>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</si>
  <si>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</si>
  <si>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</si>
  <si>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</si>
  <si>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</si>
  <si>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</si>
  <si>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</si>
  <si>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</si>
  <si>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</si>
  <si>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</si>
  <si>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</si>
  <si>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</si>
  <si>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</si>
  <si>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</si>
  <si>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</si>
  <si>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</si>
  <si>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</si>
  <si>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</si>
  <si>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</si>
  <si>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</si>
  <si>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</si>
  <si>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</si>
  <si>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</si>
  <si>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</si>
  <si>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</si>
  <si>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</si>
  <si>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</si>
  <si>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</si>
  <si>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</si>
  <si>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</si>
  <si>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</si>
  <si>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</si>
  <si>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</si>
  <si>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</si>
  <si>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</si>
  <si>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</si>
  <si>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</si>
  <si>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</si>
  <si>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</si>
  <si>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</si>
  <si>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</si>
  <si>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</si>
  <si>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</si>
  <si>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</si>
  <si>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</si>
  <si>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</si>
  <si>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</si>
  <si>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</si>
  <si>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</si>
  <si>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</si>
  <si>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</si>
  <si>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</si>
  <si>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</si>
  <si>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</si>
  <si>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</si>
  <si>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</si>
  <si>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</si>
  <si>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</si>
  <si>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</si>
  <si>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</si>
  <si>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</si>
  <si>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</si>
  <si>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</si>
  <si>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</si>
  <si>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</si>
  <si>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</si>
  <si>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</si>
  <si>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</si>
  <si>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</si>
  <si>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</si>
  <si>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</si>
  <si>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</si>
  <si>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</si>
  <si>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</si>
  <si>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</si>
  <si>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</si>
  <si>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</si>
  <si>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</si>
  <si>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</si>
  <si>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</si>
  <si>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</si>
  <si>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</si>
  <si>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</si>
  <si>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</si>
  <si>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</si>
  <si>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</si>
  <si>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</si>
  <si>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</si>
  <si>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</si>
  <si>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</si>
  <si>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</si>
  <si>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</si>
  <si>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</si>
  <si>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</si>
  <si>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</si>
  <si>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</si>
  <si>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</si>
  <si>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</si>
  <si>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</si>
  <si>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</si>
  <si>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</si>
  <si>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</si>
  <si>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</si>
  <si>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</si>
  <si>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</si>
  <si>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</si>
  <si>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</si>
  <si>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</si>
  <si>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</si>
  <si>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</si>
  <si>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</si>
  <si>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</si>
  <si>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</si>
  <si>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</si>
  <si>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</si>
  <si>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</si>
  <si>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</si>
  <si>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</si>
  <si>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</si>
  <si>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</si>
  <si>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</si>
  <si>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</si>
  <si>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</si>
  <si>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</si>
  <si>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</si>
  <si>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</si>
  <si>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</si>
  <si>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</si>
  <si>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</si>
  <si>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</si>
  <si>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</si>
  <si>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</si>
  <si>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</si>
  <si>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</si>
  <si>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</si>
  <si>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</si>
  <si>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</si>
  <si>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</si>
  <si>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</si>
  <si>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</si>
  <si>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</si>
  <si>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</si>
  <si>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</si>
  <si>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</si>
  <si>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</si>
  <si>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</si>
  <si>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</si>
  <si>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</si>
  <si>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</si>
  <si>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</si>
  <si>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</si>
  <si>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</si>
  <si>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</si>
  <si>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</si>
  <si>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</si>
  <si>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</si>
  <si>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</si>
  <si>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</si>
  <si>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</si>
  <si>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</si>
  <si>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</si>
  <si>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</si>
  <si>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</si>
  <si>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</si>
  <si>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</si>
  <si>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</si>
  <si>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</si>
  <si>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</si>
  <si>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</si>
  <si>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</si>
  <si>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</si>
  <si>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</si>
  <si>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</si>
  <si>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</si>
  <si>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</si>
  <si>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</si>
  <si>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</si>
  <si>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</si>
  <si>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</si>
  <si>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</si>
  <si>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</si>
  <si>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</si>
  <si>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</si>
  <si>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</si>
  <si>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</si>
  <si>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</si>
  <si>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</si>
  <si>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</si>
  <si>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</si>
  <si>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</si>
  <si>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</si>
  <si>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</si>
  <si>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</si>
  <si>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</si>
  <si>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</si>
  <si>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</si>
  <si>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</si>
  <si>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</si>
  <si>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</si>
  <si>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</si>
  <si>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</si>
  <si>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</si>
  <si>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</si>
  <si>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</si>
  <si>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</si>
  <si>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</si>
  <si>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</si>
  <si>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</si>
  <si>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</si>
  <si>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</si>
  <si>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</si>
  <si>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</si>
  <si>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</si>
  <si>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</si>
  <si>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</si>
  <si>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</si>
  <si>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</si>
  <si>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</si>
  <si>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</si>
  <si>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</si>
  <si>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</si>
  <si>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</si>
  <si>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</si>
  <si>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</si>
  <si>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</si>
  <si>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</si>
  <si>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</si>
  <si>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</si>
  <si>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</si>
  <si>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</si>
  <si>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</si>
  <si>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</si>
  <si>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</si>
  <si>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</si>
  <si>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</si>
  <si>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</si>
  <si>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</si>
  <si>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</si>
  <si>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</si>
  <si>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</si>
  <si>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</si>
  <si>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</si>
  <si>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</si>
  <si>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</si>
  <si>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</si>
  <si>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</si>
  <si>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</si>
  <si>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</si>
  <si>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</si>
  <si>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</si>
  <si>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</si>
  <si>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</si>
  <si>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</si>
  <si>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</si>
  <si>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</si>
  <si>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</si>
  <si>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</si>
  <si>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</si>
  <si>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</si>
  <si>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</si>
  <si>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</si>
  <si>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</si>
  <si>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</si>
  <si>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</si>
  <si>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</si>
  <si>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</si>
  <si>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</si>
  <si>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</si>
  <si>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</si>
  <si>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</si>
  <si>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</si>
  <si>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</si>
  <si>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</si>
  <si>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</si>
  <si>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</si>
  <si>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</si>
  <si>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</si>
  <si>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</si>
  <si>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</si>
  <si>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</si>
  <si>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</si>
  <si>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</si>
  <si>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</si>
  <si>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</si>
  <si>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</si>
  <si>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</si>
  <si>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</si>
  <si>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</si>
  <si>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</si>
  <si>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</si>
  <si>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</si>
  <si>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</si>
  <si>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</si>
  <si>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</si>
  <si>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</si>
  <si>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</si>
  <si>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</si>
  <si>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</si>
  <si>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</si>
  <si>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</si>
  <si>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</si>
  <si>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</si>
  <si>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</si>
  <si>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</si>
  <si>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</si>
  <si>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</si>
  <si>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</si>
  <si>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</si>
  <si>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</si>
  <si>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</si>
  <si>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</si>
  <si>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</si>
  <si>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</si>
  <si>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</si>
  <si>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</si>
  <si>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</si>
  <si>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</si>
  <si>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</si>
  <si>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</si>
  <si>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</si>
  <si>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</si>
  <si>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</si>
  <si>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</si>
  <si>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</si>
  <si>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</si>
  <si>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</si>
  <si>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</si>
  <si>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</si>
  <si>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</si>
  <si>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</si>
  <si>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</si>
  <si>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</si>
  <si>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</si>
  <si>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</si>
  <si>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</si>
  <si>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</si>
  <si>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</si>
  <si>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</si>
  <si>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</si>
  <si>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</si>
  <si>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</si>
  <si>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</si>
  <si>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</si>
  <si>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</si>
  <si>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</si>
  <si>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</si>
  <si>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</si>
  <si>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</si>
  <si>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</si>
  <si>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</si>
  <si>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</si>
  <si>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</si>
  <si>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</si>
  <si>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</si>
  <si>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</si>
  <si>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</si>
  <si>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</si>
  <si>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</si>
  <si>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</si>
  <si>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</si>
  <si>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</si>
  <si>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</si>
  <si>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</si>
  <si>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</si>
  <si>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</si>
  <si>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</si>
  <si>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</si>
  <si>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</si>
  <si>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</si>
  <si>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</si>
  <si>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</si>
  <si>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</si>
  <si>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</si>
  <si>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</si>
  <si>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</si>
  <si>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</si>
  <si>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</si>
  <si>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</si>
  <si>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</si>
  <si>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</si>
  <si>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</si>
  <si>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</si>
  <si>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</si>
  <si>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</si>
  <si>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</si>
  <si>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</si>
  <si>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</si>
  <si>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</si>
  <si>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</si>
  <si>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</si>
  <si>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</si>
  <si>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</si>
  <si>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</si>
  <si>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</si>
  <si>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</si>
  <si>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</si>
  <si>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</si>
  <si>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</si>
  <si>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</si>
  <si>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</si>
  <si>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</si>
  <si>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</si>
  <si>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</si>
  <si>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</si>
  <si>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</si>
  <si>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</si>
  <si>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</si>
  <si>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</si>
  <si>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</si>
  <si>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</si>
  <si>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</si>
  <si>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</si>
  <si>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</si>
  <si>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</si>
  <si>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</si>
  <si>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</si>
  <si>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</si>
  <si>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</si>
  <si>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</si>
  <si>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</si>
  <si>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</si>
  <si>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</si>
  <si>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</si>
  <si>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</si>
  <si>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</si>
  <si>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</si>
  <si>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</si>
  <si>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</si>
  <si>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</si>
  <si>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</si>
  <si>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</si>
  <si>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</si>
  <si>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</si>
  <si>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</si>
  <si>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</si>
  <si>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</si>
  <si>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</si>
  <si>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</si>
  <si>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</si>
  <si>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</si>
  <si>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</si>
  <si>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</si>
  <si>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</si>
  <si>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</si>
  <si>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</si>
  <si>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</si>
  <si>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</si>
  <si>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</si>
  <si>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</si>
  <si>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</si>
  <si>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</si>
  <si>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</si>
  <si>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</si>
  <si>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</si>
  <si>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</si>
  <si>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</si>
  <si>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</si>
  <si>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</si>
  <si>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</si>
  <si>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</si>
  <si>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</si>
  <si>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</si>
  <si>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</si>
  <si>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</si>
  <si>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</si>
  <si>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</si>
  <si>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</si>
  <si>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</si>
  <si>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</si>
  <si>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</si>
  <si>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</si>
  <si>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</si>
  <si>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</si>
  <si>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</si>
  <si>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</si>
  <si>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</si>
  <si>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</si>
  <si>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</si>
  <si>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</si>
  <si>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</si>
  <si>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</si>
  <si>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</si>
  <si>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</si>
  <si>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</si>
  <si>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</si>
  <si>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</si>
  <si>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</si>
  <si>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</si>
  <si>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</si>
  <si>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</si>
  <si>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</si>
  <si>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</si>
  <si>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</si>
  <si>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</si>
  <si>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</si>
  <si>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</si>
  <si>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</si>
  <si>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</si>
  <si>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</si>
  <si>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</si>
  <si>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</si>
  <si>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</si>
  <si>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</si>
  <si>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</si>
  <si>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</si>
  <si>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</si>
  <si>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</si>
  <si>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</si>
  <si>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</si>
  <si>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</si>
  <si>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</si>
  <si>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</si>
  <si>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</si>
  <si>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</si>
  <si>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</si>
  <si>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</si>
  <si>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</si>
  <si>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</si>
  <si>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</si>
  <si>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</si>
  <si>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</si>
  <si>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</si>
  <si>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</si>
  <si>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</si>
  <si>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</si>
  <si>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</si>
  <si>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</si>
  <si>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</si>
  <si>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</si>
  <si>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</si>
  <si>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</si>
  <si>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</si>
  <si>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</si>
  <si>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</si>
  <si>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</si>
  <si>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</si>
  <si>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</si>
  <si>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</si>
  <si>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</si>
  <si>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</si>
  <si>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</si>
  <si>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</si>
  <si>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</si>
  <si>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</si>
  <si>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</si>
  <si>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</si>
  <si>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</si>
  <si>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</si>
  <si>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</si>
  <si>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</si>
  <si>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</si>
  <si>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</si>
  <si>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</si>
  <si>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</si>
  <si>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</si>
  <si>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</si>
  <si>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</si>
  <si>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</si>
  <si>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</si>
  <si>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</si>
  <si>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</si>
  <si>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</si>
  <si>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</si>
  <si>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</si>
  <si>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</si>
  <si>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</si>
  <si>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</si>
  <si>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</si>
  <si>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</si>
  <si>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</si>
  <si>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</si>
  <si>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</si>
  <si>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</si>
  <si>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</si>
  <si>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</si>
  <si>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</si>
  <si>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</si>
  <si>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</si>
  <si>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</si>
  <si>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</si>
  <si>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</si>
  <si>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</si>
  <si>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</si>
  <si>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</si>
  <si>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</si>
  <si>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</si>
  <si>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</si>
  <si>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</si>
  <si>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</si>
  <si>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</si>
  <si>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</si>
  <si>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</si>
  <si>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</si>
  <si>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</si>
  <si>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</si>
  <si>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</si>
  <si>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</si>
  <si>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</si>
  <si>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</si>
  <si>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</si>
  <si>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</si>
  <si>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</si>
  <si>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</si>
  <si>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</si>
  <si>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</si>
  <si>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</si>
  <si>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</si>
  <si>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</si>
  <si>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</si>
  <si>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</si>
  <si>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</si>
  <si>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</si>
  <si>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</si>
  <si>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</si>
  <si>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</si>
  <si>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</si>
  <si>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</si>
  <si>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</si>
  <si>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</si>
  <si>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</si>
  <si>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</si>
  <si>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</si>
  <si>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</si>
  <si>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</si>
  <si>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</si>
  <si>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</si>
  <si>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</si>
  <si>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</si>
  <si>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</si>
  <si>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</si>
  <si>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</si>
  <si>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</si>
  <si>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</si>
  <si>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</si>
  <si>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</si>
  <si>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</si>
  <si>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</si>
  <si>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</si>
  <si>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</si>
  <si>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</si>
  <si>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</si>
  <si>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</si>
  <si>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</si>
  <si>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</si>
  <si>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</si>
  <si>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</si>
  <si>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</si>
  <si>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</si>
  <si>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</si>
  <si>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</si>
  <si>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</si>
  <si>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</si>
  <si>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</si>
  <si>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</si>
  <si>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</si>
  <si>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</si>
  <si>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</si>
  <si>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</si>
  <si>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</si>
  <si>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</si>
  <si>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</si>
  <si>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</si>
  <si>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</si>
  <si>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</si>
  <si>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</si>
  <si>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</si>
  <si>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</si>
  <si>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</si>
  <si>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</si>
  <si>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</si>
  <si>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</si>
  <si>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</si>
  <si>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</si>
  <si>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</si>
  <si>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</si>
  <si>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</si>
  <si>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</si>
  <si>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</si>
  <si>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</si>
  <si>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</si>
  <si>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</si>
  <si>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</si>
  <si>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</si>
  <si>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</si>
  <si>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</si>
  <si>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</si>
  <si>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</si>
  <si>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</si>
  <si>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</si>
  <si>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</si>
  <si>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</si>
  <si>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</si>
  <si>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</si>
  <si>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</si>
  <si>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</si>
  <si>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</si>
  <si>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</si>
  <si>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</si>
  <si>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</si>
  <si>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</si>
  <si>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</si>
  <si>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</si>
  <si>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</si>
  <si>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</si>
  <si>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</si>
  <si>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</si>
  <si>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</si>
  <si>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</si>
  <si>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</si>
  <si>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</si>
  <si>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</si>
  <si>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</si>
  <si>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</si>
  <si>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</si>
  <si>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</si>
  <si>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</si>
  <si>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</si>
  <si>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</si>
  <si>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</si>
  <si>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</si>
  <si>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</si>
  <si>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</si>
  <si>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</si>
  <si>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</si>
  <si>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</si>
  <si>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</si>
  <si>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</si>
  <si>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</si>
  <si>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</si>
  <si>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</si>
  <si>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</si>
  <si>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</si>
  <si>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</si>
  <si>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</si>
  <si>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</si>
  <si>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</si>
  <si>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</si>
  <si>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</si>
  <si>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</si>
  <si>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</si>
  <si>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</si>
  <si>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</si>
  <si>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</si>
  <si>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</si>
  <si>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</si>
  <si>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</si>
  <si>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</si>
  <si>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</si>
  <si>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</si>
  <si>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</si>
  <si>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</si>
  <si>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</si>
  <si>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</si>
  <si>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</si>
  <si>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</si>
  <si>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</si>
  <si>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</si>
  <si>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</si>
  <si>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</si>
  <si>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</si>
  <si>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</si>
  <si>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</si>
  <si>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</si>
  <si>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</si>
  <si>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</si>
  <si>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</si>
  <si>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</si>
  <si>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</si>
  <si>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</si>
  <si>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</si>
  <si>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</si>
  <si>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</si>
  <si>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</si>
  <si>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</si>
  <si>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</si>
  <si>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</si>
  <si>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</si>
  <si>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</si>
  <si>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</si>
  <si>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</si>
  <si>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</si>
  <si>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</si>
  <si>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</si>
  <si>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</si>
  <si>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</si>
  <si>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</si>
  <si>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</si>
  <si>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</si>
  <si>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</si>
  <si>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</si>
  <si>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</si>
  <si>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</si>
  <si>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</si>
  <si>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</si>
  <si>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</si>
  <si>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</si>
  <si>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</si>
  <si>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</si>
  <si>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</si>
  <si>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</si>
  <si>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</si>
  <si>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</si>
  <si>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</si>
  <si>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</si>
  <si>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</si>
  <si>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</si>
  <si>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</si>
  <si>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</si>
  <si>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</si>
  <si>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</si>
  <si>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</si>
  <si>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</si>
  <si>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</si>
  <si>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</si>
  <si>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</si>
  <si>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</si>
  <si>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</si>
  <si>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</si>
  <si>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</si>
  <si>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</si>
  <si>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</si>
  <si>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</si>
  <si>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</si>
  <si>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</si>
  <si>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</si>
  <si>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</si>
  <si>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</si>
  <si>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</si>
  <si>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</si>
  <si>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</si>
  <si>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</si>
  <si>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</si>
  <si>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</si>
  <si>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</si>
  <si>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</si>
  <si>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</si>
  <si>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</si>
  <si>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</si>
  <si>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</si>
  <si>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</si>
  <si>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</si>
  <si>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</si>
  <si>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</si>
  <si>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</si>
  <si>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</si>
  <si>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</si>
  <si>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</si>
  <si>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</si>
  <si>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</si>
  <si>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</si>
  <si>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</si>
  <si>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</si>
  <si>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</si>
  <si>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</si>
  <si>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</si>
  <si>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</si>
  <si>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</si>
  <si>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</si>
  <si>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</si>
  <si>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</si>
  <si>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</si>
  <si>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</si>
  <si>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</si>
  <si>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</si>
  <si>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</si>
  <si>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</si>
  <si>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</si>
  <si>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</si>
  <si>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</si>
  <si>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</si>
  <si>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</si>
  <si>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</si>
  <si>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</si>
  <si>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</si>
  <si>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</si>
  <si>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</si>
  <si>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</si>
  <si>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</si>
  <si>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</si>
  <si>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</si>
  <si>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</si>
  <si>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</si>
  <si>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</si>
  <si>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</si>
  <si>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</si>
  <si>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</si>
  <si>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</si>
  <si>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</si>
  <si>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</si>
  <si>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</si>
  <si>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</si>
  <si>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</si>
  <si>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</si>
  <si>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</si>
  <si>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</si>
  <si>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</si>
  <si>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</si>
  <si>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</si>
  <si>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</si>
  <si>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</si>
  <si>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</si>
  <si>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</si>
  <si>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</si>
  <si>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</si>
  <si>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</si>
  <si>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</si>
  <si>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</si>
  <si>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</si>
  <si>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</si>
  <si>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</si>
  <si>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</si>
  <si>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</si>
  <si>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</si>
  <si>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</si>
  <si>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</si>
  <si>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</si>
  <si>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</si>
  <si>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</si>
  <si>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</si>
  <si>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</si>
  <si>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</si>
  <si>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</si>
  <si>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</si>
  <si>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</si>
  <si>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</si>
  <si>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</si>
  <si>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</si>
  <si>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</si>
  <si>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</si>
  <si>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</si>
  <si>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</si>
  <si>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</si>
  <si>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</si>
  <si>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</si>
  <si>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</si>
  <si>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</si>
  <si>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</si>
  <si>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</si>
  <si>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</si>
  <si>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</si>
  <si>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</si>
  <si>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</si>
  <si>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</si>
  <si>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</si>
  <si>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</si>
  <si>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</si>
  <si>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</si>
  <si>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</si>
  <si>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</si>
  <si>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</si>
  <si>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</si>
  <si>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</si>
  <si>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</si>
  <si>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</si>
  <si>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</si>
  <si>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</si>
  <si>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</si>
  <si>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</si>
  <si>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</si>
  <si>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</si>
  <si>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</si>
  <si>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</si>
  <si>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</si>
  <si>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</si>
  <si>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</si>
  <si>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</si>
  <si>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</si>
  <si>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</si>
  <si>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</si>
  <si>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</si>
  <si>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</si>
  <si>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</si>
  <si>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</si>
  <si>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</si>
  <si>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</si>
  <si>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</si>
  <si>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</si>
  <si>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</si>
  <si>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</si>
  <si>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</si>
  <si>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</si>
  <si>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</si>
  <si>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</si>
  <si>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</si>
  <si>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</si>
  <si>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</si>
  <si>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</si>
  <si>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</si>
  <si>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</si>
  <si>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</si>
  <si>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</si>
  <si>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</si>
  <si>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</si>
  <si>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</si>
  <si>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</si>
  <si>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</si>
  <si>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</si>
  <si>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</si>
  <si>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</si>
  <si>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</si>
  <si>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</si>
  <si>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</si>
  <si>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</si>
  <si>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</si>
  <si>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</si>
  <si>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</si>
  <si>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</si>
  <si>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</si>
  <si>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</si>
  <si>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</si>
  <si>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</si>
  <si>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</si>
  <si>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</si>
  <si>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</si>
  <si>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</si>
  <si>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</si>
  <si>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</si>
  <si>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</si>
  <si>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</si>
  <si>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</si>
  <si>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</si>
  <si>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</si>
  <si>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</si>
  <si>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</si>
  <si>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</si>
  <si>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</si>
  <si>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</si>
  <si>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</si>
  <si>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</si>
  <si>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</si>
  <si>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</si>
  <si>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</si>
  <si>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</si>
  <si>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</si>
  <si>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</si>
  <si>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</si>
  <si>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</si>
  <si>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</si>
  <si>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</si>
  <si>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</si>
  <si>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</si>
  <si>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</si>
  <si>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</si>
  <si>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</si>
  <si>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</si>
  <si>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</si>
  <si>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</si>
  <si>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</si>
  <si>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</si>
  <si>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</si>
  <si>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</si>
  <si>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</si>
  <si>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</si>
  <si>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</si>
  <si>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</si>
  <si>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</si>
  <si>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</si>
  <si>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</si>
  <si>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</si>
  <si>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</si>
  <si>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</si>
  <si>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</si>
  <si>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</si>
  <si>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</si>
  <si>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</si>
  <si>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</si>
  <si>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</si>
  <si>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</si>
  <si>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</si>
  <si>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</si>
  <si>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</si>
  <si>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</si>
  <si>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</si>
  <si>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</si>
  <si>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</si>
  <si>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</si>
  <si>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</si>
  <si>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</si>
  <si>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</si>
  <si>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</si>
  <si>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</si>
  <si>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</si>
  <si>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</si>
  <si>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</si>
  <si>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</si>
  <si>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</si>
  <si>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</si>
  <si>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</si>
  <si>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</si>
  <si>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</si>
  <si>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</si>
  <si>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</si>
  <si>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</si>
  <si>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</si>
  <si>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</si>
  <si>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</si>
  <si>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</si>
  <si>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</si>
  <si>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</si>
  <si>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</si>
  <si>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</si>
  <si>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</si>
  <si>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</si>
  <si>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</si>
  <si>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</si>
  <si>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</si>
  <si>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</si>
  <si>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</si>
  <si>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</si>
  <si>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</si>
  <si>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</si>
  <si>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</si>
  <si>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</si>
  <si>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</si>
  <si>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</si>
  <si>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</si>
  <si>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</si>
  <si>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</si>
  <si>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</si>
  <si>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</si>
  <si>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</si>
  <si>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</si>
  <si>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</si>
  <si>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</si>
  <si>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</si>
  <si>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</si>
  <si>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</si>
  <si>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</si>
  <si>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</si>
  <si>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</si>
  <si>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</si>
  <si>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</si>
  <si>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</si>
  <si>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</si>
  <si>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</si>
  <si>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</si>
  <si>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</si>
  <si>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</si>
  <si>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</si>
  <si>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</si>
  <si>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</si>
  <si>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</si>
  <si>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</si>
  <si>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</si>
  <si>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</si>
  <si>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</si>
  <si>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</si>
  <si>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</si>
  <si>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</si>
  <si>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</si>
  <si>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</si>
  <si>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</si>
  <si>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</si>
  <si>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</si>
  <si>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</si>
  <si>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</si>
  <si>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</si>
  <si>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</si>
  <si>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</si>
  <si>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</si>
  <si>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</si>
  <si>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</si>
  <si>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</si>
  <si>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</si>
  <si>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</si>
  <si>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</si>
  <si>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</si>
  <si>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</si>
  <si>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</si>
  <si>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</si>
  <si>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</si>
  <si>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</si>
  <si>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</si>
  <si>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</si>
  <si>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</si>
  <si>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</si>
  <si>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</si>
  <si>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</si>
  <si>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</si>
  <si>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</si>
  <si>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</si>
  <si>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</si>
  <si>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</si>
  <si>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</si>
  <si>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</si>
  <si>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</si>
  <si>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</si>
  <si>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</si>
  <si>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</si>
  <si>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</si>
  <si>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</si>
  <si>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</si>
  <si>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</si>
  <si>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</si>
  <si>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</si>
  <si>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</si>
  <si>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</si>
  <si>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</si>
  <si>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</si>
  <si>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</si>
  <si>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</si>
  <si>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</si>
  <si>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</si>
  <si>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</si>
  <si>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</si>
  <si>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</si>
  <si>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</si>
  <si>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</si>
  <si>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</si>
  <si>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</si>
  <si>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</si>
  <si>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</si>
  <si>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</si>
  <si>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</si>
  <si>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</si>
  <si>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</si>
  <si>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</si>
  <si>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</si>
  <si>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</si>
  <si>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</si>
  <si>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</si>
  <si>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</si>
  <si>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</si>
  <si>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</si>
  <si>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</si>
  <si>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</si>
  <si>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</si>
  <si>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</si>
  <si>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</si>
  <si>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</si>
  <si>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</si>
  <si>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</si>
  <si>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</si>
  <si>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</si>
  <si>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</si>
  <si>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</si>
  <si>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</si>
  <si>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</si>
  <si>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</si>
  <si>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</si>
  <si>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</si>
  <si>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</si>
  <si>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</si>
  <si>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</si>
  <si>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</si>
  <si>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</si>
  <si>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</si>
  <si>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</si>
  <si>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</si>
  <si>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</si>
  <si>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</si>
  <si>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</si>
  <si>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</si>
  <si>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</si>
  <si>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</si>
  <si>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</si>
  <si>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</si>
  <si>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</si>
  <si>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</si>
  <si>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</si>
  <si>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</si>
  <si>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</si>
  <si>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</si>
  <si>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</si>
  <si>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</si>
  <si>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</si>
  <si>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</si>
  <si>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</si>
  <si>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</si>
  <si>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</si>
  <si>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</si>
  <si>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</si>
  <si>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</si>
  <si>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</si>
  <si>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</si>
  <si>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</si>
  <si>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</si>
  <si>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</si>
  <si>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</si>
  <si>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</si>
  <si>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</si>
  <si>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</si>
  <si>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</si>
  <si>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</si>
  <si>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</si>
  <si>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</si>
  <si>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</si>
  <si>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</si>
  <si>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</si>
  <si>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</si>
  <si>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</si>
  <si>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</si>
  <si>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</si>
  <si>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</si>
  <si>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</si>
  <si>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</si>
  <si>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</si>
  <si>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</si>
  <si>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</si>
  <si>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</si>
  <si>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</si>
  <si>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</si>
  <si>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</si>
  <si>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</si>
  <si>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</si>
  <si>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</si>
  <si>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</si>
  <si>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</si>
  <si>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</si>
  <si>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</si>
  <si>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</si>
  <si>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</si>
  <si>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</si>
  <si>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</si>
  <si>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</si>
  <si>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</si>
  <si>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</si>
  <si>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</si>
  <si>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</si>
  <si>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</si>
  <si>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</si>
  <si>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</si>
  <si>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</si>
  <si>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</si>
  <si>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</si>
  <si>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</si>
  <si>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</si>
  <si>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</si>
  <si>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</si>
  <si>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</si>
  <si>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</si>
  <si>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</si>
  <si>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</si>
  <si>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</si>
  <si>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</si>
  <si>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</si>
  <si>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</si>
  <si>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</si>
  <si>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</si>
  <si>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</si>
  <si>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</si>
  <si>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</si>
  <si>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</si>
  <si>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</si>
  <si>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</si>
  <si>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</si>
  <si>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</si>
  <si>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</si>
  <si>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</si>
  <si>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</si>
  <si>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</si>
  <si>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</si>
  <si>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</si>
  <si>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</si>
  <si>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</si>
  <si>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</si>
  <si>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</si>
  <si>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</si>
  <si>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</si>
  <si>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</si>
  <si>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</si>
  <si>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</si>
  <si>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</si>
  <si>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</si>
  <si>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</si>
  <si>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</si>
  <si>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</si>
  <si>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</si>
  <si>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</si>
  <si>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</si>
  <si>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</si>
  <si>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</si>
  <si>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</si>
  <si>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</si>
  <si>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</si>
  <si>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</si>
  <si>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</si>
  <si>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</si>
  <si>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</si>
  <si>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</si>
  <si>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</si>
  <si>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</si>
  <si>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</si>
  <si>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</si>
  <si>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</si>
  <si>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</si>
  <si>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</si>
  <si>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</si>
  <si>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</si>
  <si>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</si>
  <si>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</si>
  <si>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</si>
  <si>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</si>
  <si>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</si>
  <si>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</si>
  <si>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</si>
  <si>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</si>
  <si>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</si>
  <si>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</si>
  <si>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</si>
  <si>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</si>
  <si>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</si>
  <si>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</si>
  <si>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</si>
  <si>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</si>
  <si>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</si>
  <si>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</si>
  <si>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</si>
  <si>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</si>
  <si>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</si>
  <si>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</si>
  <si>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</si>
  <si>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</si>
  <si>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</si>
  <si>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</si>
  <si>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</si>
  <si>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</si>
  <si>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</si>
  <si>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</si>
  <si>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</si>
  <si>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</si>
  <si>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</si>
  <si>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</si>
  <si>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</si>
  <si>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</si>
  <si>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</si>
  <si>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</si>
  <si>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</si>
  <si>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</si>
  <si>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</si>
  <si>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</si>
  <si>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</si>
  <si>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</si>
  <si>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</si>
  <si>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</si>
  <si>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</si>
  <si>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</si>
  <si>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</si>
  <si>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</si>
  <si>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</si>
  <si>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</si>
  <si>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</si>
  <si>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</si>
  <si>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</si>
  <si>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</si>
  <si>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</si>
  <si>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</si>
  <si>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</si>
  <si>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</si>
  <si>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</si>
  <si>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</si>
  <si>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</si>
  <si>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</si>
  <si>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</si>
  <si>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</si>
  <si>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</si>
  <si>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</si>
  <si>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</si>
  <si>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</si>
  <si>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</si>
  <si>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</si>
  <si>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</si>
  <si>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</si>
  <si>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</si>
  <si>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</si>
  <si>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</si>
  <si>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</si>
  <si>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</si>
  <si>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</si>
  <si>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</si>
  <si>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</si>
  <si>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</si>
  <si>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</si>
  <si>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</si>
  <si>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</si>
  <si>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</si>
  <si>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</si>
  <si>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</si>
  <si>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</si>
  <si>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</si>
  <si>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</si>
  <si>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</si>
  <si>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</si>
  <si>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</si>
  <si>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</si>
  <si>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</si>
  <si>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</si>
  <si>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</si>
  <si>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</si>
  <si>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</si>
  <si>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</si>
  <si>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</si>
  <si>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</si>
  <si>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</si>
  <si>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</si>
  <si>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</si>
  <si>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</si>
  <si>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</si>
  <si>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</si>
  <si>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</si>
  <si>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</si>
  <si>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</si>
  <si>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</si>
  <si>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</si>
  <si>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</si>
  <si>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</si>
  <si>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</si>
  <si>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</si>
  <si>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</si>
  <si>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</si>
  <si>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</si>
  <si>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</si>
  <si>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</si>
  <si>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</si>
  <si>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</si>
  <si>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</si>
  <si>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</si>
  <si>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</si>
  <si>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</si>
  <si>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</si>
  <si>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</si>
  <si>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</si>
  <si>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</si>
  <si>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</si>
  <si>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</si>
  <si>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</si>
  <si>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</si>
  <si>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</si>
  <si>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</si>
  <si>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</si>
  <si>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</si>
  <si>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</si>
  <si>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</si>
  <si>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</si>
  <si>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</si>
  <si>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</si>
  <si>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</si>
  <si>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</si>
  <si>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</si>
  <si>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</si>
  <si>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</si>
  <si>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</si>
  <si>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</si>
  <si>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</si>
  <si>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</si>
  <si>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</si>
  <si>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</si>
  <si>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</si>
  <si>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</si>
  <si>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</si>
  <si>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</si>
  <si>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</si>
  <si>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</si>
  <si>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</si>
  <si>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</si>
  <si>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</si>
  <si>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</si>
  <si>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</si>
  <si>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</si>
  <si>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</si>
  <si>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</si>
  <si>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</si>
  <si>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</si>
  <si>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</si>
  <si>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</si>
  <si>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</si>
  <si>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</si>
  <si>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</si>
  <si>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</si>
  <si>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</si>
  <si>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</si>
  <si>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</si>
  <si>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</si>
  <si>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</si>
  <si>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</si>
  <si>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</si>
  <si>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</si>
  <si>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</si>
  <si>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</si>
  <si>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</si>
  <si>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</si>
  <si>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</si>
  <si>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</si>
  <si>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</si>
  <si>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</si>
  <si>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</si>
  <si>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</si>
  <si>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</si>
  <si>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</si>
  <si>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</si>
  <si>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</si>
  <si>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</si>
  <si>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</si>
  <si>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</si>
  <si>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</si>
  <si>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</si>
  <si>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</si>
  <si>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</si>
  <si>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</si>
  <si>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</si>
  <si>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</si>
  <si>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</si>
  <si>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</si>
  <si>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</si>
  <si>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</si>
  <si>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</si>
  <si>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</si>
  <si>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</si>
  <si>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</si>
  <si>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</si>
  <si>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</si>
  <si>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</si>
  <si>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</si>
  <si>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</si>
  <si>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</si>
  <si>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</si>
  <si>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</si>
  <si>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</si>
  <si>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</si>
  <si>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</si>
  <si>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</si>
  <si>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</si>
  <si>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</si>
  <si>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</si>
  <si>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</si>
  <si>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</si>
  <si>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</si>
  <si>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</si>
  <si>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</si>
  <si>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</si>
  <si>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</si>
  <si>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</si>
  <si>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</si>
  <si>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</si>
  <si>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</si>
  <si>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</si>
  <si>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</si>
  <si>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</si>
  <si>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</si>
  <si>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</si>
  <si>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</si>
  <si>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</si>
  <si>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</si>
  <si>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</si>
  <si>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</si>
  <si>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</si>
  <si>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</si>
  <si>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</si>
  <si>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</si>
  <si>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</si>
  <si>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</si>
  <si>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</si>
  <si>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</si>
  <si>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</si>
  <si>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</si>
  <si>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</si>
  <si>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</si>
  <si>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</si>
  <si>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</si>
  <si>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</si>
  <si>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</si>
  <si>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</si>
  <si>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</si>
  <si>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</si>
  <si>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</si>
  <si>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</si>
  <si>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</si>
  <si>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</si>
  <si>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</si>
  <si>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</si>
  <si>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</si>
  <si>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</si>
  <si>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</si>
  <si>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</si>
  <si>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</si>
  <si>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</si>
  <si>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</si>
  <si>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</si>
  <si>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</si>
  <si>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</si>
  <si>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</si>
  <si>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</si>
  <si>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</si>
  <si>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</si>
  <si>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</si>
  <si>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</si>
  <si>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</si>
  <si>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</si>
  <si>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</si>
  <si>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</si>
  <si>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</si>
  <si>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</si>
  <si>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</si>
  <si>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</si>
  <si>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</si>
  <si>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</si>
  <si>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</si>
  <si>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</si>
  <si>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</si>
  <si>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</si>
  <si>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</si>
  <si>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</si>
  <si>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</si>
  <si>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</si>
  <si>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</si>
  <si>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</si>
  <si>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</si>
  <si>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</si>
  <si>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</si>
  <si>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</si>
  <si>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</si>
  <si>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</si>
  <si>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</si>
  <si>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</si>
  <si>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</si>
  <si>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</si>
  <si>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</si>
  <si>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</si>
  <si>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</si>
  <si>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</si>
  <si>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</si>
  <si>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</si>
  <si>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</si>
  <si>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</si>
  <si>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</si>
  <si>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</si>
  <si>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</si>
  <si>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</si>
  <si>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</si>
  <si>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</si>
  <si>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</si>
  <si>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</si>
  <si>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</si>
  <si>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</si>
  <si>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</si>
  <si>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</si>
  <si>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</si>
  <si>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</si>
  <si>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</si>
  <si>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</si>
  <si>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</si>
  <si>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</si>
  <si>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</si>
  <si>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</si>
  <si>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</si>
  <si>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</si>
  <si>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</si>
  <si>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</si>
  <si>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</si>
  <si>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</si>
  <si>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</si>
  <si>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</si>
  <si>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</si>
  <si>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</si>
  <si>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</si>
  <si>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</si>
  <si>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</si>
  <si>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</si>
  <si>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</si>
  <si>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</si>
  <si>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</si>
  <si>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</si>
  <si>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</si>
  <si>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</si>
  <si>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</si>
  <si>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</si>
  <si>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</si>
  <si>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</si>
  <si>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</si>
  <si>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</si>
  <si>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</si>
  <si>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</si>
  <si>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</si>
  <si>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</si>
  <si>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</si>
  <si>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</si>
  <si>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</si>
  <si>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</si>
  <si>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</si>
  <si>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</si>
  <si>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</si>
  <si>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</si>
  <si>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</si>
  <si>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</si>
  <si>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</si>
  <si>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</si>
  <si>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</si>
  <si>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</si>
  <si>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</si>
  <si>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</si>
  <si>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</si>
  <si>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</si>
  <si>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</si>
  <si>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</si>
  <si>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</si>
  <si>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</si>
  <si>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</si>
  <si>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</si>
  <si>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</si>
  <si>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</si>
  <si>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</si>
  <si>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</si>
  <si>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</si>
  <si>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</si>
  <si>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</si>
  <si>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</si>
  <si>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</si>
  <si>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</si>
  <si>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</si>
  <si>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</si>
  <si>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</si>
  <si>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</si>
  <si>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</si>
  <si>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</si>
  <si>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</si>
  <si>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</si>
  <si>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</si>
  <si>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</si>
  <si>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</si>
  <si>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</si>
  <si>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</si>
  <si>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</si>
  <si>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</si>
  <si>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</si>
  <si>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</si>
  <si>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</si>
  <si>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</si>
  <si>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</si>
  <si>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</si>
  <si>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</si>
  <si>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</si>
  <si>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</si>
  <si>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</si>
  <si>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</si>
  <si>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</si>
  <si>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</si>
  <si>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</si>
  <si>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</si>
  <si>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</si>
  <si>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</si>
  <si>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</si>
  <si>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</si>
  <si>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</si>
  <si>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</si>
  <si>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</si>
  <si>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</si>
  <si>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</si>
  <si>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</si>
  <si>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</si>
  <si>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</si>
  <si>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</si>
  <si>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</si>
  <si>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</si>
  <si>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</si>
  <si>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</si>
  <si>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</si>
  <si>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</si>
  <si>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</si>
  <si>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</si>
  <si>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</si>
  <si>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</si>
  <si>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</si>
  <si>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</si>
  <si>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</si>
  <si>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</si>
  <si>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</si>
  <si>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</si>
  <si>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</si>
  <si>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</si>
  <si>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</si>
  <si>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</si>
  <si>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</si>
  <si>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</si>
  <si>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</si>
  <si>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</si>
  <si>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</si>
  <si>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</si>
  <si>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</si>
  <si>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</si>
  <si>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</si>
  <si>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</si>
  <si>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</si>
  <si>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</si>
  <si>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</si>
  <si>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</si>
  <si>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</si>
  <si>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</si>
  <si>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</si>
  <si>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</si>
  <si>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</si>
  <si>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</si>
  <si>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</si>
  <si>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</si>
  <si>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</si>
  <si>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</si>
  <si>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</si>
  <si>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</si>
  <si>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</si>
  <si>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</si>
  <si>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</si>
  <si>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</si>
  <si>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</si>
  <si>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</si>
  <si>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</si>
  <si>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</si>
  <si>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</si>
  <si>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</si>
  <si>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</si>
  <si>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</si>
  <si>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</si>
  <si>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</si>
  <si>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</si>
  <si>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</si>
  <si>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</si>
  <si>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</si>
  <si>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</si>
  <si>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</si>
  <si>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</si>
  <si>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</si>
  <si>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</si>
  <si>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</si>
  <si>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</si>
  <si>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</si>
  <si>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</si>
  <si>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</si>
  <si>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</si>
  <si>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</si>
  <si>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</si>
  <si>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</si>
  <si>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</si>
  <si>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</si>
  <si>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</si>
  <si>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</si>
  <si>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</si>
  <si>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</si>
  <si>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</si>
  <si>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</si>
  <si>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</si>
  <si>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</si>
  <si>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</si>
  <si>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</si>
  <si>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</si>
  <si>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</si>
  <si>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</si>
  <si>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</si>
  <si>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</si>
  <si>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</si>
  <si>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</si>
  <si>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</si>
  <si>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</si>
  <si>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</si>
  <si>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</si>
  <si>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</si>
  <si>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</si>
  <si>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</si>
  <si>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</si>
  <si>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</si>
  <si>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</si>
  <si>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</si>
  <si>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</si>
  <si>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</si>
  <si>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</si>
  <si>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</si>
  <si>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</si>
  <si>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</si>
  <si>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</si>
  <si>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</si>
  <si>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</si>
  <si>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</si>
  <si>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</si>
  <si>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</si>
  <si>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</si>
  <si>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</si>
  <si>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</si>
  <si>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</si>
  <si>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</si>
  <si>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</si>
  <si>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</si>
  <si>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</si>
  <si>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</si>
  <si>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</si>
  <si>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</si>
  <si>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</si>
  <si>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</si>
  <si>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</si>
  <si>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</si>
  <si>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</si>
  <si>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</si>
  <si>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</si>
  <si>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</si>
  <si>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</si>
  <si>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</si>
  <si>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</si>
  <si>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</si>
  <si>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</si>
  <si>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</si>
  <si>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</si>
  <si>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</si>
  <si>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</si>
  <si>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</si>
  <si>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</si>
  <si>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</si>
  <si>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</si>
  <si>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</si>
  <si>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</si>
  <si>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</si>
  <si>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</si>
  <si>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</si>
  <si>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</si>
  <si>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</si>
  <si>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</si>
  <si>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</si>
  <si>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</si>
  <si>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</si>
  <si>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</si>
  <si>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</si>
  <si>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</si>
  <si>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</si>
  <si>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</si>
  <si>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</si>
  <si>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</si>
  <si>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</si>
  <si>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</si>
  <si>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</si>
  <si>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</si>
  <si>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</si>
  <si>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</si>
  <si>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</si>
  <si>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</si>
  <si>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</si>
  <si>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</si>
  <si>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</si>
  <si>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</si>
  <si>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</si>
  <si>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</si>
  <si>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</si>
  <si>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</si>
  <si>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</si>
  <si>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</si>
  <si>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</si>
  <si>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</si>
  <si>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</si>
  <si>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</si>
  <si>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</si>
  <si>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</si>
  <si>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</si>
  <si>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</si>
  <si>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</si>
  <si>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</si>
  <si>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</si>
  <si>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</si>
  <si>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</si>
  <si>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</si>
  <si>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</si>
  <si>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</si>
  <si>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</si>
  <si>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</si>
  <si>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</si>
  <si>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</si>
  <si>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</si>
  <si>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</si>
  <si>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</si>
  <si>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</si>
  <si>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</si>
  <si>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</si>
  <si>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</si>
  <si>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</si>
  <si>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</si>
  <si>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</si>
  <si>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</si>
  <si>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</si>
  <si>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</si>
  <si>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</si>
  <si>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</si>
  <si>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</si>
  <si>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</si>
  <si>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</si>
  <si>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</si>
  <si>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</si>
  <si>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</si>
  <si>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</si>
  <si>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</si>
  <si>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</si>
  <si>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</si>
  <si>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</si>
  <si>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</si>
  <si>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</si>
  <si>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</si>
  <si>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</si>
  <si>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</si>
  <si>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</si>
  <si>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</si>
  <si>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</si>
  <si>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</si>
  <si>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</si>
  <si>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</si>
  <si>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</si>
  <si>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</si>
  <si>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</si>
  <si>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</si>
  <si>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</si>
  <si>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</si>
  <si>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</si>
  <si>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</si>
  <si>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</si>
  <si>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</si>
  <si>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</si>
  <si>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</si>
  <si>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</si>
  <si>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</si>
  <si>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</si>
  <si>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</si>
  <si>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</si>
  <si>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</si>
  <si>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</si>
  <si>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</si>
  <si>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</si>
  <si>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</si>
  <si>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</si>
  <si>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</si>
  <si>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</si>
  <si>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</si>
  <si>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</si>
  <si>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</si>
  <si>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</si>
  <si>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</si>
  <si>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</si>
  <si>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</si>
  <si>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</si>
  <si>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</si>
  <si>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</si>
  <si>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</si>
  <si>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</si>
  <si>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</si>
  <si>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</si>
  <si>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</si>
  <si>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</si>
  <si>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</si>
  <si>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</si>
  <si>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</si>
  <si>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</si>
  <si>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</si>
  <si>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</si>
  <si>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</si>
  <si>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</si>
  <si>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</si>
  <si>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</si>
  <si>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</si>
  <si>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</si>
  <si>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</si>
  <si>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</si>
  <si>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</si>
  <si>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</si>
  <si>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</si>
  <si>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</si>
  <si>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</si>
  <si>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</si>
  <si>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</si>
  <si>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</si>
  <si>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</si>
  <si>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</si>
  <si>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</si>
  <si>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</si>
  <si>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</si>
  <si>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</si>
  <si>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</si>
  <si>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</si>
  <si>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</si>
  <si>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</si>
  <si>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</si>
  <si>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</si>
  <si>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</si>
  <si>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</si>
  <si>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</si>
  <si>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</si>
  <si>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</si>
  <si>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</si>
  <si>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</si>
  <si>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</si>
  <si>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</si>
  <si>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</si>
  <si>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</si>
  <si>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</si>
  <si>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</si>
  <si>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</si>
  <si>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</si>
  <si>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</si>
  <si>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</si>
  <si>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</si>
  <si>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</si>
  <si>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</si>
  <si>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</si>
  <si>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</si>
  <si>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</si>
  <si>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</si>
  <si>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</si>
  <si>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</si>
  <si>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</si>
  <si>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</si>
  <si>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</si>
  <si>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</si>
  <si>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</si>
  <si>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</si>
  <si>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</si>
  <si>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</si>
  <si>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</si>
  <si>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</si>
  <si>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</si>
  <si>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</si>
  <si>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</si>
  <si>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</si>
  <si>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</si>
  <si>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</si>
  <si>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</si>
  <si>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</si>
  <si>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</si>
  <si>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</si>
  <si>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</si>
  <si>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</si>
  <si>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</si>
  <si>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</si>
  <si>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</si>
  <si>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</si>
  <si>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</si>
  <si>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</si>
  <si>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</si>
  <si>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</si>
  <si>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</si>
  <si>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</si>
  <si>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</si>
  <si>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</si>
  <si>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</si>
  <si>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</si>
  <si>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</si>
  <si>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</si>
  <si>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</si>
  <si>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</si>
  <si>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</si>
  <si>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</si>
  <si>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</si>
  <si>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</si>
  <si>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</si>
  <si>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</si>
  <si>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</si>
  <si>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</si>
  <si>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</si>
  <si>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</si>
  <si>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</si>
  <si>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</si>
  <si>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</si>
  <si>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</si>
  <si>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</si>
  <si>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</si>
  <si>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</si>
  <si>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</si>
  <si>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</si>
  <si>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</si>
  <si>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</si>
  <si>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</si>
  <si>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</si>
  <si>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</si>
  <si>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</si>
  <si>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</si>
  <si>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</si>
  <si>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</si>
  <si>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</si>
  <si>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</si>
  <si>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</si>
  <si>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</si>
  <si>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</si>
  <si>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</si>
  <si>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</si>
  <si>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</si>
  <si>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</si>
  <si>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</si>
  <si>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</si>
  <si>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</si>
  <si>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</si>
  <si>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</si>
  <si>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</si>
  <si>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</si>
  <si>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</si>
  <si>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</si>
  <si>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</si>
  <si>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</si>
  <si>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</si>
  <si>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</si>
  <si>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</si>
  <si>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</si>
  <si>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</si>
  <si>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</si>
  <si>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</si>
  <si>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</si>
  <si>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</si>
  <si>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</si>
  <si>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</si>
  <si>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</si>
  <si>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</si>
  <si>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</si>
  <si>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</si>
  <si>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</si>
  <si>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</si>
  <si>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</si>
  <si>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</si>
  <si>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</si>
  <si>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</si>
  <si>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</si>
  <si>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</si>
  <si>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</si>
  <si>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</si>
  <si>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</si>
  <si>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</si>
  <si>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</si>
  <si>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</si>
  <si>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</si>
  <si>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</si>
  <si>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</si>
  <si>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</si>
  <si>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</si>
  <si>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</si>
  <si>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</si>
  <si>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</si>
  <si>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</si>
  <si>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</si>
  <si>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</si>
  <si>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</si>
  <si>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</si>
  <si>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</si>
  <si>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</si>
  <si>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</si>
  <si>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</si>
  <si>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</si>
  <si>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</si>
  <si>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</si>
  <si>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</si>
  <si>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</si>
  <si>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</si>
  <si>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</si>
  <si>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</si>
  <si>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</si>
  <si>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</si>
  <si>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</si>
  <si>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</si>
  <si>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</si>
  <si>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</si>
  <si>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</si>
  <si>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</si>
  <si>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</si>
  <si>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</si>
  <si>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</si>
  <si>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</si>
  <si>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</si>
  <si>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</si>
  <si>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</si>
  <si>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</si>
  <si>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</si>
  <si>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</si>
  <si>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</si>
  <si>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</si>
  <si>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</si>
  <si>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</si>
  <si>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</si>
  <si>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</si>
  <si>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</si>
  <si>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</si>
  <si>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</si>
  <si>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</si>
  <si>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</si>
  <si>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</si>
  <si>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</si>
  <si>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</si>
  <si>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</si>
  <si>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</si>
  <si>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</si>
  <si>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</si>
  <si>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</si>
  <si>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</si>
  <si>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</si>
  <si>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</si>
  <si>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</si>
  <si>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</si>
  <si>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</si>
  <si>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</si>
  <si>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</si>
  <si>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</si>
  <si>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</si>
  <si>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</si>
  <si>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</si>
  <si>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</si>
  <si>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</si>
  <si>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</si>
  <si>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</si>
  <si>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</si>
  <si>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</si>
  <si>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</si>
  <si>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</si>
  <si>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</si>
  <si>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</si>
  <si>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</si>
  <si>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</si>
  <si>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</si>
  <si>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</si>
  <si>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</si>
  <si>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</si>
  <si>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</si>
  <si>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</si>
  <si>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</si>
  <si>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</si>
  <si>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</si>
  <si>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</si>
  <si>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</si>
  <si>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</si>
  <si>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</si>
  <si>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</si>
  <si>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</si>
  <si>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</si>
  <si>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</si>
  <si>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</si>
  <si>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</si>
  <si>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</si>
  <si>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</si>
  <si>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</si>
  <si>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</si>
  <si>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</si>
  <si>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</si>
  <si>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</si>
  <si>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</si>
  <si>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</si>
  <si>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</si>
  <si>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</si>
  <si>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</si>
  <si>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</si>
  <si>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</si>
  <si>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</si>
  <si>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</si>
  <si>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</si>
  <si>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</si>
  <si>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</si>
  <si>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</si>
  <si>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</si>
  <si>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</si>
  <si>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</si>
  <si>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</si>
  <si>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</si>
  <si>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</si>
  <si>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</si>
  <si>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</si>
  <si>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</si>
  <si>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</si>
  <si>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</si>
  <si>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</si>
  <si>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</si>
  <si>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</si>
  <si>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</si>
  <si>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</si>
  <si>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</si>
  <si>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</si>
  <si>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</si>
  <si>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</si>
  <si>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</si>
  <si>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</si>
  <si>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</si>
  <si>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</si>
  <si>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</si>
  <si>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</si>
  <si>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</si>
  <si>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</si>
  <si>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</si>
  <si>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</si>
  <si>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</si>
  <si>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</si>
  <si>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</si>
  <si>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</si>
  <si>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</si>
  <si>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</si>
  <si>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</si>
  <si>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</si>
  <si>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</si>
  <si>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</si>
  <si>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</si>
  <si>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</si>
  <si>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</si>
  <si>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</si>
  <si>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</si>
  <si>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</si>
  <si>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</si>
  <si>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</si>
  <si>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</si>
  <si>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</si>
  <si>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</si>
  <si>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</si>
  <si>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</si>
  <si>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</si>
  <si>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</si>
  <si>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</si>
  <si>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</si>
  <si>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</si>
  <si>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</si>
  <si>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</si>
  <si>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</si>
  <si>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</si>
  <si>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</si>
  <si>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</si>
  <si>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</si>
  <si>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</si>
  <si>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</si>
  <si>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</si>
  <si>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</si>
  <si>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</si>
  <si>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</si>
  <si>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</si>
  <si>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</si>
  <si>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</si>
  <si>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</si>
  <si>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</si>
  <si>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</si>
  <si>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</si>
  <si>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</si>
  <si>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</si>
  <si>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</si>
  <si>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</si>
  <si>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</si>
  <si>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</si>
  <si>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</si>
  <si>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</si>
  <si>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</si>
  <si>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</si>
  <si>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</si>
  <si>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</si>
  <si>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</si>
  <si>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</si>
  <si>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</si>
  <si>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</si>
  <si>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</si>
  <si>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</si>
  <si>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</si>
  <si>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</si>
  <si>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</si>
  <si>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</si>
  <si>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</si>
  <si>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</si>
  <si>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</si>
  <si>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</si>
  <si>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</si>
  <si>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</si>
  <si>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</si>
  <si>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</si>
  <si>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</si>
  <si>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</si>
  <si>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</si>
  <si>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</si>
  <si>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</si>
  <si>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</si>
  <si>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</si>
  <si>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</si>
  <si>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</si>
  <si>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</si>
  <si>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</si>
  <si>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</si>
  <si>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</si>
  <si>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</si>
  <si>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</si>
  <si>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</si>
  <si>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</si>
  <si>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</si>
  <si>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</si>
  <si>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</si>
  <si>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</si>
  <si>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</si>
  <si>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</si>
  <si>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</si>
  <si>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</si>
  <si>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</si>
  <si>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</si>
  <si>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</si>
  <si>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</si>
  <si>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</si>
  <si>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</si>
  <si>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</si>
  <si>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</si>
  <si>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</si>
  <si>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</si>
  <si>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</si>
  <si>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</si>
  <si>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</si>
  <si>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</si>
  <si>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</si>
  <si>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</si>
  <si>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</si>
  <si>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</si>
  <si>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</si>
  <si>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</si>
  <si>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</si>
  <si>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</si>
  <si>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</si>
  <si>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</si>
  <si>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</si>
  <si>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</si>
  <si>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</si>
  <si>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</si>
  <si>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</si>
  <si>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</si>
  <si>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</si>
  <si>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</si>
  <si>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</si>
  <si>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</si>
  <si>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</si>
  <si>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</si>
  <si>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</si>
  <si>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</si>
  <si>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</si>
  <si>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</si>
  <si>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</si>
  <si>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</si>
  <si>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</si>
  <si>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</si>
  <si>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</si>
  <si>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</si>
  <si>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</si>
  <si>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</si>
  <si>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</si>
  <si>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</si>
  <si>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</si>
  <si>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</si>
  <si>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</si>
  <si>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</si>
  <si>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</si>
  <si>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</si>
  <si>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</si>
  <si>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</si>
  <si>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</si>
  <si>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</si>
  <si>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</si>
  <si>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</si>
  <si>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</si>
  <si>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</si>
  <si>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</si>
  <si>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</si>
  <si>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</si>
  <si>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</si>
  <si>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</si>
  <si>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</si>
  <si>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</si>
  <si>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</si>
  <si>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</si>
  <si>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</si>
  <si>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</si>
  <si>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</si>
  <si>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</si>
  <si>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</si>
  <si>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</si>
  <si>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</si>
  <si>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</si>
  <si>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</si>
  <si>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</si>
  <si>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</si>
  <si>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</si>
  <si>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</si>
  <si>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</si>
  <si>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</si>
  <si>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</si>
  <si>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</si>
  <si>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</si>
  <si>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</si>
  <si>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</si>
  <si>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</si>
  <si>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</si>
  <si>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</si>
  <si>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</si>
  <si>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</si>
  <si>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</si>
  <si>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</si>
  <si>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</si>
  <si>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</si>
  <si>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</si>
  <si>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</si>
  <si>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</si>
  <si>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</si>
  <si>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</si>
  <si>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</si>
  <si>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</si>
  <si>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</si>
  <si>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</si>
  <si>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</si>
  <si>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</si>
  <si>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</si>
  <si>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</si>
  <si>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</si>
  <si>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</si>
  <si>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</si>
  <si>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</si>
  <si>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</si>
  <si>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</si>
  <si>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</si>
  <si>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</si>
  <si>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</si>
  <si>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</si>
  <si>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</si>
  <si>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</si>
  <si>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</si>
  <si>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</si>
  <si>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</si>
  <si>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</si>
  <si>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</si>
  <si>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</si>
  <si>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</si>
  <si>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</si>
  <si>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</si>
  <si>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</si>
  <si>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</si>
  <si>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</si>
  <si>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</si>
  <si>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</si>
  <si>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</si>
  <si>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</si>
  <si>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</si>
  <si>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</si>
  <si>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</si>
  <si>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</si>
  <si>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</si>
  <si>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</si>
  <si>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</si>
  <si>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</si>
  <si>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</si>
  <si>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</si>
  <si>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</si>
  <si>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</si>
  <si>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</si>
  <si>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</si>
  <si>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</si>
  <si>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</si>
  <si>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</si>
  <si>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</si>
  <si>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</si>
  <si>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</si>
  <si>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</si>
  <si>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</si>
  <si>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</si>
  <si>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</si>
  <si>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</si>
  <si>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</si>
  <si>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</si>
  <si>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</si>
  <si>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</si>
  <si>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</si>
  <si>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</si>
  <si>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</si>
  <si>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</si>
  <si>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</si>
  <si>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</si>
  <si>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</si>
  <si>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</si>
  <si>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</si>
  <si>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</si>
  <si>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</si>
  <si>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</si>
  <si>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</si>
  <si>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</si>
  <si>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</si>
  <si>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</si>
  <si>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</si>
  <si>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</si>
  <si>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</si>
  <si>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</si>
  <si>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</si>
  <si>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</si>
  <si>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</si>
  <si>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</si>
  <si>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</si>
  <si>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</si>
  <si>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</si>
  <si>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</si>
  <si>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</si>
  <si>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</si>
  <si>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</si>
  <si>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</si>
  <si>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</si>
  <si>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</si>
  <si>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</si>
  <si>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</si>
  <si>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</si>
  <si>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</si>
  <si>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</si>
  <si>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</si>
  <si>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</si>
  <si>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</si>
  <si>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</si>
  <si>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</si>
  <si>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</si>
  <si>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</si>
  <si>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</si>
  <si>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</si>
  <si>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</si>
  <si>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</si>
  <si>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</si>
  <si>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</si>
  <si>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</si>
  <si>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</si>
  <si>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</si>
  <si>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</si>
  <si>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</si>
  <si>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</si>
  <si>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</si>
  <si>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</si>
  <si>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</si>
  <si>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</si>
  <si>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</si>
  <si>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</si>
  <si>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</si>
  <si>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</si>
  <si>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</si>
  <si>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</si>
  <si>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</si>
  <si>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</si>
  <si>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</si>
  <si>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</si>
  <si>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</si>
  <si>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</si>
  <si>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</si>
  <si>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</si>
  <si>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</si>
  <si>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</si>
  <si>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</si>
  <si>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</si>
  <si>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</si>
  <si>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</si>
  <si>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</si>
  <si>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</si>
  <si>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</si>
  <si>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</si>
  <si>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</si>
  <si>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</si>
  <si>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</si>
  <si>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</si>
  <si>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</si>
  <si>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</si>
  <si>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</si>
  <si>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</si>
  <si>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</si>
  <si>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</si>
  <si>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</si>
  <si>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</si>
  <si>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</si>
  <si>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</si>
  <si>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</si>
  <si>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</si>
  <si>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</si>
  <si>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</si>
  <si>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</si>
  <si>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</si>
  <si>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</si>
  <si>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</si>
  <si>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</si>
  <si>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</si>
  <si>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</si>
  <si>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</si>
  <si>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</si>
  <si>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</si>
  <si>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</si>
  <si>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</si>
  <si>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</si>
  <si>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</si>
  <si>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</si>
  <si>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</si>
  <si>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</si>
  <si>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</si>
  <si>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</si>
  <si>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</si>
  <si>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</si>
  <si>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</si>
  <si>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</si>
  <si>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</si>
  <si>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</si>
  <si>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</si>
  <si>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</si>
  <si>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</si>
  <si>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</si>
  <si>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</si>
  <si>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</si>
  <si>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</si>
  <si>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</si>
  <si>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</si>
  <si>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</si>
  <si>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</si>
  <si>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</si>
  <si>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</si>
  <si>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</si>
  <si>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</si>
  <si>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</si>
  <si>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</si>
  <si>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</si>
  <si>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</si>
  <si>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</si>
  <si>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</si>
  <si>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</si>
  <si>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</si>
  <si>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</si>
  <si>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</si>
  <si>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</si>
  <si>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</si>
  <si>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</si>
  <si>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</si>
  <si>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</si>
  <si>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</si>
  <si>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</si>
  <si>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</si>
  <si>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</si>
  <si>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</si>
  <si>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</si>
  <si>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</si>
  <si>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</si>
  <si>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</si>
  <si>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</si>
  <si>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</si>
  <si>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</si>
  <si>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</si>
  <si>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</si>
  <si>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</si>
  <si>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</si>
  <si>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</si>
  <si>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</si>
  <si>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</si>
  <si>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</si>
  <si>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</si>
  <si>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</si>
  <si>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</si>
  <si>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</si>
  <si>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</si>
  <si>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</si>
  <si>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</si>
  <si>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</si>
  <si>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</si>
  <si>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</si>
  <si>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</si>
  <si>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</si>
  <si>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</si>
  <si>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</si>
  <si>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</si>
  <si>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</si>
  <si>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</si>
  <si>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</si>
  <si>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</si>
  <si>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</si>
  <si>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</si>
  <si>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</si>
  <si>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</si>
  <si>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</si>
  <si>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</si>
  <si>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</si>
  <si>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</si>
  <si>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</si>
  <si>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</si>
  <si>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</si>
  <si>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</si>
  <si>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</si>
  <si>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</si>
  <si>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</si>
  <si>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</si>
  <si>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</si>
  <si>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</si>
  <si>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</si>
  <si>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</si>
  <si>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</si>
  <si>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</si>
  <si>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</si>
  <si>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</si>
  <si>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</si>
  <si>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</si>
  <si>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</si>
  <si>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</si>
  <si>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</si>
  <si>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</si>
  <si>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</si>
  <si>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</si>
  <si>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</si>
  <si>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</si>
  <si>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</si>
  <si>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</si>
  <si>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</si>
  <si>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</si>
  <si>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</si>
  <si>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</si>
  <si>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</si>
  <si>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</si>
  <si>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</si>
  <si>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</si>
  <si>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</si>
  <si>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</si>
  <si>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</si>
  <si>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</si>
  <si>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</si>
  <si>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</si>
  <si>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</si>
  <si>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</si>
  <si>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</si>
  <si>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</si>
  <si>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</si>
  <si>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</si>
  <si>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</si>
  <si>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</si>
  <si>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</si>
  <si>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</si>
  <si>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</si>
  <si>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</si>
  <si>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</si>
  <si>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</si>
  <si>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</si>
  <si>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</si>
  <si>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</si>
  <si>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</si>
  <si>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</si>
  <si>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</si>
  <si>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</si>
  <si>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</si>
  <si>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</si>
  <si>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</si>
  <si>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</si>
  <si>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</si>
  <si>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</si>
  <si>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</si>
  <si>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</si>
  <si>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</si>
  <si>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</si>
  <si>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</si>
  <si>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</si>
  <si>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</si>
  <si>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</si>
  <si>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</si>
  <si>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</si>
  <si>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</si>
  <si>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</si>
  <si>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</si>
  <si>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</si>
  <si>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</si>
  <si>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</si>
  <si>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</si>
  <si>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</si>
  <si>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</si>
  <si>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</si>
  <si>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</si>
  <si>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</si>
  <si>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</si>
  <si>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</si>
  <si>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</si>
  <si>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</si>
  <si>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</si>
  <si>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</si>
  <si>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</si>
  <si>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</si>
  <si>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</si>
  <si>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</si>
  <si>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</si>
  <si>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</si>
  <si>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</si>
  <si>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</si>
  <si>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</si>
  <si>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</si>
  <si>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</si>
  <si>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</si>
  <si>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</si>
  <si>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</si>
  <si>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</si>
  <si>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</si>
  <si>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</si>
  <si>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</si>
  <si>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</si>
  <si>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</si>
  <si>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</si>
  <si>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</si>
  <si>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</si>
  <si>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</si>
  <si>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</si>
  <si>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</si>
  <si>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</si>
  <si>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</si>
  <si>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</si>
  <si>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</si>
  <si>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</si>
  <si>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</si>
  <si>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</si>
  <si>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</si>
  <si>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</si>
  <si>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</si>
  <si>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</si>
  <si>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</si>
  <si>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</si>
  <si>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</si>
  <si>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</si>
  <si>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</si>
  <si>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</si>
  <si>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</si>
  <si>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</si>
  <si>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</si>
  <si>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</si>
  <si>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</si>
  <si>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</si>
  <si>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</si>
  <si>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</si>
  <si>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</si>
  <si>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</si>
  <si>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</si>
  <si>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</si>
  <si>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</si>
  <si>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</si>
  <si>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</si>
  <si>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</si>
  <si>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</si>
  <si>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</si>
  <si>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</si>
  <si>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</si>
  <si>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</si>
  <si>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</si>
  <si>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</si>
  <si>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</si>
  <si>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</si>
  <si>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</si>
  <si>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</si>
  <si>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</si>
  <si>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</si>
  <si>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</si>
  <si>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</si>
  <si>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</si>
  <si>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</si>
  <si>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</si>
  <si>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</si>
  <si>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</si>
  <si>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</si>
  <si>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</si>
  <si>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</si>
  <si>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</si>
  <si>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</si>
  <si>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</si>
  <si>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</si>
  <si>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</si>
  <si>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</si>
  <si>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</si>
  <si>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</si>
  <si>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</si>
  <si>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</si>
  <si>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</si>
  <si>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</si>
  <si>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</si>
  <si>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</si>
  <si>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</si>
  <si>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</si>
  <si>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</si>
  <si>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</si>
  <si>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</si>
  <si>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</si>
  <si>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</si>
  <si>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</si>
  <si>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</si>
  <si>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</si>
  <si>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</si>
  <si>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</si>
  <si>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</si>
  <si>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</si>
  <si>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</si>
  <si>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</si>
  <si>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</si>
  <si>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</si>
  <si>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</si>
  <si>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</si>
  <si>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</si>
  <si>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</si>
  <si>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</si>
  <si>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</si>
  <si>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</si>
  <si>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</si>
  <si>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</si>
  <si>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</si>
  <si>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</si>
  <si>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</si>
  <si>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</si>
  <si>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</si>
  <si>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</si>
  <si>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</si>
  <si>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</si>
  <si>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</si>
  <si>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</si>
  <si>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</si>
  <si>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</si>
  <si>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</si>
  <si>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</si>
  <si>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</si>
  <si>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</si>
  <si>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</si>
  <si>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</si>
  <si>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</si>
  <si>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</si>
  <si>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</si>
  <si>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</si>
  <si>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</si>
  <si>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</si>
  <si>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</si>
  <si>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</si>
  <si>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</si>
  <si>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</si>
  <si>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</si>
  <si>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</si>
  <si>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</si>
  <si>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</si>
  <si>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</si>
  <si>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</si>
  <si>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</si>
  <si>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</si>
  <si>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</si>
  <si>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</si>
  <si>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</si>
  <si>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</si>
  <si>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</si>
  <si>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</si>
  <si>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</si>
  <si>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</si>
  <si>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</si>
  <si>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</si>
  <si>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</si>
  <si>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</si>
  <si>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</si>
  <si>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</si>
  <si>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</si>
  <si>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</si>
  <si>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</si>
  <si>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</si>
  <si>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</si>
  <si>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</si>
  <si>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</si>
  <si>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</si>
  <si>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</si>
  <si>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</si>
  <si>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</si>
  <si>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</si>
  <si>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</si>
  <si>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</si>
  <si>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</si>
  <si>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</si>
  <si>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</si>
  <si>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</si>
  <si>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</si>
  <si>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</si>
  <si>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</si>
  <si>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</si>
  <si>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</si>
  <si>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</si>
  <si>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</si>
  <si>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</si>
  <si>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</si>
  <si>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</si>
  <si>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</si>
  <si>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</si>
  <si>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</si>
  <si>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</si>
  <si>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</si>
  <si>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</si>
  <si>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</si>
  <si>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</si>
  <si>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</si>
  <si>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</si>
  <si>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</si>
  <si>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</si>
  <si>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</si>
  <si>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</si>
  <si>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</si>
  <si>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</si>
  <si>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</si>
  <si>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</si>
  <si>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</si>
  <si>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</si>
  <si>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</si>
  <si>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</si>
  <si>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</si>
  <si>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</si>
  <si>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</si>
  <si>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</si>
  <si>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</si>
  <si>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</si>
  <si>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</si>
  <si>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</si>
  <si>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</si>
  <si>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</si>
  <si>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</si>
  <si>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</si>
  <si>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</si>
  <si>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</si>
  <si>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</si>
  <si>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</si>
  <si>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</si>
  <si>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</si>
  <si>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</si>
  <si>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</si>
  <si>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</si>
  <si>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</si>
  <si>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</si>
  <si>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</si>
  <si>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</si>
  <si>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</si>
  <si>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</si>
  <si>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</si>
  <si>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</si>
  <si>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</si>
  <si>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</si>
  <si>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</si>
  <si>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</si>
  <si>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</si>
  <si>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</si>
  <si>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</si>
  <si>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</si>
  <si>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</si>
  <si>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</si>
  <si>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</si>
  <si>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</si>
  <si>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</si>
  <si>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</si>
  <si>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</si>
  <si>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</si>
  <si>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</si>
  <si>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</si>
  <si>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</si>
  <si>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</si>
  <si>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</si>
  <si>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</si>
  <si>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</si>
  <si>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</si>
  <si>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</si>
  <si>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</si>
  <si>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</si>
  <si>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</si>
  <si>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</si>
  <si>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</si>
  <si>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</si>
  <si>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</si>
  <si>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</si>
  <si>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</si>
  <si>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</si>
  <si>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</si>
  <si>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</si>
  <si>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</si>
  <si>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</si>
  <si>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</si>
  <si>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</si>
  <si>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</si>
  <si>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</si>
  <si>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</si>
  <si>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</si>
  <si>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</si>
  <si>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</si>
  <si>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</si>
  <si>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</si>
  <si>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</si>
  <si>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</si>
  <si>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</si>
  <si>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</si>
  <si>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</si>
  <si>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</si>
  <si>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</si>
  <si>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</si>
  <si>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</si>
  <si>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</si>
  <si>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</si>
  <si>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</si>
  <si>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</si>
  <si>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</si>
  <si>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</si>
  <si>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zakat</t>
  </si>
  <si>
    <t>paid by BH (online to rizwan ali)</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</si>
  <si>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</si>
  <si>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</si>
  <si>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</si>
  <si>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</si>
  <si>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</si>
  <si>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</si>
  <si>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</si>
  <si>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</si>
  <si>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</si>
  <si>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</si>
  <si>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</si>
  <si>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</si>
  <si>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</si>
  <si>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</si>
  <si>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</si>
  <si>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</si>
  <si>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</si>
  <si>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</si>
  <si>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</si>
  <si>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</si>
  <si>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</si>
  <si>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</si>
  <si>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 xml:space="preserve">zakat </t>
  </si>
  <si>
    <t>Zakat to tariq by ahsan (recommended by BH)</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</si>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</sst>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893">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22-Apr-24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1.740038425924" createdVersion="5" refreshedVersion="8" minRefreshableVersion="3" recordCount="19109" xr:uid="{00000000-000A-0000-FFFF-FFFF2E000000}">
  <cacheSource type="worksheet">
    <worksheetSource ref="A1:H20072" sheet="Posting"/>
  </cacheSource>
  <cacheFields count="8">
    <cacheField name="Date" numFmtId="0">
      <sharedItems containsDate="1" containsBlank="1" containsMixedTypes="1" minDate="2013-12-15T00:00:00" maxDate="2024-04-19T00:00:00" count="23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8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9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Bakhti for office use"/>
        <s v="Imran salary leave wave off and advance reversed"/>
        <s v="Mumtaz bhai 9 hrs Over time"/>
        <s v="Purchased antivertex plate from national engineering (Online by adeel)"/>
        <s v="a4 rim, colour copy binding sprirral"/>
        <s v="Purchased 06 Units (Payment form IK in ET acc)"/>
        <s v="Received from Total transfer in Mohsin traders acc c/o Bilal bhai"/>
        <s v="Rec from Ik in acc of EY (Given to al madina against GST invoice)"/>
        <s v="Rec from Ik in acc of EY (Given to Haier against GST invoice)"/>
        <s v="Rec chq from NEC (Given to Bilal bhai)"/>
        <s v="Cash received (used on office)"/>
        <s v="received March 2024 bill"/>
        <s v="Received chq (given to IK against GST invoice) Combined chq amount = 2,700,000/-"/>
        <s v="Received chq (Given to ST Brother against GST Invoice)"/>
        <s v="Received chq (Given to Shaikh traders care off Ad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4.728365972223" createdVersion="5" refreshedVersion="8" minRefreshableVersion="3" recordCount="4152" xr:uid="{00000000-000A-0000-FFFF-FFFF2F000000}">
  <cacheSource type="worksheet">
    <worksheetSource ref="A1:H5537" sheet="Supplier"/>
  </cacheSource>
  <cacheFields count="8">
    <cacheField name="Date" numFmtId="0">
      <sharedItems containsNonDate="0" containsDate="1" containsString="0" containsBlank="1" minDate="2015-11-24T00:00:00" maxDate="2024-04-23T00:00:00" count="1355">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6T00:00:00"/>
        <d v="2024-04-07T00:00:00"/>
        <d v="2024-04-08T00:00:00"/>
        <d v="2024-04-2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7">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0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2"/>
    <x v="9791"/>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2"/>
    <n v="15600"/>
    <m/>
    <n v="-15600"/>
    <x v="113"/>
  </r>
  <r>
    <x v="2191"/>
    <x v="79"/>
    <x v="278"/>
    <x v="9793"/>
    <n v="1000"/>
    <m/>
    <n v="-1000"/>
    <x v="113"/>
  </r>
  <r>
    <x v="2191"/>
    <x v="94"/>
    <x v="278"/>
    <x v="9794"/>
    <n v="7500"/>
    <m/>
    <n v="-7500"/>
    <x v="113"/>
  </r>
  <r>
    <x v="2191"/>
    <x v="94"/>
    <x v="278"/>
    <x v="9795"/>
    <n v="540"/>
    <m/>
    <n v="-540"/>
    <x v="113"/>
  </r>
  <r>
    <x v="2191"/>
    <x v="73"/>
    <x v="698"/>
    <x v="9796"/>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7"/>
    <n v="12400"/>
    <m/>
    <n v="-12400"/>
    <x v="113"/>
  </r>
  <r>
    <x v="2192"/>
    <x v="79"/>
    <x v="278"/>
    <x v="9798"/>
    <n v="950"/>
    <m/>
    <n v="-950"/>
    <x v="113"/>
  </r>
  <r>
    <x v="2192"/>
    <x v="98"/>
    <x v="277"/>
    <x v="9799"/>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800"/>
    <n v="10900"/>
    <m/>
    <n v="-10900"/>
    <x v="113"/>
  </r>
  <r>
    <x v="2192"/>
    <x v="94"/>
    <x v="592"/>
    <x v="9801"/>
    <n v="2000000"/>
    <m/>
    <n v="-2000000"/>
    <x v="113"/>
  </r>
  <r>
    <x v="2193"/>
    <x v="1"/>
    <x v="261"/>
    <x v="9802"/>
    <n v="1557"/>
    <m/>
    <n v="-1557"/>
    <x v="113"/>
  </r>
  <r>
    <x v="2193"/>
    <x v="86"/>
    <x v="644"/>
    <x v="9803"/>
    <n v="1000000"/>
    <m/>
    <n v="-1000000"/>
    <x v="113"/>
  </r>
  <r>
    <x v="2193"/>
    <x v="73"/>
    <x v="698"/>
    <x v="9804"/>
    <n v="791000"/>
    <m/>
    <n v="-791000"/>
    <x v="113"/>
  </r>
  <r>
    <x v="2193"/>
    <x v="73"/>
    <x v="278"/>
    <x v="9805"/>
    <n v="38000"/>
    <m/>
    <n v="-38000"/>
    <x v="113"/>
  </r>
  <r>
    <x v="2194"/>
    <x v="97"/>
    <x v="369"/>
    <x v="9806"/>
    <n v="219000"/>
    <m/>
    <n v="-219000"/>
    <x v="113"/>
  </r>
  <r>
    <x v="2194"/>
    <x v="103"/>
    <x v="369"/>
    <x v="9806"/>
    <n v="81000"/>
    <m/>
    <n v="-81000"/>
    <x v="113"/>
  </r>
  <r>
    <x v="2194"/>
    <x v="94"/>
    <x v="804"/>
    <x v="9807"/>
    <n v="30000"/>
    <m/>
    <n v="-30000"/>
    <x v="113"/>
  </r>
  <r>
    <x v="2194"/>
    <x v="58"/>
    <x v="278"/>
    <x v="9808"/>
    <n v="43500"/>
    <m/>
    <n v="-43500"/>
    <x v="113"/>
  </r>
  <r>
    <x v="2194"/>
    <x v="58"/>
    <x v="816"/>
    <x v="9809"/>
    <n v="5000"/>
    <m/>
    <n v="-5000"/>
    <x v="113"/>
  </r>
  <r>
    <x v="2194"/>
    <x v="58"/>
    <x v="474"/>
    <x v="233"/>
    <n v="200"/>
    <m/>
    <n v="-200"/>
    <x v="113"/>
  </r>
  <r>
    <x v="2195"/>
    <x v="91"/>
    <x v="278"/>
    <x v="9810"/>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1"/>
    <n v="1000"/>
    <m/>
    <n v="-1000"/>
    <x v="113"/>
  </r>
  <r>
    <x v="2195"/>
    <x v="65"/>
    <x v="474"/>
    <x v="233"/>
    <n v="700"/>
    <m/>
    <n v="-700"/>
    <x v="113"/>
  </r>
  <r>
    <x v="2195"/>
    <x v="94"/>
    <x v="704"/>
    <x v="9812"/>
    <n v="540"/>
    <m/>
    <n v="-540"/>
    <x v="113"/>
  </r>
  <r>
    <x v="2195"/>
    <x v="73"/>
    <x v="474"/>
    <x v="233"/>
    <n v="400"/>
    <m/>
    <n v="-400"/>
    <x v="113"/>
  </r>
  <r>
    <x v="2195"/>
    <x v="80"/>
    <x v="767"/>
    <x v="9813"/>
    <n v="288000"/>
    <m/>
    <n v="-288000"/>
    <x v="113"/>
  </r>
  <r>
    <x v="2195"/>
    <x v="73"/>
    <x v="795"/>
    <x v="8878"/>
    <n v="50000"/>
    <m/>
    <n v="-50000"/>
    <x v="113"/>
  </r>
  <r>
    <x v="2195"/>
    <x v="79"/>
    <x v="817"/>
    <x v="9814"/>
    <n v="75000"/>
    <m/>
    <n v="-75000"/>
    <x v="113"/>
  </r>
  <r>
    <x v="2195"/>
    <x v="107"/>
    <x v="817"/>
    <x v="9814"/>
    <n v="75000"/>
    <m/>
    <n v="-75000"/>
    <x v="113"/>
  </r>
  <r>
    <x v="2195"/>
    <x v="99"/>
    <x v="518"/>
    <x v="9477"/>
    <n v="60000"/>
    <m/>
    <n v="-60000"/>
    <x v="113"/>
  </r>
  <r>
    <x v="2195"/>
    <x v="4"/>
    <x v="43"/>
    <x v="9815"/>
    <n v="6000"/>
    <m/>
    <n v="-6000"/>
    <x v="113"/>
  </r>
  <r>
    <x v="2195"/>
    <x v="73"/>
    <x v="474"/>
    <x v="233"/>
    <n v="600"/>
    <m/>
    <n v="-600"/>
    <x v="113"/>
  </r>
  <r>
    <x v="2195"/>
    <x v="4"/>
    <x v="4"/>
    <x v="9816"/>
    <n v="1000"/>
    <m/>
    <n v="-1000"/>
    <x v="113"/>
  </r>
  <r>
    <x v="2195"/>
    <x v="4"/>
    <x v="4"/>
    <x v="5193"/>
    <n v="1000"/>
    <m/>
    <n v="-1000"/>
    <x v="113"/>
  </r>
  <r>
    <x v="2196"/>
    <x v="94"/>
    <x v="278"/>
    <x v="9817"/>
    <n v="3000"/>
    <m/>
    <n v="-3000"/>
    <x v="113"/>
  </r>
  <r>
    <x v="2196"/>
    <x v="94"/>
    <x v="694"/>
    <x v="7505"/>
    <n v="2000"/>
    <m/>
    <n v="-2000"/>
    <x v="113"/>
  </r>
  <r>
    <x v="2196"/>
    <x v="80"/>
    <x v="278"/>
    <x v="9818"/>
    <n v="8000"/>
    <m/>
    <n v="-8000"/>
    <x v="113"/>
  </r>
  <r>
    <x v="2197"/>
    <x v="58"/>
    <x v="773"/>
    <x v="898"/>
    <n v="10000"/>
    <m/>
    <n v="-10000"/>
    <x v="113"/>
  </r>
  <r>
    <x v="2198"/>
    <x v="94"/>
    <x v="2"/>
    <x v="9819"/>
    <n v="1500"/>
    <m/>
    <n v="-1500"/>
    <x v="113"/>
  </r>
  <r>
    <x v="2198"/>
    <x v="73"/>
    <x v="2"/>
    <x v="5499"/>
    <n v="5000"/>
    <m/>
    <n v="-5000"/>
    <x v="113"/>
  </r>
  <r>
    <x v="2198"/>
    <x v="58"/>
    <x v="805"/>
    <x v="9536"/>
    <n v="15000"/>
    <m/>
    <n v="-15000"/>
    <x v="113"/>
  </r>
  <r>
    <x v="2198"/>
    <x v="99"/>
    <x v="749"/>
    <x v="9536"/>
    <n v="200000"/>
    <m/>
    <n v="-200000"/>
    <x v="113"/>
  </r>
  <r>
    <x v="2198"/>
    <x v="80"/>
    <x v="767"/>
    <x v="9820"/>
    <n v="369095"/>
    <m/>
    <n v="-369095"/>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79"/>
    <x v="607"/>
    <x v="9825"/>
    <n v="100000"/>
    <m/>
    <n v="-100000"/>
    <x v="113"/>
  </r>
  <r>
    <x v="2199"/>
    <x v="97"/>
    <x v="596"/>
    <x v="9826"/>
    <n v="150000"/>
    <m/>
    <n v="-150000"/>
    <x v="113"/>
  </r>
  <r>
    <x v="2199"/>
    <x v="99"/>
    <x v="749"/>
    <x v="9827"/>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8"/>
    <n v="1000000"/>
    <m/>
    <n v="-1000000"/>
    <x v="113"/>
  </r>
  <r>
    <x v="2200"/>
    <x v="99"/>
    <x v="286"/>
    <x v="9829"/>
    <n v="225000"/>
    <m/>
    <n v="-225000"/>
    <x v="113"/>
  </r>
  <r>
    <x v="2200"/>
    <x v="99"/>
    <x v="809"/>
    <x v="9830"/>
    <n v="35000"/>
    <m/>
    <n v="-35000"/>
    <x v="113"/>
  </r>
  <r>
    <x v="2201"/>
    <x v="52"/>
    <x v="798"/>
    <x v="8731"/>
    <n v="500000"/>
    <m/>
    <n v="-500000"/>
    <x v="113"/>
  </r>
  <r>
    <x v="2201"/>
    <x v="94"/>
    <x v="465"/>
    <x v="9831"/>
    <n v="18000"/>
    <m/>
    <n v="-18000"/>
    <x v="113"/>
  </r>
  <r>
    <x v="2201"/>
    <x v="94"/>
    <x v="465"/>
    <x v="9832"/>
    <n v="20000"/>
    <m/>
    <n v="-20000"/>
    <x v="113"/>
  </r>
  <r>
    <x v="2201"/>
    <x v="94"/>
    <x v="465"/>
    <x v="9833"/>
    <n v="18000"/>
    <m/>
    <n v="-18000"/>
    <x v="113"/>
  </r>
  <r>
    <x v="2201"/>
    <x v="4"/>
    <x v="27"/>
    <x v="5198"/>
    <n v="18965"/>
    <m/>
    <n v="-18965"/>
    <x v="113"/>
  </r>
  <r>
    <x v="2201"/>
    <x v="7"/>
    <x v="27"/>
    <x v="5198"/>
    <n v="44854"/>
    <m/>
    <n v="-44854"/>
    <x v="113"/>
  </r>
  <r>
    <x v="2201"/>
    <x v="108"/>
    <x v="278"/>
    <x v="9834"/>
    <n v="13540"/>
    <m/>
    <n v="-13540"/>
    <x v="113"/>
  </r>
  <r>
    <x v="2201"/>
    <x v="79"/>
    <x v="278"/>
    <x v="1241"/>
    <n v="3000"/>
    <m/>
    <n v="-3000"/>
    <x v="113"/>
  </r>
  <r>
    <x v="2201"/>
    <x v="108"/>
    <x v="278"/>
    <x v="9835"/>
    <n v="280"/>
    <m/>
    <n v="-280"/>
    <x v="113"/>
  </r>
  <r>
    <x v="2201"/>
    <x v="108"/>
    <x v="278"/>
    <x v="9836"/>
    <n v="15660"/>
    <m/>
    <n v="-15660"/>
    <x v="113"/>
  </r>
  <r>
    <x v="2201"/>
    <x v="79"/>
    <x v="2"/>
    <x v="8347"/>
    <n v="12000"/>
    <m/>
    <n v="-12000"/>
    <x v="113"/>
  </r>
  <r>
    <x v="2201"/>
    <x v="79"/>
    <x v="285"/>
    <x v="8563"/>
    <n v="1000"/>
    <m/>
    <n v="-1000"/>
    <x v="113"/>
  </r>
  <r>
    <x v="2201"/>
    <x v="79"/>
    <x v="474"/>
    <x v="233"/>
    <n v="2650"/>
    <m/>
    <n v="-2650"/>
    <x v="113"/>
  </r>
  <r>
    <x v="2181"/>
    <x v="84"/>
    <x v="716"/>
    <x v="9837"/>
    <n v="65000"/>
    <m/>
    <n v="-65000"/>
    <x v="113"/>
  </r>
  <r>
    <x v="2181"/>
    <x v="94"/>
    <x v="716"/>
    <x v="9838"/>
    <n v="135000"/>
    <m/>
    <n v="-135000"/>
    <x v="113"/>
  </r>
  <r>
    <x v="2182"/>
    <x v="97"/>
    <x v="369"/>
    <x v="9839"/>
    <n v="186000"/>
    <m/>
    <n v="-186000"/>
    <x v="113"/>
  </r>
  <r>
    <x v="2185"/>
    <x v="65"/>
    <x v="78"/>
    <x v="9840"/>
    <n v="412181"/>
    <m/>
    <n v="-412181"/>
    <x v="113"/>
  </r>
  <r>
    <x v="2187"/>
    <x v="109"/>
    <x v="819"/>
    <x v="9841"/>
    <n v="1071000"/>
    <m/>
    <n v="-1071000"/>
    <x v="113"/>
  </r>
  <r>
    <x v="2189"/>
    <x v="1"/>
    <x v="261"/>
    <x v="9842"/>
    <n v="27362"/>
    <m/>
    <n v="-27362"/>
    <x v="113"/>
  </r>
  <r>
    <x v="2189"/>
    <x v="22"/>
    <x v="261"/>
    <x v="9842"/>
    <n v="35367"/>
    <m/>
    <n v="-35367"/>
    <x v="113"/>
  </r>
  <r>
    <x v="2189"/>
    <x v="23"/>
    <x v="261"/>
    <x v="9842"/>
    <n v="32760"/>
    <m/>
    <n v="-32760"/>
    <x v="113"/>
  </r>
  <r>
    <x v="2196"/>
    <x v="97"/>
    <x v="45"/>
    <x v="9843"/>
    <n v="712701"/>
    <m/>
    <n v="-712701"/>
    <x v="113"/>
  </r>
  <r>
    <x v="2185"/>
    <x v="65"/>
    <x v="97"/>
    <x v="9844"/>
    <m/>
    <n v="412181"/>
    <n v="412181"/>
    <x v="113"/>
  </r>
  <r>
    <x v="2185"/>
    <x v="99"/>
    <x v="97"/>
    <x v="9845"/>
    <m/>
    <n v="8053923"/>
    <n v="8053923"/>
    <x v="113"/>
  </r>
  <r>
    <x v="2185"/>
    <x v="23"/>
    <x v="97"/>
    <x v="9846"/>
    <m/>
    <n v="359992"/>
    <n v="359992"/>
    <x v="113"/>
  </r>
  <r>
    <x v="2187"/>
    <x v="97"/>
    <x v="97"/>
    <x v="9847"/>
    <m/>
    <n v="4658436"/>
    <n v="4658436"/>
    <x v="113"/>
  </r>
  <r>
    <x v="2187"/>
    <x v="94"/>
    <x v="97"/>
    <x v="9848"/>
    <m/>
    <n v="6010680"/>
    <n v="6010680"/>
    <x v="113"/>
  </r>
  <r>
    <x v="2187"/>
    <x v="94"/>
    <x v="97"/>
    <x v="9848"/>
    <m/>
    <n v="5060000"/>
    <n v="5060000"/>
    <x v="113"/>
  </r>
  <r>
    <x v="2187"/>
    <x v="94"/>
    <x v="97"/>
    <x v="9849"/>
    <m/>
    <n v="10000000"/>
    <n v="10000000"/>
    <x v="113"/>
  </r>
  <r>
    <x v="2187"/>
    <x v="94"/>
    <x v="97"/>
    <x v="9850"/>
    <m/>
    <n v="1071000"/>
    <n v="1071000"/>
    <x v="113"/>
  </r>
  <r>
    <x v="2191"/>
    <x v="100"/>
    <x v="97"/>
    <x v="9851"/>
    <m/>
    <n v="500000"/>
    <n v="500000"/>
    <x v="113"/>
  </r>
  <r>
    <x v="2196"/>
    <x v="94"/>
    <x v="97"/>
    <x v="9564"/>
    <m/>
    <n v="712701"/>
    <n v="712701"/>
    <x v="113"/>
  </r>
  <r>
    <x v="2197"/>
    <x v="65"/>
    <x v="97"/>
    <x v="9852"/>
    <m/>
    <n v="369095"/>
    <n v="369095"/>
    <x v="113"/>
  </r>
  <r>
    <x v="2202"/>
    <x v="91"/>
    <x v="97"/>
    <x v="9853"/>
    <m/>
    <n v="3840424"/>
    <n v="3840424"/>
    <x v="113"/>
  </r>
  <r>
    <x v="2203"/>
    <x v="94"/>
    <x v="43"/>
    <x v="9854"/>
    <n v="50000"/>
    <m/>
    <n v="-50000"/>
    <x v="114"/>
  </r>
  <r>
    <x v="2203"/>
    <x v="3"/>
    <x v="43"/>
    <x v="6877"/>
    <n v="5000"/>
    <m/>
    <n v="-5000"/>
    <x v="114"/>
  </r>
  <r>
    <x v="2203"/>
    <x v="79"/>
    <x v="43"/>
    <x v="9225"/>
    <n v="50000"/>
    <m/>
    <n v="-50000"/>
    <x v="114"/>
  </r>
  <r>
    <x v="2203"/>
    <x v="4"/>
    <x v="43"/>
    <x v="9855"/>
    <n v="105000"/>
    <m/>
    <n v="-105000"/>
    <x v="114"/>
  </r>
  <r>
    <x v="2203"/>
    <x v="94"/>
    <x v="43"/>
    <x v="9856"/>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7"/>
    <n v="266282"/>
    <m/>
    <n v="-266282"/>
    <x v="114"/>
  </r>
  <r>
    <x v="2204"/>
    <x v="58"/>
    <x v="43"/>
    <x v="9858"/>
    <n v="129000"/>
    <m/>
    <n v="-129000"/>
    <x v="114"/>
  </r>
  <r>
    <x v="2205"/>
    <x v="91"/>
    <x v="43"/>
    <x v="9522"/>
    <n v="535700"/>
    <m/>
    <n v="-535700"/>
    <x v="114"/>
  </r>
  <r>
    <x v="2205"/>
    <x v="91"/>
    <x v="43"/>
    <x v="9859"/>
    <n v="220000"/>
    <m/>
    <n v="-220000"/>
    <x v="114"/>
  </r>
  <r>
    <x v="2205"/>
    <x v="79"/>
    <x v="43"/>
    <x v="9860"/>
    <n v="75970"/>
    <m/>
    <n v="-75970"/>
    <x v="114"/>
  </r>
  <r>
    <x v="2205"/>
    <x v="94"/>
    <x v="43"/>
    <x v="9861"/>
    <n v="75000"/>
    <m/>
    <n v="-75000"/>
    <x v="114"/>
  </r>
  <r>
    <x v="2205"/>
    <x v="94"/>
    <x v="43"/>
    <x v="9862"/>
    <n v="57260"/>
    <m/>
    <n v="-57260"/>
    <x v="114"/>
  </r>
  <r>
    <x v="2205"/>
    <x v="110"/>
    <x v="43"/>
    <x v="9863"/>
    <n v="43016"/>
    <m/>
    <n v="-43016"/>
    <x v="114"/>
  </r>
  <r>
    <x v="2205"/>
    <x v="94"/>
    <x v="43"/>
    <x v="9864"/>
    <n v="65000"/>
    <m/>
    <n v="-65000"/>
    <x v="114"/>
  </r>
  <r>
    <x v="2205"/>
    <x v="23"/>
    <x v="43"/>
    <x v="8535"/>
    <n v="137409.27419354839"/>
    <m/>
    <n v="-137409.27419354839"/>
    <x v="114"/>
  </r>
  <r>
    <x v="2205"/>
    <x v="22"/>
    <x v="43"/>
    <x v="9227"/>
    <n v="139459.67741935485"/>
    <m/>
    <n v="-139459.67741935485"/>
    <x v="114"/>
  </r>
  <r>
    <x v="2205"/>
    <x v="23"/>
    <x v="43"/>
    <x v="9687"/>
    <n v="28000"/>
    <m/>
    <n v="-28000"/>
    <x v="114"/>
  </r>
  <r>
    <x v="2203"/>
    <x v="97"/>
    <x v="278"/>
    <x v="9865"/>
    <n v="100000"/>
    <m/>
    <n v="-100000"/>
    <x v="114"/>
  </r>
  <r>
    <x v="2203"/>
    <x v="23"/>
    <x v="278"/>
    <x v="9866"/>
    <n v="1700"/>
    <m/>
    <n v="-1700"/>
    <x v="114"/>
  </r>
  <r>
    <x v="2203"/>
    <x v="4"/>
    <x v="679"/>
    <x v="9867"/>
    <n v="874250"/>
    <m/>
    <n v="-874250"/>
    <x v="114"/>
  </r>
  <r>
    <x v="2203"/>
    <x v="4"/>
    <x v="4"/>
    <x v="9659"/>
    <n v="3000"/>
    <m/>
    <n v="-3000"/>
    <x v="114"/>
  </r>
  <r>
    <x v="2203"/>
    <x v="110"/>
    <x v="465"/>
    <x v="9585"/>
    <n v="5000"/>
    <m/>
    <n v="-5000"/>
    <x v="114"/>
  </r>
  <r>
    <x v="2203"/>
    <x v="7"/>
    <x v="27"/>
    <x v="5156"/>
    <n v="1330"/>
    <m/>
    <n v="-1330"/>
    <x v="114"/>
  </r>
  <r>
    <x v="2203"/>
    <x v="94"/>
    <x v="820"/>
    <x v="9868"/>
    <n v="35000"/>
    <m/>
    <n v="-35000"/>
    <x v="114"/>
  </r>
  <r>
    <x v="2203"/>
    <x v="94"/>
    <x v="474"/>
    <x v="9869"/>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0"/>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1"/>
    <n v="50000"/>
    <m/>
    <n v="-50000"/>
    <x v="114"/>
  </r>
  <r>
    <x v="2203"/>
    <x v="110"/>
    <x v="465"/>
    <x v="9585"/>
    <n v="5000"/>
    <m/>
    <n v="-5000"/>
    <x v="114"/>
  </r>
  <r>
    <x v="2203"/>
    <x v="86"/>
    <x v="467"/>
    <x v="9477"/>
    <n v="50000"/>
    <m/>
    <n v="-50000"/>
    <x v="114"/>
  </r>
  <r>
    <x v="2203"/>
    <x v="94"/>
    <x v="2"/>
    <x v="9872"/>
    <n v="2000"/>
    <m/>
    <n v="-2000"/>
    <x v="114"/>
  </r>
  <r>
    <x v="2204"/>
    <x v="4"/>
    <x v="4"/>
    <x v="9873"/>
    <n v="1000"/>
    <m/>
    <n v="-1000"/>
    <x v="114"/>
  </r>
  <r>
    <x v="2204"/>
    <x v="1"/>
    <x v="2"/>
    <x v="4693"/>
    <n v="3000"/>
    <m/>
    <n v="-3000"/>
    <x v="114"/>
  </r>
  <r>
    <x v="2204"/>
    <x v="1"/>
    <x v="2"/>
    <x v="9874"/>
    <n v="500"/>
    <m/>
    <n v="-500"/>
    <x v="114"/>
  </r>
  <r>
    <x v="2204"/>
    <x v="80"/>
    <x v="542"/>
    <x v="9875"/>
    <n v="60000"/>
    <m/>
    <n v="-60000"/>
    <x v="114"/>
  </r>
  <r>
    <x v="2204"/>
    <x v="58"/>
    <x v="542"/>
    <x v="9875"/>
    <n v="15000"/>
    <m/>
    <n v="-15000"/>
    <x v="114"/>
  </r>
  <r>
    <x v="2204"/>
    <x v="94"/>
    <x v="417"/>
    <x v="9477"/>
    <n v="300000"/>
    <m/>
    <n v="-300000"/>
    <x v="114"/>
  </r>
  <r>
    <x v="2204"/>
    <x v="99"/>
    <x v="800"/>
    <x v="9477"/>
    <n v="250000"/>
    <m/>
    <n v="-250000"/>
    <x v="114"/>
  </r>
  <r>
    <x v="2204"/>
    <x v="4"/>
    <x v="813"/>
    <x v="9876"/>
    <n v="11000"/>
    <m/>
    <n v="-11000"/>
    <x v="114"/>
  </r>
  <r>
    <x v="2204"/>
    <x v="80"/>
    <x v="285"/>
    <x v="9877"/>
    <n v="30000"/>
    <m/>
    <n v="-30000"/>
    <x v="114"/>
  </r>
  <r>
    <x v="2204"/>
    <x v="7"/>
    <x v="21"/>
    <x v="9878"/>
    <n v="15000"/>
    <m/>
    <n v="-15000"/>
    <x v="114"/>
  </r>
  <r>
    <x v="2205"/>
    <x v="91"/>
    <x v="474"/>
    <x v="233"/>
    <n v="2000"/>
    <m/>
    <n v="-2000"/>
    <x v="114"/>
  </r>
  <r>
    <x v="2205"/>
    <x v="94"/>
    <x v="474"/>
    <x v="233"/>
    <n v="200"/>
    <m/>
    <n v="-200"/>
    <x v="114"/>
  </r>
  <r>
    <x v="2205"/>
    <x v="97"/>
    <x v="822"/>
    <x v="9879"/>
    <n v="50000"/>
    <m/>
    <n v="-50000"/>
    <x v="114"/>
  </r>
  <r>
    <x v="2205"/>
    <x v="91"/>
    <x v="474"/>
    <x v="233"/>
    <n v="1000"/>
    <m/>
    <n v="-1000"/>
    <x v="114"/>
  </r>
  <r>
    <x v="2205"/>
    <x v="73"/>
    <x v="2"/>
    <x v="9880"/>
    <n v="1500"/>
    <m/>
    <n v="-1500"/>
    <x v="114"/>
  </r>
  <r>
    <x v="2205"/>
    <x v="94"/>
    <x v="748"/>
    <x v="898"/>
    <n v="50000"/>
    <m/>
    <n v="-50000"/>
    <x v="114"/>
  </r>
  <r>
    <x v="2205"/>
    <x v="94"/>
    <x v="278"/>
    <x v="9881"/>
    <n v="4900"/>
    <m/>
    <n v="-4900"/>
    <x v="114"/>
  </r>
  <r>
    <x v="2205"/>
    <x v="7"/>
    <x v="2"/>
    <x v="1696"/>
    <n v="1500"/>
    <m/>
    <n v="-1500"/>
    <x v="114"/>
  </r>
  <r>
    <x v="2205"/>
    <x v="94"/>
    <x v="735"/>
    <x v="9882"/>
    <n v="50000"/>
    <m/>
    <n v="-50000"/>
    <x v="114"/>
  </r>
  <r>
    <x v="2205"/>
    <x v="73"/>
    <x v="338"/>
    <x v="9883"/>
    <n v="200000"/>
    <m/>
    <n v="-200000"/>
    <x v="114"/>
  </r>
  <r>
    <x v="2205"/>
    <x v="23"/>
    <x v="583"/>
    <x v="9884"/>
    <n v="100000"/>
    <m/>
    <n v="-100000"/>
    <x v="114"/>
  </r>
  <r>
    <x v="2205"/>
    <x v="94"/>
    <x v="548"/>
    <x v="9803"/>
    <n v="700000"/>
    <m/>
    <n v="-700000"/>
    <x v="114"/>
  </r>
  <r>
    <x v="2206"/>
    <x v="4"/>
    <x v="2"/>
    <x v="9885"/>
    <n v="1000"/>
    <m/>
    <n v="-1000"/>
    <x v="114"/>
  </r>
  <r>
    <x v="2206"/>
    <x v="58"/>
    <x v="314"/>
    <x v="898"/>
    <n v="65250"/>
    <m/>
    <n v="-65250"/>
    <x v="114"/>
  </r>
  <r>
    <x v="2206"/>
    <x v="65"/>
    <x v="794"/>
    <x v="898"/>
    <n v="25000"/>
    <m/>
    <n v="-25000"/>
    <x v="114"/>
  </r>
  <r>
    <x v="2206"/>
    <x v="91"/>
    <x v="43"/>
    <x v="9886"/>
    <n v="24650"/>
    <m/>
    <n v="-24650"/>
    <x v="114"/>
  </r>
  <r>
    <x v="2206"/>
    <x v="23"/>
    <x v="43"/>
    <x v="9887"/>
    <n v="1200"/>
    <m/>
    <n v="-1200"/>
    <x v="114"/>
  </r>
  <r>
    <x v="2206"/>
    <x v="108"/>
    <x v="465"/>
    <x v="9585"/>
    <n v="5000"/>
    <m/>
    <n v="-5000"/>
    <x v="114"/>
  </r>
  <r>
    <x v="2207"/>
    <x v="94"/>
    <x v="716"/>
    <x v="8439"/>
    <n v="130000"/>
    <m/>
    <n v="-130000"/>
    <x v="114"/>
  </r>
  <r>
    <x v="2207"/>
    <x v="65"/>
    <x v="278"/>
    <x v="9888"/>
    <n v="45000"/>
    <m/>
    <n v="-45000"/>
    <x v="114"/>
  </r>
  <r>
    <x v="2207"/>
    <x v="86"/>
    <x v="771"/>
    <x v="9477"/>
    <n v="250000"/>
    <m/>
    <n v="-250000"/>
    <x v="114"/>
  </r>
  <r>
    <x v="2207"/>
    <x v="86"/>
    <x v="278"/>
    <x v="8085"/>
    <n v="11650"/>
    <m/>
    <n v="-11650"/>
    <x v="114"/>
  </r>
  <r>
    <x v="2207"/>
    <x v="73"/>
    <x v="773"/>
    <x v="898"/>
    <n v="30000"/>
    <m/>
    <n v="-30000"/>
    <x v="114"/>
  </r>
  <r>
    <x v="2207"/>
    <x v="94"/>
    <x v="285"/>
    <x v="7068"/>
    <n v="1000"/>
    <m/>
    <n v="-1000"/>
    <x v="114"/>
  </r>
  <r>
    <x v="2207"/>
    <x v="94"/>
    <x v="474"/>
    <x v="233"/>
    <n v="2000"/>
    <m/>
    <n v="-2000"/>
    <x v="114"/>
  </r>
  <r>
    <x v="2207"/>
    <x v="94"/>
    <x v="823"/>
    <x v="9889"/>
    <n v="3600"/>
    <m/>
    <n v="-3600"/>
    <x v="114"/>
  </r>
  <r>
    <x v="2207"/>
    <x v="99"/>
    <x v="518"/>
    <x v="898"/>
    <n v="100000"/>
    <m/>
    <n v="-100000"/>
    <x v="114"/>
  </r>
  <r>
    <x v="2204"/>
    <x v="73"/>
    <x v="802"/>
    <x v="9890"/>
    <n v="1173000"/>
    <m/>
    <n v="-1173000"/>
    <x v="113"/>
  </r>
  <r>
    <x v="2203"/>
    <x v="37"/>
    <x v="97"/>
    <x v="9891"/>
    <m/>
    <n v="1000000"/>
    <n v="1000000"/>
    <x v="114"/>
  </r>
  <r>
    <x v="2203"/>
    <x v="37"/>
    <x v="97"/>
    <x v="9891"/>
    <m/>
    <n v="1000000"/>
    <n v="1000000"/>
    <x v="114"/>
  </r>
  <r>
    <x v="2204"/>
    <x v="94"/>
    <x v="97"/>
    <x v="9892"/>
    <m/>
    <n v="1310000"/>
    <n v="1310000"/>
    <x v="114"/>
  </r>
  <r>
    <x v="2204"/>
    <x v="94"/>
    <x v="97"/>
    <x v="9893"/>
    <m/>
    <n v="1173000"/>
    <n v="1173000"/>
    <x v="114"/>
  </r>
  <r>
    <x v="2204"/>
    <x v="62"/>
    <x v="97"/>
    <x v="9892"/>
    <m/>
    <n v="500000"/>
    <n v="500000"/>
    <x v="114"/>
  </r>
  <r>
    <x v="2204"/>
    <x v="65"/>
    <x v="97"/>
    <x v="9894"/>
    <m/>
    <n v="999000"/>
    <n v="999000"/>
    <x v="114"/>
  </r>
  <r>
    <x v="2204"/>
    <x v="65"/>
    <x v="97"/>
    <x v="9894"/>
    <m/>
    <n v="999000"/>
    <n v="999000"/>
    <x v="114"/>
  </r>
  <r>
    <x v="2204"/>
    <x v="65"/>
    <x v="97"/>
    <x v="9894"/>
    <m/>
    <n v="999000"/>
    <n v="999000"/>
    <x v="114"/>
  </r>
  <r>
    <x v="2204"/>
    <x v="65"/>
    <x v="97"/>
    <x v="9894"/>
    <m/>
    <n v="999000"/>
    <n v="999000"/>
    <x v="114"/>
  </r>
  <r>
    <x v="2206"/>
    <x v="65"/>
    <x v="97"/>
    <x v="9894"/>
    <m/>
    <n v="995000"/>
    <n v="995000"/>
    <x v="114"/>
  </r>
  <r>
    <x v="2206"/>
    <x v="65"/>
    <x v="97"/>
    <x v="9894"/>
    <m/>
    <n v="995000"/>
    <n v="995000"/>
    <x v="114"/>
  </r>
  <r>
    <x v="2206"/>
    <x v="65"/>
    <x v="97"/>
    <x v="9895"/>
    <m/>
    <n v="510000"/>
    <n v="510000"/>
    <x v="114"/>
  </r>
  <r>
    <x v="2206"/>
    <x v="23"/>
    <x v="97"/>
    <x v="9896"/>
    <m/>
    <n v="359992"/>
    <n v="359992"/>
    <x v="114"/>
  </r>
  <r>
    <x v="2208"/>
    <x v="105"/>
    <x v="97"/>
    <x v="9897"/>
    <m/>
    <n v="1200000"/>
    <n v="1200000"/>
    <x v="114"/>
  </r>
  <r>
    <x v="2208"/>
    <x v="67"/>
    <x v="97"/>
    <x v="9897"/>
    <m/>
    <n v="1500000"/>
    <n v="1500000"/>
    <x v="114"/>
  </r>
  <r>
    <x v="2208"/>
    <x v="90"/>
    <x v="97"/>
    <x v="9898"/>
    <m/>
    <n v="2098980"/>
    <n v="2098980"/>
    <x v="114"/>
  </r>
  <r>
    <x v="2208"/>
    <x v="94"/>
    <x v="97"/>
    <x v="9899"/>
    <m/>
    <n v="10000000"/>
    <n v="10000000"/>
    <x v="114"/>
  </r>
  <r>
    <x v="220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3"/>
    <x v="91"/>
    <x v="5"/>
    <s v="5047"/>
    <n v="3390"/>
    <m/>
    <n v="339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6"/>
    <x v="102"/>
    <x v="5"/>
    <s v="5063"/>
    <n v="60200"/>
    <m/>
    <n v="60200"/>
    <m/>
  </r>
  <r>
    <x v="1197"/>
    <x v="5"/>
    <x v="20"/>
    <m/>
    <m/>
    <n v="1000000"/>
    <n v="-1000000"/>
    <s v="by al madina"/>
  </r>
  <r>
    <x v="1198"/>
    <x v="105"/>
    <x v="14"/>
    <s v="1866"/>
    <n v="9000"/>
    <m/>
    <n v="9000"/>
    <m/>
  </r>
  <r>
    <x v="1199"/>
    <x v="105"/>
    <x v="14"/>
    <s v="1869"/>
    <n v="227953"/>
    <m/>
    <n v="227953"/>
    <m/>
  </r>
  <r>
    <x v="1199"/>
    <x v="115"/>
    <x v="22"/>
    <s v="2461"/>
    <n v="11000"/>
    <m/>
    <n v="11000"/>
    <m/>
  </r>
  <r>
    <x v="1200"/>
    <x v="123"/>
    <x v="0"/>
    <m/>
    <m/>
    <n v="712701"/>
    <n v="-712701"/>
    <s v="rec from IK"/>
  </r>
  <r>
    <x v="1201"/>
    <x v="105"/>
    <x v="20"/>
    <s v="177"/>
    <n v="11306"/>
    <m/>
    <n v="11306"/>
    <m/>
  </r>
  <r>
    <x v="1202"/>
    <x v="107"/>
    <x v="24"/>
    <m/>
    <m/>
    <n v="100000"/>
    <n v="-100000"/>
    <s v="by adeel"/>
  </r>
  <r>
    <x v="1202"/>
    <x v="107"/>
    <x v="17"/>
    <m/>
    <m/>
    <n v="200000"/>
    <n v="-200000"/>
    <s v="by adeel"/>
  </r>
  <r>
    <x v="1202"/>
    <x v="107"/>
    <x v="17"/>
    <m/>
    <m/>
    <n v="100000"/>
    <n v="-100000"/>
    <s v="by adeel"/>
  </r>
  <r>
    <x v="1203"/>
    <x v="125"/>
    <x v="5"/>
    <s v="5095"/>
    <n v="14000"/>
    <m/>
    <n v="14000"/>
    <m/>
  </r>
  <r>
    <x v="1204"/>
    <x v="126"/>
    <x v="14"/>
    <s v="1885"/>
    <n v="87507"/>
    <m/>
    <n v="87507"/>
    <m/>
  </r>
  <r>
    <x v="1205"/>
    <x v="105"/>
    <x v="13"/>
    <s v="43"/>
    <n v="2720330"/>
    <m/>
    <n v="2720330"/>
    <m/>
  </r>
  <r>
    <x v="1206"/>
    <x v="125"/>
    <x v="22"/>
    <s v="2497"/>
    <n v="38500"/>
    <m/>
    <n v="38500"/>
    <m/>
  </r>
  <r>
    <x v="1206"/>
    <x v="105"/>
    <x v="13"/>
    <m/>
    <m/>
    <n v="700000"/>
    <n v="-700000"/>
    <s v="Sheet adjust from Al madina steel"/>
  </r>
  <r>
    <x v="1206"/>
    <x v="125"/>
    <x v="20"/>
    <s v="178"/>
    <n v="153139"/>
    <m/>
    <n v="153139"/>
    <m/>
  </r>
  <r>
    <x v="1207"/>
    <x v="105"/>
    <x v="30"/>
    <m/>
    <m/>
    <n v="250000"/>
    <n v="-250000"/>
    <s v="by adeel"/>
  </r>
  <r>
    <x v="1208"/>
    <x v="105"/>
    <x v="30"/>
    <m/>
    <m/>
    <n v="250000"/>
    <n v="-250000"/>
    <s v="by adeel"/>
  </r>
  <r>
    <x v="1209"/>
    <x v="105"/>
    <x v="13"/>
    <m/>
    <m/>
    <n v="200000"/>
    <n v="-200000"/>
    <s v="Online to Sami ducting (online by BH)"/>
  </r>
  <r>
    <x v="1210"/>
    <x v="125"/>
    <x v="13"/>
    <s v="1018"/>
    <n v="8500"/>
    <m/>
    <n v="850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9"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105"/>
        <item sd="0" x="106"/>
        <item sd="0" x="104"/>
        <item sd="0" x="110"/>
        <item sd="0" x="108"/>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9"/>
        <item x="107"/>
        <item t="default"/>
      </items>
    </pivotField>
    <pivotField axis="axisRow" showAll="0">
      <items count="1081">
        <item sd="0" x="60"/>
        <item sd="0" x="149"/>
        <item sd="0" m="1" x="923"/>
        <item sd="0" m="1" x="1021"/>
        <item sd="0" m="1" x="885"/>
        <item sd="0" x="18"/>
        <item sd="0" x="288"/>
        <item sd="0" m="1" x="1062"/>
        <item sd="0" x="146"/>
        <item sd="0" x="179"/>
        <item sd="0" m="1" x="1059"/>
        <item sd="0" x="623"/>
        <item sd="0" x="100"/>
        <item sd="0" m="1" x="870"/>
        <item sd="0" m="1" x="1025"/>
        <item sd="0" x="137"/>
        <item sd="0" m="1" x="1007"/>
        <item sd="0" x="231"/>
        <item sd="0" m="1" x="841"/>
        <item sd="0" m="1" x="1012"/>
        <item sd="0" x="363"/>
        <item sd="0" x="375"/>
        <item sd="0" m="1" x="899"/>
        <item sd="0" x="208"/>
        <item sd="0" x="159"/>
        <item sd="0" x="258"/>
        <item sd="0" x="282"/>
        <item sd="0" x="144"/>
        <item sd="0" x="191"/>
        <item sd="0" x="217"/>
        <item sd="0" x="322"/>
        <item sd="0" x="256"/>
        <item sd="0" x="189"/>
        <item sd="0" m="1" x="962"/>
        <item sd="0" x="325"/>
        <item sd="0" m="1" x="1063"/>
        <item sd="0" m="1" x="960"/>
        <item sd="0" x="630"/>
        <item sd="0" x="223"/>
        <item sd="0" m="1" x="853"/>
        <item sd="0" x="239"/>
        <item sd="0" x="135"/>
        <item sd="0" x="140"/>
        <item sd="0" m="1" x="1036"/>
        <item sd="0" m="1" x="966"/>
        <item sd="0" x="219"/>
        <item sd="0" x="562"/>
        <item sd="0" x="93"/>
        <item sd="0" m="1" x="1033"/>
        <item sd="0" x="222"/>
        <item sd="0" m="1" x="866"/>
        <item sd="0" x="337"/>
        <item sd="0" x="207"/>
        <item sd="0" x="184"/>
        <item sd="0" x="152"/>
        <item sd="0" m="1" x="1046"/>
        <item sd="0" x="40"/>
        <item sd="0" x="281"/>
        <item sd="0" x="170"/>
        <item sd="0" x="317"/>
        <item sd="0" x="358"/>
        <item sd="0" x="214"/>
        <item sd="0" x="370"/>
        <item sd="0" x="279"/>
        <item sd="0" x="156"/>
        <item sd="0" x="700"/>
        <item sd="0" x="253"/>
        <item sd="0" m="1" x="1022"/>
        <item sd="0" m="1" x="832"/>
        <item sd="0" x="365"/>
        <item sd="0" m="1" x="884"/>
        <item sd="0" m="1" x="849"/>
        <item sd="0" x="259"/>
        <item sd="0" x="252"/>
        <item sd="0" m="1" x="965"/>
        <item sd="0" x="12"/>
        <item sd="0" x="352"/>
        <item sd="0" x="218"/>
        <item sd="0" x="224"/>
        <item sd="0" x="63"/>
        <item sd="0" x="8"/>
        <item sd="0" x="102"/>
        <item sd="0" m="1" x="871"/>
        <item sd="0" m="1" x="1065"/>
        <item sd="0" x="319"/>
        <item sd="0" m="1" x="876"/>
        <item sd="0" m="1" x="1076"/>
        <item sd="0" x="386"/>
        <item sd="0" x="31"/>
        <item sd="0" x="55"/>
        <item sd="0" x="227"/>
        <item sd="0" x="356"/>
        <item sd="0" x="161"/>
        <item sd="0" x="153"/>
        <item sd="0" m="1" x="950"/>
        <item sd="0" x="133"/>
        <item sd="0" m="1" x="857"/>
        <item sd="0" m="1" x="850"/>
        <item sd="0" m="1" x="1051"/>
        <item sd="0" x="46"/>
        <item sd="0" x="374"/>
        <item sd="0" m="1" x="859"/>
        <item sd="0" x="270"/>
        <item sd="0" m="1" x="940"/>
        <item sd="0" m="1" x="905"/>
        <item sd="0" m="1" x="941"/>
        <item sd="0" m="1" x="921"/>
        <item sd="0" m="1" x="1032"/>
        <item sd="0" m="1" x="975"/>
        <item sd="0" m="1" x="937"/>
        <item sd="0" x="366"/>
        <item sd="0" x="318"/>
        <item sd="0" m="1" x="898"/>
        <item sd="0" x="273"/>
        <item sd="0" m="1" x="997"/>
        <item sd="0" x="201"/>
        <item sd="0" m="1" x="925"/>
        <item sd="0" x="160"/>
        <item sd="0" m="1" x="1029"/>
        <item sd="0" m="1" x="989"/>
        <item sd="0" m="1" x="883"/>
        <item sd="0" x="277"/>
        <item sd="0" m="1" x="983"/>
        <item sd="0" x="225"/>
        <item sd="0" m="1" x="855"/>
        <item sd="0" m="1" x="858"/>
        <item sd="0" m="1" x="869"/>
        <item sd="0" x="292"/>
        <item sd="0" x="15"/>
        <item sd="0" m="1" x="896"/>
        <item sd="0" m="1" x="911"/>
        <item sd="0" x="0"/>
        <item sd="0" x="232"/>
        <item sd="0" x="213"/>
        <item sd="0" m="1" x="1031"/>
        <item sd="0" x="316"/>
        <item sd="0" m="1" x="840"/>
        <item sd="0" x="291"/>
        <item sd="0" x="333"/>
        <item sd="0" x="339"/>
        <item sd="0" x="275"/>
        <item sd="0" m="1" x="872"/>
        <item sd="0" x="174"/>
        <item sd="0" x="171"/>
        <item sd="0" x="233"/>
        <item sd="0" x="78"/>
        <item sd="0" m="1" x="931"/>
        <item sd="0" x="236"/>
        <item sd="0" x="58"/>
        <item sd="0" x="240"/>
        <item sd="0" m="1" x="865"/>
        <item sd="0" x="182"/>
        <item sd="0" x="307"/>
        <item sd="0" x="782"/>
        <item sd="0" x="290"/>
        <item sd="0" m="1" x="957"/>
        <item sd="0" m="1" x="1018"/>
        <item sd="0" x="132"/>
        <item sd="0" x="56"/>
        <item sd="0" x="126"/>
        <item sd="0" x="22"/>
        <item sd="0" x="187"/>
        <item sd="0" m="1" x="846"/>
        <item sd="0" m="1" x="1049"/>
        <item sd="0" m="1" x="852"/>
        <item sd="0" x="11"/>
        <item sd="0" x="353"/>
        <item sd="0" m="1" x="936"/>
        <item sd="0" x="124"/>
        <item sd="0" m="1" x="1079"/>
        <item sd="0" x="77"/>
        <item sd="0" m="1" x="961"/>
        <item sd="0" x="92"/>
        <item sd="0" x="35"/>
        <item sd="0" x="196"/>
        <item sd="0" m="1" x="1058"/>
        <item sd="0" x="1"/>
        <item sd="0" x="180"/>
        <item sd="0" x="285"/>
        <item sd="0" m="1" x="978"/>
        <item sd="0" x="42"/>
        <item sd="0" m="1" x="999"/>
        <item sd="0" m="1" x="969"/>
        <item sd="0" m="1" x="986"/>
        <item sd="0" m="1" x="919"/>
        <item sd="0" x="84"/>
        <item sd="0" x="106"/>
        <item sd="0" m="1" x="831"/>
        <item sd="0" x="336"/>
        <item sd="0" m="1" x="992"/>
        <item sd="0" m="1" x="833"/>
        <item sd="0" m="1" x="828"/>
        <item sd="0" m="1" x="979"/>
        <item sd="0" m="1" x="861"/>
        <item sd="0" m="1" x="1009"/>
        <item sd="0" m="1" x="862"/>
        <item sd="0" x="16"/>
        <item sd="0" m="1" x="988"/>
        <item sd="0" m="1" x="901"/>
        <item sd="0" x="280"/>
        <item sd="0" x="104"/>
        <item sd="0" x="332"/>
        <item sd="0" m="1" x="924"/>
        <item sd="0" x="348"/>
        <item sd="0" x="23"/>
        <item sd="0" x="362"/>
        <item sd="0" x="237"/>
        <item sd="0" x="91"/>
        <item sd="0" x="13"/>
        <item sd="0" x="175"/>
        <item sd="0" x="343"/>
        <item sd="0" m="1" x="1069"/>
        <item sd="0" m="1" x="1044"/>
        <item sd="0" x="87"/>
        <item sd="0" x="690"/>
        <item sd="0" x="33"/>
        <item sd="0" x="19"/>
        <item sd="0" m="1" x="835"/>
        <item sd="0" x="20"/>
        <item sd="0" m="1" x="847"/>
        <item sd="0" x="96"/>
        <item sd="0" m="1" x="1061"/>
        <item sd="0" m="1" x="1038"/>
        <item sd="0" m="1" x="912"/>
        <item sd="0" x="120"/>
        <item sd="0" x="131"/>
        <item sd="0" x="119"/>
        <item sd="0" m="1" x="990"/>
        <item sd="0" m="1" x="981"/>
        <item sd="0" m="1" x="845"/>
        <item sd="0" m="1" x="967"/>
        <item sd="0" x="228"/>
        <item sd="0" x="39"/>
        <item sd="0" x="108"/>
        <item sd="0" x="24"/>
        <item sd="0" x="139"/>
        <item sd="0" m="1" x="1048"/>
        <item sd="0" x="17"/>
        <item sd="0" x="248"/>
        <item sd="0" x="48"/>
        <item sd="0" m="1" x="963"/>
        <item sd="0" m="1" x="1023"/>
        <item sd="0" x="134"/>
        <item sd="0" x="596"/>
        <item sd="0" m="1" x="933"/>
        <item sd="0" x="69"/>
        <item sd="0" x="34"/>
        <item sd="0" x="206"/>
        <item sd="0" m="1" x="1064"/>
        <item sd="0" m="1" x="939"/>
        <item sd="0" m="1" x="958"/>
        <item sd="0" m="1" x="900"/>
        <item sd="0" x="268"/>
        <item sd="0" x="376"/>
        <item sd="0" x="331"/>
        <item sd="0" m="1" x="892"/>
        <item sd="0" x="360"/>
        <item sd="0" m="1" x="1039"/>
        <item sd="0" x="89"/>
        <item sd="0" x="355"/>
        <item sd="0" m="1" x="938"/>
        <item sd="0" x="168"/>
        <item sd="0" m="1" x="836"/>
        <item sd="0" m="1" x="829"/>
        <item sd="0" x="272"/>
        <item sd="0" x="51"/>
        <item sd="0" x="190"/>
        <item sd="0" x="50"/>
        <item sd="0" x="79"/>
        <item sd="0" x="32"/>
        <item sd="0" m="1" x="1026"/>
        <item sd="0" x="188"/>
        <item sd="0" x="110"/>
        <item sd="0" m="1" x="1045"/>
        <item sd="0" m="1" x="1042"/>
        <item sd="0" m="1" x="948"/>
        <item sd="0" m="1" x="894"/>
        <item sd="0" m="1" x="943"/>
        <item sd="0" m="1" x="915"/>
        <item sd="0" x="226"/>
        <item sd="0" x="57"/>
        <item sd="0" m="1" x="946"/>
        <item sd="0" x="340"/>
        <item sd="0" x="265"/>
        <item sd="0" x="294"/>
        <item sd="0" m="1" x="973"/>
        <item sd="0" x="62"/>
        <item sd="0" x="295"/>
        <item sd="0" x="3"/>
        <item sd="0" x="151"/>
        <item sd="0" x="210"/>
        <item sd="0" x="54"/>
        <item sd="0" m="1" x="1004"/>
        <item sd="0" m="1" x="987"/>
        <item sd="0" x="323"/>
        <item sd="0" m="1" x="881"/>
        <item sd="0" x="75"/>
        <item sd="0" m="1" x="910"/>
        <item sd="0" x="186"/>
        <item sd="0" x="361"/>
        <item sd="0" x="368"/>
        <item sd="0" x="327"/>
        <item sd="0" x="195"/>
        <item sd="0" m="1" x="977"/>
        <item sd="0" m="1" x="1017"/>
        <item sd="0" x="123"/>
        <item sd="0" m="1" x="907"/>
        <item sd="0" x="194"/>
        <item sd="0" x="121"/>
        <item sd="0" x="53"/>
        <item sd="0" m="1" x="1034"/>
        <item sd="0" x="278"/>
        <item sd="0" x="212"/>
        <item sd="0" m="1" x="1019"/>
        <item sd="0" m="1" x="1010"/>
        <item sd="0" m="1" x="1077"/>
        <item sd="0" m="1" x="863"/>
        <item sd="0" m="1" x="1071"/>
        <item sd="0" x="117"/>
        <item sd="0" x="111"/>
        <item sd="0" x="81"/>
        <item sd="0" x="7"/>
        <item sd="0" x="235"/>
        <item sd="0" x="287"/>
        <item sd="0" m="1" x="1008"/>
        <item sd="0" m="1" x="1055"/>
        <item sd="0" x="2"/>
        <item sd="0" m="1" x="1070"/>
        <item sd="0" m="1" x="929"/>
        <item sd="0" x="163"/>
        <item sd="0" m="1" x="1002"/>
        <item sd="0" m="1" x="875"/>
        <item sd="0" m="1" x="1078"/>
        <item sd="0" m="1" x="842"/>
        <item sd="0" m="1" x="839"/>
        <item sd="0" x="130"/>
        <item sd="0" x="88"/>
        <item sd="0" m="1" x="1073"/>
        <item sd="0" x="204"/>
        <item sd="0" x="72"/>
        <item sd="0" x="73"/>
        <item sd="0" x="28"/>
        <item sd="0" x="47"/>
        <item sd="0" x="181"/>
        <item sd="0" x="26"/>
        <item sd="0" x="86"/>
        <item sd="0" x="230"/>
        <item sd="0" m="1" x="945"/>
        <item sd="0" m="1" x="928"/>
        <item sd="0" m="1" x="964"/>
        <item sd="0" x="94"/>
        <item sd="0" x="107"/>
        <item sd="0" x="309"/>
        <item sd="0" x="38"/>
        <item sd="0" x="145"/>
        <item sd="0" x="101"/>
        <item sd="0" x="369"/>
        <item sd="0" x="10"/>
        <item sd="0" x="74"/>
        <item sd="0" x="264"/>
        <item sd="0" m="1" x="914"/>
        <item sd="0" x="178"/>
        <item sd="0" x="266"/>
        <item sd="0" x="364"/>
        <item sd="0" x="98"/>
        <item sd="0" x="165"/>
        <item sd="0" x="66"/>
        <item sd="0" x="5"/>
        <item sd="0" m="1" x="888"/>
        <item sd="0" x="359"/>
        <item sd="0" m="1" x="1068"/>
        <item sd="0" x="269"/>
        <item sd="0" x="215"/>
        <item sd="0" x="349"/>
        <item sd="0" x="283"/>
        <item sd="0" x="185"/>
        <item sd="0" x="220"/>
        <item sd="0" m="1" x="1056"/>
        <item sd="0" m="1" x="834"/>
        <item sd="0" x="4"/>
        <item sd="0" x="377"/>
        <item sd="0" x="262"/>
        <item sd="0" x="326"/>
        <item sd="0" x="173"/>
        <item sd="0" x="200"/>
        <item sd="0" m="1" x="873"/>
        <item sd="0" x="345"/>
        <item sd="0" x="30"/>
        <item sd="0" m="1" x="1005"/>
        <item sd="0" x="242"/>
        <item sd="0" m="1" x="935"/>
        <item sd="0" m="1" x="843"/>
        <item sd="0" x="243"/>
        <item sd="0" m="1" x="1050"/>
        <item sd="0" m="1" x="1053"/>
        <item sd="0" x="303"/>
        <item sd="0" x="37"/>
        <item sd="0" x="357"/>
        <item sd="0" m="1" x="947"/>
        <item sd="0" m="1" x="998"/>
        <item sd="0" x="115"/>
        <item sd="0" m="1" x="1047"/>
        <item sd="0" m="1" x="854"/>
        <item sd="0" m="1" x="917"/>
        <item sd="0" x="128"/>
        <item sd="0" m="1" x="1054"/>
        <item sd="0" m="1" x="1030"/>
        <item sd="0" x="255"/>
        <item sd="0" x="199"/>
        <item sd="0" x="329"/>
        <item sd="0" x="297"/>
        <item sd="0" x="310"/>
        <item sd="0" x="83"/>
        <item sd="0" m="1" x="954"/>
        <item sd="0" m="1" x="837"/>
        <item sd="0" x="80"/>
        <item sd="0" m="1" x="906"/>
        <item sd="0" m="1" x="1043"/>
        <item sd="0" x="97"/>
        <item sd="0" x="289"/>
        <item sd="0" m="1" x="993"/>
        <item sd="0" x="116"/>
        <item sd="0" x="209"/>
        <item sd="0" x="198"/>
        <item sd="0" x="150"/>
        <item sd="0" x="136"/>
        <item sd="0" m="1" x="934"/>
        <item sd="0" x="109"/>
        <item sd="0" x="524"/>
        <item sd="0" m="1" x="913"/>
        <item sd="0" m="1" x="1014"/>
        <item sd="0" x="284"/>
        <item sd="0" x="296"/>
        <item sd="0" x="211"/>
        <item sd="0" x="45"/>
        <item sd="0" m="1" x="994"/>
        <item sd="0" m="1" x="985"/>
        <item sd="0" x="155"/>
        <item sd="0" m="1" x="1015"/>
        <item sd="0" x="61"/>
        <item sd="0" x="129"/>
        <item sd="0" x="105"/>
        <item sd="0" m="1" x="860"/>
        <item sd="0" x="157"/>
        <item sd="0" x="14"/>
        <item sd="0" x="43"/>
        <item sd="0" x="250"/>
        <item sd="0" x="238"/>
        <item sd="0" x="103"/>
        <item sd="0" x="70"/>
        <item sd="0" x="299"/>
        <item sd="0" x="127"/>
        <item sd="0" m="1" x="830"/>
        <item sd="0" x="193"/>
        <item sd="0" x="147"/>
        <item sd="0" m="1" x="949"/>
        <item sd="0" x="99"/>
        <item sd="0" x="344"/>
        <item sd="0" x="221"/>
        <item sd="0" m="1" x="1067"/>
        <item sd="0" m="1" x="1072"/>
        <item sd="0" x="271"/>
        <item sd="0" x="166"/>
        <item sd="0" x="286"/>
        <item sd="0" x="304"/>
        <item sd="0" m="1" x="942"/>
        <item sd="0" x="138"/>
        <item sd="0" x="41"/>
        <item sd="0" x="229"/>
        <item sd="0" m="1" x="1001"/>
        <item sd="0" x="71"/>
        <item sd="0" x="64"/>
        <item sd="0" m="1" x="926"/>
        <item sd="0" m="1" x="920"/>
        <item sd="0" x="540"/>
        <item sd="0" x="44"/>
        <item sd="0" x="114"/>
        <item sd="0" x="52"/>
        <item sd="0" x="142"/>
        <item sd="0" x="82"/>
        <item sd="0" x="245"/>
        <item sd="0" x="314"/>
        <item sd="0" m="1" x="1040"/>
        <item sd="0" m="1" x="1011"/>
        <item sd="0" x="308"/>
        <item sd="0" m="1" x="971"/>
        <item sd="0" m="1" x="1037"/>
        <item sd="0" x="122"/>
        <item sd="0" x="118"/>
        <item sd="0" m="1" x="991"/>
        <item sd="0" x="169"/>
        <item sd="0" x="197"/>
        <item sd="0" x="125"/>
        <item sd="0" x="203"/>
        <item sd="0" x="267"/>
        <item sd="0" x="301"/>
        <item sd="0" x="85"/>
        <item sd="0" x="25"/>
        <item sd="0" x="244"/>
        <item sd="0" x="112"/>
        <item sd="0" x="192"/>
        <item sd="0" x="302"/>
        <item sd="0" x="260"/>
        <item sd="0" x="261"/>
        <item sd="0" m="1" x="976"/>
        <item sd="0" x="328"/>
        <item sd="0" x="350"/>
        <item sd="0" x="254"/>
        <item sd="0" x="320"/>
        <item sd="0" x="241"/>
        <item sd="0" x="158"/>
        <item sd="0" m="1" x="968"/>
        <item sd="0" m="1" x="932"/>
        <item sd="0" m="1" x="1024"/>
        <item sd="0" m="1" x="838"/>
        <item sd="0" m="1" x="890"/>
        <item sd="0" x="143"/>
        <item sd="0" m="1" x="1028"/>
        <item sd="0" x="276"/>
        <item sd="0" x="298"/>
        <item sd="0" x="424"/>
        <item sd="0" x="346"/>
        <item sd="0" x="306"/>
        <item sd="0" m="1" x="1052"/>
        <item sd="0" x="321"/>
        <item sd="0" x="313"/>
        <item sd="0" x="49"/>
        <item sd="0" x="315"/>
        <item sd="0" x="59"/>
        <item sd="0" x="183"/>
        <item sd="0" x="330"/>
        <item sd="0" x="274"/>
        <item sd="0" x="311"/>
        <item sd="0" x="249"/>
        <item sd="0" m="1" x="868"/>
        <item sd="0" m="1" x="972"/>
        <item sd="0" m="1" x="1074"/>
        <item sd="0" m="1" x="927"/>
        <item sd="0" m="1" x="909"/>
        <item sd="0" m="1" x="908"/>
        <item sd="0" x="90"/>
        <item sd="0" x="202"/>
        <item sd="0" x="67"/>
        <item sd="0" m="1" x="1003"/>
        <item sd="0" x="65"/>
        <item sd="0" x="247"/>
        <item sd="0" m="1" x="879"/>
        <item sd="0" x="216"/>
        <item sd="0" m="1" x="891"/>
        <item sd="0" x="141"/>
        <item sd="0" x="177"/>
        <item sd="0" x="305"/>
        <item sd="0" m="1" x="887"/>
        <item sd="0" x="347"/>
        <item sd="0" m="1" x="1066"/>
        <item sd="0" m="1" x="952"/>
        <item sd="0" x="293"/>
        <item sd="0" x="148"/>
        <item sd="0" x="354"/>
        <item sd="0" m="1" x="1006"/>
        <item sd="0" x="27"/>
        <item sd="0" m="1" x="1016"/>
        <item sd="0" x="68"/>
        <item sd="0" x="6"/>
        <item sd="0" x="263"/>
        <item sd="0" x="154"/>
        <item sd="0" x="164"/>
        <item sd="0" x="172"/>
        <item sd="0" x="205"/>
        <item sd="0" x="351"/>
        <item sd="0" m="1" x="893"/>
        <item sd="0" x="29"/>
        <item sd="0" m="1" x="1060"/>
        <item sd="0" x="9"/>
        <item sd="0" x="335"/>
        <item sd="0" m="1" x="956"/>
        <item sd="0" m="1" x="982"/>
        <item sd="0" m="1" x="922"/>
        <item sd="0" x="234"/>
        <item sd="0" x="162"/>
        <item sd="0" m="1" x="895"/>
        <item sd="0" m="1" x="1027"/>
        <item sd="0" m="1" x="1057"/>
        <item sd="0" m="1" x="1041"/>
        <item sd="0" x="300"/>
        <item sd="0" x="167"/>
        <item sd="0" x="76"/>
        <item sd="0" m="1" x="1020"/>
        <item sd="0" x="342"/>
        <item sd="0" x="341"/>
        <item sd="0" m="1" x="856"/>
        <item sd="0" m="1" x="918"/>
        <item sd="0" m="1" x="995"/>
        <item sd="0" m="1" x="974"/>
        <item sd="0" x="113"/>
        <item sd="0" x="251"/>
        <item sd="0" x="176"/>
        <item sd="0" x="372"/>
        <item sd="0" x="246"/>
        <item sd="0" m="1" x="844"/>
        <item sd="0" x="257"/>
        <item sd="0" x="95"/>
        <item sd="0" x="338"/>
        <item sd="0" x="36"/>
        <item sd="0" m="1" x="897"/>
        <item sd="0" x="21"/>
        <item sd="0" x="378"/>
        <item sd="0" x="381"/>
        <item sd="0" x="382"/>
        <item sd="0" x="379"/>
        <item sd="0" x="383"/>
        <item sd="0" x="380"/>
        <item sd="0" x="384"/>
        <item sd="0" x="385"/>
        <item sd="0" x="387"/>
        <item sd="0" m="1" x="877"/>
        <item sd="0" m="1" x="916"/>
        <item sd="0" x="388"/>
        <item sd="0" m="1" x="848"/>
        <item sd="0" x="389"/>
        <item sd="0" x="390"/>
        <item sd="0" x="391"/>
        <item sd="0" x="392"/>
        <item sd="0" x="393"/>
        <item sd="0" x="394"/>
        <item sd="0" x="396"/>
        <item sd="0" x="397"/>
        <item sd="0" x="398"/>
        <item sd="0" x="395"/>
        <item sd="0" x="373"/>
        <item sd="0" x="399"/>
        <item sd="0" m="1" x="864"/>
        <item sd="0" x="401"/>
        <item sd="0" x="400"/>
        <item sd="0" m="1" x="882"/>
        <item sd="0" x="402"/>
        <item sd="0" x="403"/>
        <item sd="0" x="404"/>
        <item sd="0" x="405"/>
        <item sd="0" x="406"/>
        <item sd="0" x="411"/>
        <item sd="0" m="1" x="94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4"/>
        <item sd="0" x="465"/>
        <item sd="0" x="469"/>
        <item sd="0" x="466"/>
        <item sd="0" x="467"/>
        <item sd="0" m="1" x="874"/>
        <item sd="0" x="470"/>
        <item sd="0" m="1" x="851"/>
        <item sd="0" x="472"/>
        <item sd="0" x="475"/>
        <item sd="0" x="476"/>
        <item sd="0" x="371"/>
        <item sd="0" m="1" x="955"/>
        <item sd="0" x="477"/>
        <item sd="0" x="478"/>
        <item sd="0" x="479"/>
        <item sd="0" x="473"/>
        <item sd="0" x="474"/>
        <item sd="0" x="480"/>
        <item sd="0" x="481"/>
        <item sd="0" x="482"/>
        <item sd="0" x="483"/>
        <item sd="0" x="484"/>
        <item sd="0" x="485"/>
        <item sd="0" x="486"/>
        <item sd="0" m="1" x="1013"/>
        <item sd="0" x="488"/>
        <item sd="0" x="489"/>
        <item sd="0" x="487"/>
        <item sd="0" x="492"/>
        <item sd="0" x="491"/>
        <item sd="0" x="312"/>
        <item sd="0" m="1" x="996"/>
        <item sd="0" x="490"/>
        <item sd="0" x="493"/>
        <item sd="0" x="471"/>
        <item sd="0" x="494"/>
        <item sd="0" x="495"/>
        <item sd="0" m="1" x="980"/>
        <item sd="0" x="497"/>
        <item sd="0" x="499"/>
        <item sd="0" x="500"/>
        <item sd="0" x="503"/>
        <item sd="0" m="1" x="953"/>
        <item sd="0" m="1" x="8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80"/>
        <item sd="0" x="547"/>
        <item sd="0" x="548"/>
        <item sd="0" x="549"/>
        <item sd="0" x="543"/>
        <item sd="0" x="544"/>
        <item sd="0" x="546"/>
        <item sd="0" x="550"/>
        <item sd="0" x="551"/>
        <item sd="0" x="545"/>
        <item sd="0" x="556"/>
        <item sd="0" x="557"/>
        <item sd="0" x="558"/>
        <item sd="0" x="559"/>
        <item sd="0" x="552"/>
        <item sd="0" x="553"/>
        <item sd="0" x="554"/>
        <item sd="0" m="1" x="930"/>
        <item sd="0" x="431"/>
        <item sd="0" x="555"/>
        <item sd="0" x="560"/>
        <item sd="0" x="561"/>
        <item sd="0" x="563"/>
        <item sd="0" x="564"/>
        <item sd="0" x="565"/>
        <item sd="0" m="1" x="1035"/>
        <item sd="0" x="566"/>
        <item sd="0" x="567"/>
        <item sd="0" x="571"/>
        <item sd="0" x="572"/>
        <item sd="0" x="573"/>
        <item sd="0" x="574"/>
        <item sd="0" x="568"/>
        <item sd="0" x="569"/>
        <item sd="0" x="575"/>
        <item sd="0" x="570"/>
        <item sd="0" m="1" x="95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7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5"/>
        <item x="683"/>
        <item x="687"/>
        <item x="689"/>
        <item x="685"/>
        <item x="686"/>
        <item x="691"/>
        <item x="684"/>
        <item x="692"/>
        <item x="693"/>
        <item x="694"/>
        <item x="695"/>
        <item x="696"/>
        <item m="1" x="878"/>
        <item x="698"/>
        <item x="699"/>
        <item x="697"/>
        <item x="701"/>
        <item x="702"/>
        <item m="1" x="1000"/>
        <item x="705"/>
        <item m="1" x="826"/>
        <item x="703"/>
        <item x="704"/>
        <item x="706"/>
        <item x="707"/>
        <item x="720"/>
        <item x="708"/>
        <item x="709"/>
        <item x="710"/>
        <item x="711"/>
        <item x="712"/>
        <item x="713"/>
        <item x="714"/>
        <item x="715"/>
        <item x="716"/>
        <item x="717"/>
        <item x="718"/>
        <item x="719"/>
        <item x="721"/>
        <item x="722"/>
        <item x="723"/>
        <item x="724"/>
        <item x="725"/>
        <item m="1" x="903"/>
        <item x="726"/>
        <item x="727"/>
        <item x="730"/>
        <item m="1" x="1075"/>
        <item m="1" x="867"/>
        <item x="731"/>
        <item x="728"/>
        <item x="334"/>
        <item x="729"/>
        <item x="732"/>
        <item x="733"/>
        <item x="734"/>
        <item x="735"/>
        <item x="736"/>
        <item x="737"/>
        <item x="738"/>
        <item x="794"/>
        <item x="739"/>
        <item x="740"/>
        <item x="741"/>
        <item x="742"/>
        <item x="787"/>
        <item x="743"/>
        <item x="744"/>
        <item x="745"/>
        <item x="746"/>
        <item x="747"/>
        <item x="748"/>
        <item m="1" x="886"/>
        <item x="749"/>
        <item x="756"/>
        <item x="750"/>
        <item x="751"/>
        <item m="1" x="959"/>
        <item x="752"/>
        <item x="753"/>
        <item x="754"/>
        <item x="755"/>
        <item x="757"/>
        <item x="594"/>
        <item x="758"/>
        <item x="759"/>
        <item x="760"/>
        <item x="761"/>
        <item x="762"/>
        <item x="763"/>
        <item x="764"/>
        <item x="765"/>
        <item x="766"/>
        <item x="767"/>
        <item x="768"/>
        <item m="1" x="82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24"/>
        <item x="818"/>
        <item x="820"/>
        <item x="821"/>
        <item x="822"/>
        <item x="823"/>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14">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9"/>
    </i>
    <i>
      <x v="219"/>
    </i>
    <i>
      <x v="223"/>
    </i>
    <i>
      <x v="228"/>
    </i>
    <i>
      <x v="234"/>
    </i>
    <i>
      <x v="238"/>
    </i>
    <i>
      <x v="240"/>
    </i>
    <i r="1">
      <x v="1068"/>
    </i>
    <i>
      <x v="241"/>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892">
      <pivotArea type="all" dataOnly="0" outline="0" fieldPosition="0"/>
    </format>
    <format dxfId="891">
      <pivotArea outline="0" collapsedLevelsAreSubtotals="1" fieldPosition="0"/>
    </format>
    <format dxfId="890">
      <pivotArea dataOnly="0" labelOnly="1" outline="0" fieldPosition="0">
        <references count="1">
          <reference field="4294967294" count="3">
            <x v="0"/>
            <x v="1"/>
            <x v="2"/>
          </reference>
        </references>
      </pivotArea>
    </format>
    <format dxfId="889">
      <pivotArea type="all" dataOnly="0" outline="0" fieldPosition="0"/>
    </format>
    <format dxfId="888">
      <pivotArea outline="0" collapsedLevelsAreSubtotals="1" fieldPosition="0"/>
    </format>
    <format dxfId="887">
      <pivotArea field="1" type="button" dataOnly="0" labelOnly="1" outline="0" axis="axisRow" fieldPosition="0"/>
    </format>
    <format dxfId="88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88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884">
      <pivotArea dataOnly="0" labelOnly="1" grandRow="1" outline="0" fieldPosition="0"/>
    </format>
    <format dxfId="883">
      <pivotArea dataOnly="0" labelOnly="1" outline="0" fieldPosition="0">
        <references count="1">
          <reference field="4294967294" count="3">
            <x v="0"/>
            <x v="1"/>
            <x v="2"/>
          </reference>
        </references>
      </pivotArea>
    </format>
    <format dxfId="882">
      <pivotArea type="all" dataOnly="0" outline="0" fieldPosition="0"/>
    </format>
    <format dxfId="881">
      <pivotArea outline="0" collapsedLevelsAreSubtotals="1" fieldPosition="0"/>
    </format>
    <format dxfId="880">
      <pivotArea field="1" type="button" dataOnly="0" labelOnly="1" outline="0" axis="axisRow" fieldPosition="0"/>
    </format>
    <format dxfId="879">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878">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877">
      <pivotArea dataOnly="0" labelOnly="1" grandRow="1" outline="0" fieldPosition="0"/>
    </format>
    <format dxfId="876">
      <pivotArea dataOnly="0" labelOnly="1" outline="0" fieldPosition="0">
        <references count="1">
          <reference field="4294967294" count="3">
            <x v="0"/>
            <x v="1"/>
            <x v="2"/>
          </reference>
        </references>
      </pivotArea>
    </format>
    <format dxfId="875">
      <pivotArea type="all" dataOnly="0" outline="0" fieldPosition="0"/>
    </format>
    <format dxfId="874">
      <pivotArea field="1" type="button" dataOnly="0" labelOnly="1" outline="0" axis="axisRow" fieldPosition="0"/>
    </format>
    <format dxfId="87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87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871">
      <pivotArea dataOnly="0" labelOnly="1" outline="0" fieldPosition="0">
        <references count="1">
          <reference field="4294967294" count="3">
            <x v="0"/>
            <x v="1"/>
            <x v="2"/>
          </reference>
        </references>
      </pivotArea>
    </format>
    <format dxfId="870">
      <pivotArea dataOnly="0" labelOnly="1" outline="0" fieldPosition="0">
        <references count="1">
          <reference field="4294967294" count="1">
            <x v="2"/>
          </reference>
        </references>
      </pivotArea>
    </format>
    <format dxfId="869">
      <pivotArea dataOnly="0" labelOnly="1" outline="0" fieldPosition="0">
        <references count="1">
          <reference field="4294967294" count="1">
            <x v="2"/>
          </reference>
        </references>
      </pivotArea>
    </format>
    <format dxfId="868">
      <pivotArea dataOnly="0" labelOnly="1" outline="0" fieldPosition="0">
        <references count="1">
          <reference field="4294967294" count="2">
            <x v="0"/>
            <x v="1"/>
          </reference>
        </references>
      </pivotArea>
    </format>
    <format dxfId="867">
      <pivotArea dataOnly="0" labelOnly="1" outline="0" fieldPosition="0">
        <references count="1">
          <reference field="4294967294" count="2">
            <x v="0"/>
            <x v="1"/>
          </reference>
        </references>
      </pivotArea>
    </format>
    <format dxfId="866">
      <pivotArea dataOnly="0" labelOnly="1" outline="0" fieldPosition="0">
        <references count="1">
          <reference field="4294967294" count="2">
            <x v="0"/>
            <x v="1"/>
          </reference>
        </references>
      </pivotArea>
    </format>
    <format dxfId="865">
      <pivotArea dataOnly="0" labelOnly="1" outline="0" fieldPosition="0">
        <references count="1">
          <reference field="4294967294" count="2">
            <x v="0"/>
            <x v="1"/>
          </reference>
        </references>
      </pivotArea>
    </format>
    <format dxfId="864">
      <pivotArea field="1" type="button" dataOnly="0" labelOnly="1" outline="0" axis="axisRow" fieldPosition="0"/>
    </format>
    <format dxfId="863">
      <pivotArea field="1" type="button" dataOnly="0" labelOnly="1" outline="0" axis="axisRow" fieldPosition="0"/>
    </format>
    <format dxfId="862">
      <pivotArea field="1" type="button" dataOnly="0" labelOnly="1" outline="0" axis="axisRow" fieldPosition="0"/>
    </format>
    <format dxfId="861">
      <pivotArea dataOnly="0" labelOnly="1" outline="0" fieldPosition="0">
        <references count="1">
          <reference field="4294967294" count="3">
            <x v="0"/>
            <x v="1"/>
            <x v="2"/>
          </reference>
        </references>
      </pivotArea>
    </format>
    <format dxfId="860">
      <pivotArea field="1" type="button" dataOnly="0" labelOnly="1" outline="0" axis="axisRow" fieldPosition="0"/>
    </format>
    <format dxfId="859">
      <pivotArea dataOnly="0" labelOnly="1" outline="0" fieldPosition="0">
        <references count="1">
          <reference field="4294967294" count="3">
            <x v="0"/>
            <x v="1"/>
            <x v="2"/>
          </reference>
        </references>
      </pivotArea>
    </format>
    <format dxfId="858">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857">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856">
      <pivotArea collapsedLevelsAreSubtotals="1" fieldPosition="0">
        <references count="1">
          <reference field="1" count="1">
            <x v="108"/>
          </reference>
        </references>
      </pivotArea>
    </format>
    <format dxfId="855">
      <pivotArea collapsedLevelsAreSubtotals="1" fieldPosition="0">
        <references count="1">
          <reference field="1" count="1">
            <x v="109"/>
          </reference>
        </references>
      </pivotArea>
    </format>
    <format dxfId="854">
      <pivotArea collapsedLevelsAreSubtotals="1" fieldPosition="0">
        <references count="1">
          <reference field="1" count="1">
            <x v="110"/>
          </reference>
        </references>
      </pivotArea>
    </format>
    <format dxfId="853">
      <pivotArea collapsedLevelsAreSubtotals="1" fieldPosition="0">
        <references count="1">
          <reference field="1" count="1">
            <x v="111"/>
          </reference>
        </references>
      </pivotArea>
    </format>
    <format dxfId="852">
      <pivotArea collapsedLevelsAreSubtotals="1" fieldPosition="0">
        <references count="1">
          <reference field="1" count="1">
            <x v="112"/>
          </reference>
        </references>
      </pivotArea>
    </format>
    <format dxfId="851">
      <pivotArea collapsedLevelsAreSubtotals="1" fieldPosition="0">
        <references count="1">
          <reference field="1" count="1">
            <x v="113"/>
          </reference>
        </references>
      </pivotArea>
    </format>
    <format dxfId="850">
      <pivotArea collapsedLevelsAreSubtotals="1" fieldPosition="0">
        <references count="1">
          <reference field="1" count="1">
            <x v="114"/>
          </reference>
        </references>
      </pivotArea>
    </format>
    <format dxfId="849">
      <pivotArea collapsedLevelsAreSubtotals="1" fieldPosition="0">
        <references count="1">
          <reference field="1" count="1">
            <x v="115"/>
          </reference>
        </references>
      </pivotArea>
    </format>
    <format dxfId="848">
      <pivotArea collapsedLevelsAreSubtotals="1" fieldPosition="0">
        <references count="1">
          <reference field="1" count="1">
            <x v="116"/>
          </reference>
        </references>
      </pivotArea>
    </format>
    <format dxfId="847">
      <pivotArea collapsedLevelsAreSubtotals="1" fieldPosition="0">
        <references count="1">
          <reference field="1" count="1">
            <x v="117"/>
          </reference>
        </references>
      </pivotArea>
    </format>
    <format dxfId="846">
      <pivotArea collapsedLevelsAreSubtotals="1" fieldPosition="0">
        <references count="1">
          <reference field="1" count="1">
            <x v="118"/>
          </reference>
        </references>
      </pivotArea>
    </format>
    <format dxfId="845">
      <pivotArea collapsedLevelsAreSubtotals="1" fieldPosition="0">
        <references count="1">
          <reference field="1" count="1">
            <x v="119"/>
          </reference>
        </references>
      </pivotArea>
    </format>
    <format dxfId="844">
      <pivotArea collapsedLevelsAreSubtotals="1" fieldPosition="0">
        <references count="1">
          <reference field="1" count="1">
            <x v="120"/>
          </reference>
        </references>
      </pivotArea>
    </format>
    <format dxfId="843">
      <pivotArea collapsedLevelsAreSubtotals="1" fieldPosition="0">
        <references count="1">
          <reference field="1" count="1">
            <x v="121"/>
          </reference>
        </references>
      </pivotArea>
    </format>
    <format dxfId="842">
      <pivotArea collapsedLevelsAreSubtotals="1" fieldPosition="0">
        <references count="1">
          <reference field="1" count="1">
            <x v="122"/>
          </reference>
        </references>
      </pivotArea>
    </format>
    <format dxfId="841">
      <pivotArea collapsedLevelsAreSubtotals="1" fieldPosition="0">
        <references count="1">
          <reference field="1" count="1">
            <x v="123"/>
          </reference>
        </references>
      </pivotArea>
    </format>
    <format dxfId="840">
      <pivotArea collapsedLevelsAreSubtotals="1" fieldPosition="0">
        <references count="1">
          <reference field="1" count="1">
            <x v="124"/>
          </reference>
        </references>
      </pivotArea>
    </format>
    <format dxfId="839">
      <pivotArea collapsedLevelsAreSubtotals="1" fieldPosition="0">
        <references count="1">
          <reference field="1" count="1">
            <x v="125"/>
          </reference>
        </references>
      </pivotArea>
    </format>
    <format dxfId="838">
      <pivotArea collapsedLevelsAreSubtotals="1" fieldPosition="0">
        <references count="1">
          <reference field="1" count="1">
            <x v="126"/>
          </reference>
        </references>
      </pivotArea>
    </format>
    <format dxfId="837">
      <pivotArea collapsedLevelsAreSubtotals="1" fieldPosition="0">
        <references count="1">
          <reference field="1" count="1">
            <x v="127"/>
          </reference>
        </references>
      </pivotArea>
    </format>
    <format dxfId="836">
      <pivotArea collapsedLevelsAreSubtotals="1" fieldPosition="0">
        <references count="1">
          <reference field="1" count="1">
            <x v="128"/>
          </reference>
        </references>
      </pivotArea>
    </format>
    <format dxfId="835">
      <pivotArea collapsedLevelsAreSubtotals="1" fieldPosition="0">
        <references count="1">
          <reference field="1" count="1">
            <x v="129"/>
          </reference>
        </references>
      </pivotArea>
    </format>
    <format dxfId="834">
      <pivotArea collapsedLevelsAreSubtotals="1" fieldPosition="0">
        <references count="1">
          <reference field="1" count="1">
            <x v="130"/>
          </reference>
        </references>
      </pivotArea>
    </format>
    <format dxfId="833">
      <pivotArea collapsedLevelsAreSubtotals="1" fieldPosition="0">
        <references count="1">
          <reference field="1" count="1">
            <x v="131"/>
          </reference>
        </references>
      </pivotArea>
    </format>
    <format dxfId="832">
      <pivotArea collapsedLevelsAreSubtotals="1" fieldPosition="0">
        <references count="1">
          <reference field="1" count="1">
            <x v="132"/>
          </reference>
        </references>
      </pivotArea>
    </format>
    <format dxfId="831">
      <pivotArea collapsedLevelsAreSubtotals="1" fieldPosition="0">
        <references count="1">
          <reference field="1" count="1">
            <x v="133"/>
          </reference>
        </references>
      </pivotArea>
    </format>
    <format dxfId="830">
      <pivotArea collapsedLevelsAreSubtotals="1" fieldPosition="0">
        <references count="1">
          <reference field="1" count="1">
            <x v="134"/>
          </reference>
        </references>
      </pivotArea>
    </format>
    <format dxfId="829">
      <pivotArea collapsedLevelsAreSubtotals="1" fieldPosition="0">
        <references count="1">
          <reference field="1" count="1">
            <x v="135"/>
          </reference>
        </references>
      </pivotArea>
    </format>
    <format dxfId="828">
      <pivotArea collapsedLevelsAreSubtotals="1" fieldPosition="0">
        <references count="1">
          <reference field="1" count="1">
            <x v="136"/>
          </reference>
        </references>
      </pivotArea>
    </format>
    <format dxfId="827">
      <pivotArea collapsedLevelsAreSubtotals="1" fieldPosition="0">
        <references count="1">
          <reference field="1" count="1">
            <x v="137"/>
          </reference>
        </references>
      </pivotArea>
    </format>
    <format dxfId="826">
      <pivotArea collapsedLevelsAreSubtotals="1" fieldPosition="0">
        <references count="1">
          <reference field="1" count="1">
            <x v="138"/>
          </reference>
        </references>
      </pivotArea>
    </format>
    <format dxfId="825">
      <pivotArea collapsedLevelsAreSubtotals="1" fieldPosition="0">
        <references count="1">
          <reference field="1" count="1">
            <x v="139"/>
          </reference>
        </references>
      </pivotArea>
    </format>
    <format dxfId="824">
      <pivotArea collapsedLevelsAreSubtotals="1" fieldPosition="0">
        <references count="1">
          <reference field="1" count="1">
            <x v="140"/>
          </reference>
        </references>
      </pivotArea>
    </format>
    <format dxfId="823">
      <pivotArea collapsedLevelsAreSubtotals="1" fieldPosition="0">
        <references count="1">
          <reference field="1" count="1">
            <x v="141"/>
          </reference>
        </references>
      </pivotArea>
    </format>
    <format dxfId="822">
      <pivotArea collapsedLevelsAreSubtotals="1" fieldPosition="0">
        <references count="1">
          <reference field="1" count="1">
            <x v="142"/>
          </reference>
        </references>
      </pivotArea>
    </format>
    <format dxfId="821">
      <pivotArea collapsedLevelsAreSubtotals="1" fieldPosition="0">
        <references count="1">
          <reference field="1" count="1">
            <x v="143"/>
          </reference>
        </references>
      </pivotArea>
    </format>
    <format dxfId="820">
      <pivotArea collapsedLevelsAreSubtotals="1" fieldPosition="0">
        <references count="1">
          <reference field="1" count="1">
            <x v="53"/>
          </reference>
        </references>
      </pivotArea>
    </format>
    <format dxfId="819">
      <pivotArea collapsedLevelsAreSubtotals="1" fieldPosition="0">
        <references count="1">
          <reference field="1" count="1">
            <x v="144"/>
          </reference>
        </references>
      </pivotArea>
    </format>
    <format dxfId="818">
      <pivotArea collapsedLevelsAreSubtotals="1" fieldPosition="0">
        <references count="1">
          <reference field="1" count="1">
            <x v="145"/>
          </reference>
        </references>
      </pivotArea>
    </format>
    <format dxfId="817">
      <pivotArea collapsedLevelsAreSubtotals="1" fieldPosition="0">
        <references count="1">
          <reference field="1" count="1">
            <x v="146"/>
          </reference>
        </references>
      </pivotArea>
    </format>
    <format dxfId="816">
      <pivotArea collapsedLevelsAreSubtotals="1" fieldPosition="0">
        <references count="1">
          <reference field="1" count="1">
            <x v="147"/>
          </reference>
        </references>
      </pivotArea>
    </format>
    <format dxfId="815">
      <pivotArea collapsedLevelsAreSubtotals="1" fieldPosition="0">
        <references count="1">
          <reference field="1" count="1">
            <x v="148"/>
          </reference>
        </references>
      </pivotArea>
    </format>
    <format dxfId="814">
      <pivotArea collapsedLevelsAreSubtotals="1" fieldPosition="0">
        <references count="1">
          <reference field="1" count="1">
            <x v="149"/>
          </reference>
        </references>
      </pivotArea>
    </format>
    <format dxfId="813">
      <pivotArea collapsedLevelsAreSubtotals="1" fieldPosition="0">
        <references count="1">
          <reference field="1" count="1">
            <x v="150"/>
          </reference>
        </references>
      </pivotArea>
    </format>
    <format dxfId="812">
      <pivotArea collapsedLevelsAreSubtotals="1" fieldPosition="0">
        <references count="1">
          <reference field="1" count="1">
            <x v="151"/>
          </reference>
        </references>
      </pivotArea>
    </format>
    <format dxfId="811">
      <pivotArea collapsedLevelsAreSubtotals="1" fieldPosition="0">
        <references count="1">
          <reference field="1" count="1">
            <x v="152"/>
          </reference>
        </references>
      </pivotArea>
    </format>
    <format dxfId="810">
      <pivotArea collapsedLevelsAreSubtotals="1" fieldPosition="0">
        <references count="1">
          <reference field="1" count="1">
            <x v="153"/>
          </reference>
        </references>
      </pivotArea>
    </format>
    <format dxfId="809">
      <pivotArea collapsedLevelsAreSubtotals="1" fieldPosition="0">
        <references count="1">
          <reference field="1" count="1">
            <x v="154"/>
          </reference>
        </references>
      </pivotArea>
    </format>
    <format dxfId="808">
      <pivotArea collapsedLevelsAreSubtotals="1" fieldPosition="0">
        <references count="1">
          <reference field="1" count="1">
            <x v="155"/>
          </reference>
        </references>
      </pivotArea>
    </format>
    <format dxfId="807">
      <pivotArea collapsedLevelsAreSubtotals="1" fieldPosition="0">
        <references count="1">
          <reference field="1" count="1">
            <x v="156"/>
          </reference>
        </references>
      </pivotArea>
    </format>
    <format dxfId="806">
      <pivotArea collapsedLevelsAreSubtotals="1" fieldPosition="0">
        <references count="1">
          <reference field="1" count="1">
            <x v="157"/>
          </reference>
        </references>
      </pivotArea>
    </format>
    <format dxfId="805">
      <pivotArea collapsedLevelsAreSubtotals="1" fieldPosition="0">
        <references count="1">
          <reference field="1" count="1">
            <x v="158"/>
          </reference>
        </references>
      </pivotArea>
    </format>
    <format dxfId="804">
      <pivotArea collapsedLevelsAreSubtotals="1" fieldPosition="0">
        <references count="1">
          <reference field="1" count="1">
            <x v="159"/>
          </reference>
        </references>
      </pivotArea>
    </format>
    <format dxfId="803">
      <pivotArea collapsedLevelsAreSubtotals="1" fieldPosition="0">
        <references count="1">
          <reference field="1" count="1">
            <x v="160"/>
          </reference>
        </references>
      </pivotArea>
    </format>
    <format dxfId="802">
      <pivotArea collapsedLevelsAreSubtotals="1" fieldPosition="0">
        <references count="1">
          <reference field="1" count="1">
            <x v="161"/>
          </reference>
        </references>
      </pivotArea>
    </format>
    <format dxfId="801">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800">
      <pivotArea dataOnly="0" labelOnly="1" fieldPosition="0">
        <references count="1">
          <reference field="1" count="5">
            <x v="157"/>
            <x v="158"/>
            <x v="159"/>
            <x v="160"/>
            <x v="161"/>
          </reference>
        </references>
      </pivotArea>
    </format>
    <format dxfId="799">
      <pivotArea dataOnly="0" labelOnly="1" outline="0" fieldPosition="0">
        <references count="1">
          <reference field="4294967294" count="1">
            <x v="2"/>
          </reference>
        </references>
      </pivotArea>
    </format>
    <format dxfId="798">
      <pivotArea dataOnly="0" labelOnly="1" fieldPosition="0">
        <references count="1">
          <reference field="1" count="7">
            <x v="162"/>
            <x v="163"/>
            <x v="164"/>
            <x v="165"/>
            <x v="166"/>
            <x v="167"/>
            <x v="169"/>
          </reference>
        </references>
      </pivotArea>
    </format>
    <format dxfId="797">
      <pivotArea dataOnly="0" labelOnly="1" fieldPosition="0">
        <references count="1">
          <reference field="1" count="7">
            <x v="162"/>
            <x v="163"/>
            <x v="164"/>
            <x v="165"/>
            <x v="166"/>
            <x v="167"/>
            <x v="169"/>
          </reference>
        </references>
      </pivotArea>
    </format>
    <format dxfId="796">
      <pivotArea collapsedLevelsAreSubtotals="1" fieldPosition="0">
        <references count="1">
          <reference field="1" count="1">
            <x v="162"/>
          </reference>
        </references>
      </pivotArea>
    </format>
    <format dxfId="795">
      <pivotArea collapsedLevelsAreSubtotals="1" fieldPosition="0">
        <references count="1">
          <reference field="1" count="1">
            <x v="163"/>
          </reference>
        </references>
      </pivotArea>
    </format>
    <format dxfId="794">
      <pivotArea collapsedLevelsAreSubtotals="1" fieldPosition="0">
        <references count="1">
          <reference field="1" count="1">
            <x v="164"/>
          </reference>
        </references>
      </pivotArea>
    </format>
    <format dxfId="793">
      <pivotArea collapsedLevelsAreSubtotals="1" fieldPosition="0">
        <references count="1">
          <reference field="1" count="1">
            <x v="165"/>
          </reference>
        </references>
      </pivotArea>
    </format>
    <format dxfId="792">
      <pivotArea collapsedLevelsAreSubtotals="1" fieldPosition="0">
        <references count="1">
          <reference field="1" count="1">
            <x v="166"/>
          </reference>
        </references>
      </pivotArea>
    </format>
    <format dxfId="791">
      <pivotArea collapsedLevelsAreSubtotals="1" fieldPosition="0">
        <references count="1">
          <reference field="1" count="1">
            <x v="167"/>
          </reference>
        </references>
      </pivotArea>
    </format>
    <format dxfId="790">
      <pivotArea collapsedLevelsAreSubtotals="1" fieldPosition="0">
        <references count="1">
          <reference field="1" count="1">
            <x v="169"/>
          </reference>
        </references>
      </pivotArea>
    </format>
    <format dxfId="789">
      <pivotArea dataOnly="0" labelOnly="1" fieldPosition="0">
        <references count="1">
          <reference field="1" count="4">
            <x v="63"/>
            <x v="64"/>
            <x v="199"/>
            <x v="201"/>
          </reference>
        </references>
      </pivotArea>
    </format>
    <format dxfId="788">
      <pivotArea dataOnly="0" labelOnly="1" fieldPosition="0">
        <references count="1">
          <reference field="1" count="3">
            <x v="60"/>
            <x v="61"/>
            <x v="75"/>
          </reference>
        </references>
      </pivotArea>
    </format>
    <format dxfId="787">
      <pivotArea collapsedLevelsAreSubtotals="1" fieldPosition="0">
        <references count="1">
          <reference field="1" count="1">
            <x v="197"/>
          </reference>
        </references>
      </pivotArea>
    </format>
    <format dxfId="786">
      <pivotArea collapsedLevelsAreSubtotals="1" fieldPosition="0">
        <references count="1">
          <reference field="1" count="1">
            <x v="196"/>
          </reference>
        </references>
      </pivotArea>
    </format>
    <format dxfId="785">
      <pivotArea collapsedLevelsAreSubtotals="1" fieldPosition="0">
        <references count="1">
          <reference field="1" count="1">
            <x v="80"/>
          </reference>
        </references>
      </pivotArea>
    </format>
    <format dxfId="784">
      <pivotArea collapsedLevelsAreSubtotals="1" fieldPosition="0">
        <references count="1">
          <reference field="1" count="1">
            <x v="81"/>
          </reference>
        </references>
      </pivotArea>
    </format>
    <format dxfId="783">
      <pivotArea collapsedLevelsAreSubtotals="1" fieldPosition="0">
        <references count="1">
          <reference field="1" count="1">
            <x v="82"/>
          </reference>
        </references>
      </pivotArea>
    </format>
    <format dxfId="782">
      <pivotArea collapsedLevelsAreSubtotals="1" fieldPosition="0">
        <references count="1">
          <reference field="1" count="1">
            <x v="83"/>
          </reference>
        </references>
      </pivotArea>
    </format>
    <format dxfId="781">
      <pivotArea collapsedLevelsAreSubtotals="1" fieldPosition="0">
        <references count="1">
          <reference field="1" count="1">
            <x v="84"/>
          </reference>
        </references>
      </pivotArea>
    </format>
    <format dxfId="780">
      <pivotArea collapsedLevelsAreSubtotals="1" fieldPosition="0">
        <references count="1">
          <reference field="1" count="1">
            <x v="85"/>
          </reference>
        </references>
      </pivotArea>
    </format>
    <format dxfId="779">
      <pivotArea collapsedLevelsAreSubtotals="1" fieldPosition="0">
        <references count="1">
          <reference field="1" count="1">
            <x v="86"/>
          </reference>
        </references>
      </pivotArea>
    </format>
    <format dxfId="778">
      <pivotArea collapsedLevelsAreSubtotals="1" fieldPosition="0">
        <references count="1">
          <reference field="1" count="1">
            <x v="87"/>
          </reference>
        </references>
      </pivotArea>
    </format>
    <format dxfId="777">
      <pivotArea collapsedLevelsAreSubtotals="1" fieldPosition="0">
        <references count="1">
          <reference field="1" count="1">
            <x v="88"/>
          </reference>
        </references>
      </pivotArea>
    </format>
    <format dxfId="776">
      <pivotArea collapsedLevelsAreSubtotals="1" fieldPosition="0">
        <references count="1">
          <reference field="1" count="1">
            <x v="89"/>
          </reference>
        </references>
      </pivotArea>
    </format>
    <format dxfId="775">
      <pivotArea collapsedLevelsAreSubtotals="1" fieldPosition="0">
        <references count="1">
          <reference field="1" count="1">
            <x v="90"/>
          </reference>
        </references>
      </pivotArea>
    </format>
    <format dxfId="774">
      <pivotArea collapsedLevelsAreSubtotals="1" fieldPosition="0">
        <references count="1">
          <reference field="1" count="1">
            <x v="91"/>
          </reference>
        </references>
      </pivotArea>
    </format>
    <format dxfId="773">
      <pivotArea collapsedLevelsAreSubtotals="1" fieldPosition="0">
        <references count="1">
          <reference field="1" count="1">
            <x v="92"/>
          </reference>
        </references>
      </pivotArea>
    </format>
    <format dxfId="772">
      <pivotArea collapsedLevelsAreSubtotals="1" fieldPosition="0">
        <references count="1">
          <reference field="1" count="1">
            <x v="93"/>
          </reference>
        </references>
      </pivotArea>
    </format>
    <format dxfId="771">
      <pivotArea collapsedLevelsAreSubtotals="1" fieldPosition="0">
        <references count="1">
          <reference field="1" count="1">
            <x v="94"/>
          </reference>
        </references>
      </pivotArea>
    </format>
    <format dxfId="770">
      <pivotArea collapsedLevelsAreSubtotals="1" fieldPosition="0">
        <references count="1">
          <reference field="1" count="1">
            <x v="95"/>
          </reference>
        </references>
      </pivotArea>
    </format>
    <format dxfId="769">
      <pivotArea collapsedLevelsAreSubtotals="1" fieldPosition="0">
        <references count="1">
          <reference field="1" count="1">
            <x v="96"/>
          </reference>
        </references>
      </pivotArea>
    </format>
    <format dxfId="768">
      <pivotArea collapsedLevelsAreSubtotals="1" fieldPosition="0">
        <references count="1">
          <reference field="1" count="1">
            <x v="97"/>
          </reference>
        </references>
      </pivotArea>
    </format>
    <format dxfId="767">
      <pivotArea collapsedLevelsAreSubtotals="1" fieldPosition="0">
        <references count="1">
          <reference field="1" count="1">
            <x v="98"/>
          </reference>
        </references>
      </pivotArea>
    </format>
    <format dxfId="766">
      <pivotArea collapsedLevelsAreSubtotals="1" fieldPosition="0">
        <references count="1">
          <reference field="1" count="1">
            <x v="99"/>
          </reference>
        </references>
      </pivotArea>
    </format>
    <format dxfId="765">
      <pivotArea collapsedLevelsAreSubtotals="1" fieldPosition="0">
        <references count="1">
          <reference field="1" count="1">
            <x v="100"/>
          </reference>
        </references>
      </pivotArea>
    </format>
    <format dxfId="764">
      <pivotArea collapsedLevelsAreSubtotals="1" fieldPosition="0">
        <references count="1">
          <reference field="1" count="1">
            <x v="101"/>
          </reference>
        </references>
      </pivotArea>
    </format>
    <format dxfId="763">
      <pivotArea collapsedLevelsAreSubtotals="1" fieldPosition="0">
        <references count="1">
          <reference field="1" count="1">
            <x v="102"/>
          </reference>
        </references>
      </pivotArea>
    </format>
    <format dxfId="762">
      <pivotArea collapsedLevelsAreSubtotals="1" fieldPosition="0">
        <references count="1">
          <reference field="1" count="1">
            <x v="103"/>
          </reference>
        </references>
      </pivotArea>
    </format>
    <format dxfId="761">
      <pivotArea collapsedLevelsAreSubtotals="1" fieldPosition="0">
        <references count="1">
          <reference field="1" count="1">
            <x v="104"/>
          </reference>
        </references>
      </pivotArea>
    </format>
    <format dxfId="760">
      <pivotArea collapsedLevelsAreSubtotals="1" fieldPosition="0">
        <references count="1">
          <reference field="1" count="1">
            <x v="105"/>
          </reference>
        </references>
      </pivotArea>
    </format>
    <format dxfId="759">
      <pivotArea collapsedLevelsAreSubtotals="1" fieldPosition="0">
        <references count="1">
          <reference field="1" count="1">
            <x v="106"/>
          </reference>
        </references>
      </pivotArea>
    </format>
    <format dxfId="758">
      <pivotArea collapsedLevelsAreSubtotals="1" fieldPosition="0">
        <references count="1">
          <reference field="1" count="1">
            <x v="107"/>
          </reference>
        </references>
      </pivotArea>
    </format>
    <format dxfId="757">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756">
      <pivotArea collapsedLevelsAreSubtotals="1" fieldPosition="0">
        <references count="2">
          <reference field="4294967294" count="2" selected="0">
            <x v="0"/>
            <x v="1"/>
          </reference>
          <reference field="1" count="1">
            <x v="170"/>
          </reference>
        </references>
      </pivotArea>
    </format>
    <format dxfId="755">
      <pivotArea collapsedLevelsAreSubtotals="1" fieldPosition="0">
        <references count="2">
          <reference field="4294967294" count="2" selected="0">
            <x v="0"/>
            <x v="1"/>
          </reference>
          <reference field="1" count="1">
            <x v="171"/>
          </reference>
        </references>
      </pivotArea>
    </format>
    <format dxfId="754">
      <pivotArea collapsedLevelsAreSubtotals="1" fieldPosition="0">
        <references count="2">
          <reference field="4294967294" count="2" selected="0">
            <x v="0"/>
            <x v="1"/>
          </reference>
          <reference field="1" count="1">
            <x v="174"/>
          </reference>
        </references>
      </pivotArea>
    </format>
    <format dxfId="753">
      <pivotArea collapsedLevelsAreSubtotals="1" fieldPosition="0">
        <references count="2">
          <reference field="4294967294" count="2" selected="0">
            <x v="0"/>
            <x v="1"/>
          </reference>
          <reference field="1" count="1">
            <x v="175"/>
          </reference>
        </references>
      </pivotArea>
    </format>
    <format dxfId="752">
      <pivotArea collapsedLevelsAreSubtotals="1" fieldPosition="0">
        <references count="2">
          <reference field="4294967294" count="2" selected="0">
            <x v="0"/>
            <x v="1"/>
          </reference>
          <reference field="1" count="1">
            <x v="176"/>
          </reference>
        </references>
      </pivotArea>
    </format>
    <format dxfId="751">
      <pivotArea collapsedLevelsAreSubtotals="1" fieldPosition="0">
        <references count="2">
          <reference field="4294967294" count="2" selected="0">
            <x v="0"/>
            <x v="1"/>
          </reference>
          <reference field="1" count="1">
            <x v="177"/>
          </reference>
        </references>
      </pivotArea>
    </format>
    <format dxfId="750">
      <pivotArea collapsedLevelsAreSubtotals="1" fieldPosition="0">
        <references count="2">
          <reference field="4294967294" count="2" selected="0">
            <x v="0"/>
            <x v="1"/>
          </reference>
          <reference field="1" count="1">
            <x v="178"/>
          </reference>
        </references>
      </pivotArea>
    </format>
    <format dxfId="749">
      <pivotArea collapsedLevelsAreSubtotals="1" fieldPosition="0">
        <references count="2">
          <reference field="4294967294" count="2" selected="0">
            <x v="0"/>
            <x v="1"/>
          </reference>
          <reference field="1" count="1">
            <x v="181"/>
          </reference>
        </references>
      </pivotArea>
    </format>
    <format dxfId="748">
      <pivotArea dataOnly="0" labelOnly="1" fieldPosition="0">
        <references count="1">
          <reference field="1" count="8">
            <x v="170"/>
            <x v="171"/>
            <x v="174"/>
            <x v="175"/>
            <x v="176"/>
            <x v="177"/>
            <x v="178"/>
            <x v="181"/>
          </reference>
        </references>
      </pivotArea>
    </format>
    <format dxfId="747">
      <pivotArea collapsedLevelsAreSubtotals="1" fieldPosition="0">
        <references count="2">
          <reference field="4294967294" count="1" selected="0">
            <x v="2"/>
          </reference>
          <reference field="1" count="1">
            <x v="170"/>
          </reference>
        </references>
      </pivotArea>
    </format>
    <format dxfId="746">
      <pivotArea collapsedLevelsAreSubtotals="1" fieldPosition="0">
        <references count="2">
          <reference field="4294967294" count="1" selected="0">
            <x v="2"/>
          </reference>
          <reference field="1" count="1">
            <x v="171"/>
          </reference>
        </references>
      </pivotArea>
    </format>
    <format dxfId="745">
      <pivotArea collapsedLevelsAreSubtotals="1" fieldPosition="0">
        <references count="2">
          <reference field="4294967294" count="1" selected="0">
            <x v="2"/>
          </reference>
          <reference field="1" count="1">
            <x v="174"/>
          </reference>
        </references>
      </pivotArea>
    </format>
    <format dxfId="744">
      <pivotArea collapsedLevelsAreSubtotals="1" fieldPosition="0">
        <references count="2">
          <reference field="4294967294" count="1" selected="0">
            <x v="2"/>
          </reference>
          <reference field="1" count="1">
            <x v="175"/>
          </reference>
        </references>
      </pivotArea>
    </format>
    <format dxfId="743">
      <pivotArea collapsedLevelsAreSubtotals="1" fieldPosition="0">
        <references count="2">
          <reference field="4294967294" count="1" selected="0">
            <x v="2"/>
          </reference>
          <reference field="1" count="1">
            <x v="176"/>
          </reference>
        </references>
      </pivotArea>
    </format>
    <format dxfId="742">
      <pivotArea collapsedLevelsAreSubtotals="1" fieldPosition="0">
        <references count="2">
          <reference field="4294967294" count="1" selected="0">
            <x v="2"/>
          </reference>
          <reference field="1" count="1">
            <x v="177"/>
          </reference>
        </references>
      </pivotArea>
    </format>
    <format dxfId="741">
      <pivotArea collapsedLevelsAreSubtotals="1" fieldPosition="0">
        <references count="2">
          <reference field="4294967294" count="1" selected="0">
            <x v="2"/>
          </reference>
          <reference field="1" count="1">
            <x v="178"/>
          </reference>
        </references>
      </pivotArea>
    </format>
    <format dxfId="740">
      <pivotArea collapsedLevelsAreSubtotals="1" fieldPosition="0">
        <references count="2">
          <reference field="4294967294" count="1" selected="0">
            <x v="2"/>
          </reference>
          <reference field="1" count="1">
            <x v="181"/>
          </reference>
        </references>
      </pivotArea>
    </format>
    <format dxfId="739">
      <pivotArea dataOnly="0" labelOnly="1" fieldPosition="0">
        <references count="1">
          <reference field="1" count="3">
            <x v="63"/>
            <x v="64"/>
            <x v="75"/>
          </reference>
        </references>
      </pivotArea>
    </format>
    <format dxfId="738">
      <pivotArea dataOnly="0" labelOnly="1" fieldPosition="0">
        <references count="1">
          <reference field="1" count="8">
            <x v="170"/>
            <x v="171"/>
            <x v="174"/>
            <x v="175"/>
            <x v="176"/>
            <x v="177"/>
            <x v="178"/>
            <x v="181"/>
          </reference>
        </references>
      </pivotArea>
    </format>
    <format dxfId="737">
      <pivotArea collapsedLevelsAreSubtotals="1" fieldPosition="0">
        <references count="1">
          <reference field="1" count="1">
            <x v="186"/>
          </reference>
        </references>
      </pivotArea>
    </format>
    <format dxfId="736">
      <pivotArea dataOnly="0" labelOnly="1" fieldPosition="0">
        <references count="1">
          <reference field="1" count="1">
            <x v="186"/>
          </reference>
        </references>
      </pivotArea>
    </format>
    <format dxfId="735">
      <pivotArea collapsedLevelsAreSubtotals="1" fieldPosition="0">
        <references count="1">
          <reference field="1" count="1">
            <x v="186"/>
          </reference>
        </references>
      </pivotArea>
    </format>
    <format dxfId="734">
      <pivotArea collapsedLevelsAreSubtotals="1" fieldPosition="0">
        <references count="1">
          <reference field="1" count="1">
            <x v="187"/>
          </reference>
        </references>
      </pivotArea>
    </format>
    <format dxfId="733">
      <pivotArea collapsedLevelsAreSubtotals="1" fieldPosition="0">
        <references count="1">
          <reference field="1" count="1">
            <x v="187"/>
          </reference>
        </references>
      </pivotArea>
    </format>
    <format dxfId="732">
      <pivotArea collapsedLevelsAreSubtotals="1" fieldPosition="0">
        <references count="1">
          <reference field="1" count="1">
            <x v="187"/>
          </reference>
        </references>
      </pivotArea>
    </format>
    <format dxfId="731">
      <pivotArea collapsedLevelsAreSubtotals="1" fieldPosition="0">
        <references count="1">
          <reference field="1" count="1">
            <x v="187"/>
          </reference>
        </references>
      </pivotArea>
    </format>
    <format dxfId="730">
      <pivotArea collapsedLevelsAreSubtotals="1" fieldPosition="0">
        <references count="1">
          <reference field="1" count="1">
            <x v="187"/>
          </reference>
        </references>
      </pivotArea>
    </format>
    <format dxfId="729">
      <pivotArea collapsedLevelsAreSubtotals="1" fieldPosition="0">
        <references count="1">
          <reference field="1" count="1">
            <x v="187"/>
          </reference>
        </references>
      </pivotArea>
    </format>
    <format dxfId="728">
      <pivotArea collapsedLevelsAreSubtotals="1" fieldPosition="0">
        <references count="1">
          <reference field="1" count="1">
            <x v="202"/>
          </reference>
        </references>
      </pivotArea>
    </format>
    <format dxfId="727">
      <pivotArea collapsedLevelsAreSubtotals="1" fieldPosition="0">
        <references count="1">
          <reference field="1" count="1">
            <x v="79"/>
          </reference>
        </references>
      </pivotArea>
    </format>
    <format dxfId="726">
      <pivotArea collapsedLevelsAreSubtotals="1" fieldPosition="0">
        <references count="1">
          <reference field="1" count="1">
            <x v="200"/>
          </reference>
        </references>
      </pivotArea>
    </format>
    <format dxfId="725">
      <pivotArea collapsedLevelsAreSubtotals="1" fieldPosition="0">
        <references count="1">
          <reference field="1" count="1">
            <x v="199"/>
          </reference>
        </references>
      </pivotArea>
    </format>
    <format dxfId="724">
      <pivotArea collapsedLevelsAreSubtotals="1" fieldPosition="0">
        <references count="1">
          <reference field="1" count="1">
            <x v="201"/>
          </reference>
        </references>
      </pivotArea>
    </format>
    <format dxfId="723">
      <pivotArea collapsedLevelsAreSubtotals="1" fieldPosition="0">
        <references count="1">
          <reference field="1" count="1">
            <x v="198"/>
          </reference>
        </references>
      </pivotArea>
    </format>
    <format dxfId="722">
      <pivotArea collapsedLevelsAreSubtotals="1" fieldPosition="0">
        <references count="1">
          <reference field="1" count="1">
            <x v="203"/>
          </reference>
        </references>
      </pivotArea>
    </format>
    <format dxfId="721">
      <pivotArea collapsedLevelsAreSubtotals="1" fieldPosition="0">
        <references count="1">
          <reference field="1" count="1">
            <x v="195"/>
          </reference>
        </references>
      </pivotArea>
    </format>
    <format dxfId="720">
      <pivotArea dataOnly="0" labelOnly="1" fieldPosition="0">
        <references count="1">
          <reference field="1" count="8">
            <x v="79"/>
            <x v="195"/>
            <x v="198"/>
            <x v="199"/>
            <x v="200"/>
            <x v="201"/>
            <x v="202"/>
            <x v="203"/>
          </reference>
        </references>
      </pivotArea>
    </format>
    <format dxfId="719">
      <pivotArea collapsedLevelsAreSubtotals="1" fieldPosition="0">
        <references count="1">
          <reference field="1" count="1">
            <x v="202"/>
          </reference>
        </references>
      </pivotArea>
    </format>
    <format dxfId="718">
      <pivotArea collapsedLevelsAreSubtotals="1" fieldPosition="0">
        <references count="1">
          <reference field="1" count="1">
            <x v="79"/>
          </reference>
        </references>
      </pivotArea>
    </format>
    <format dxfId="717">
      <pivotArea collapsedLevelsAreSubtotals="1" fieldPosition="0">
        <references count="1">
          <reference field="1" count="1">
            <x v="200"/>
          </reference>
        </references>
      </pivotArea>
    </format>
    <format dxfId="716">
      <pivotArea collapsedLevelsAreSubtotals="1" fieldPosition="0">
        <references count="1">
          <reference field="1" count="1">
            <x v="199"/>
          </reference>
        </references>
      </pivotArea>
    </format>
    <format dxfId="715">
      <pivotArea collapsedLevelsAreSubtotals="1" fieldPosition="0">
        <references count="1">
          <reference field="1" count="1">
            <x v="201"/>
          </reference>
        </references>
      </pivotArea>
    </format>
    <format dxfId="714">
      <pivotArea collapsedLevelsAreSubtotals="1" fieldPosition="0">
        <references count="1">
          <reference field="1" count="1">
            <x v="198"/>
          </reference>
        </references>
      </pivotArea>
    </format>
    <format dxfId="713">
      <pivotArea collapsedLevelsAreSubtotals="1" fieldPosition="0">
        <references count="1">
          <reference field="1" count="1">
            <x v="203"/>
          </reference>
        </references>
      </pivotArea>
    </format>
    <format dxfId="712">
      <pivotArea collapsedLevelsAreSubtotals="1" fieldPosition="0">
        <references count="1">
          <reference field="1" count="1">
            <x v="195"/>
          </reference>
        </references>
      </pivotArea>
    </format>
    <format dxfId="711">
      <pivotArea dataOnly="0" labelOnly="1" fieldPosition="0">
        <references count="1">
          <reference field="1" count="8">
            <x v="79"/>
            <x v="195"/>
            <x v="198"/>
            <x v="199"/>
            <x v="200"/>
            <x v="201"/>
            <x v="202"/>
            <x v="203"/>
          </reference>
        </references>
      </pivotArea>
    </format>
    <format dxfId="710">
      <pivotArea collapsedLevelsAreSubtotals="1" fieldPosition="0">
        <references count="1">
          <reference field="1" count="1">
            <x v="202"/>
          </reference>
        </references>
      </pivotArea>
    </format>
    <format dxfId="709">
      <pivotArea collapsedLevelsAreSubtotals="1" fieldPosition="0">
        <references count="1">
          <reference field="1" count="1">
            <x v="79"/>
          </reference>
        </references>
      </pivotArea>
    </format>
    <format dxfId="708">
      <pivotArea collapsedLevelsAreSubtotals="1" fieldPosition="0">
        <references count="1">
          <reference field="1" count="1">
            <x v="200"/>
          </reference>
        </references>
      </pivotArea>
    </format>
    <format dxfId="707">
      <pivotArea collapsedLevelsAreSubtotals="1" fieldPosition="0">
        <references count="1">
          <reference field="1" count="1">
            <x v="199"/>
          </reference>
        </references>
      </pivotArea>
    </format>
    <format dxfId="706">
      <pivotArea collapsedLevelsAreSubtotals="1" fieldPosition="0">
        <references count="1">
          <reference field="1" count="1">
            <x v="201"/>
          </reference>
        </references>
      </pivotArea>
    </format>
    <format dxfId="705">
      <pivotArea collapsedLevelsAreSubtotals="1" fieldPosition="0">
        <references count="1">
          <reference field="1" count="1">
            <x v="198"/>
          </reference>
        </references>
      </pivotArea>
    </format>
    <format dxfId="704">
      <pivotArea collapsedLevelsAreSubtotals="1" fieldPosition="0">
        <references count="1">
          <reference field="1" count="1">
            <x v="203"/>
          </reference>
        </references>
      </pivotArea>
    </format>
    <format dxfId="703">
      <pivotArea collapsedLevelsAreSubtotals="1" fieldPosition="0">
        <references count="1">
          <reference field="1" count="1">
            <x v="195"/>
          </reference>
        </references>
      </pivotArea>
    </format>
    <format dxfId="702">
      <pivotArea dataOnly="0" labelOnly="1" fieldPosition="0">
        <references count="1">
          <reference field="1" count="8">
            <x v="79"/>
            <x v="195"/>
            <x v="198"/>
            <x v="199"/>
            <x v="200"/>
            <x v="201"/>
            <x v="202"/>
            <x v="203"/>
          </reference>
        </references>
      </pivotArea>
    </format>
    <format dxfId="701">
      <pivotArea collapsedLevelsAreSubtotals="1" fieldPosition="0">
        <references count="1">
          <reference field="1" count="1">
            <x v="187"/>
          </reference>
        </references>
      </pivotArea>
    </format>
    <format dxfId="700">
      <pivotArea collapsedLevelsAreSubtotals="1" fieldPosition="0">
        <references count="1">
          <reference field="1" count="1">
            <x v="188"/>
          </reference>
        </references>
      </pivotArea>
    </format>
    <format dxfId="699">
      <pivotArea collapsedLevelsAreSubtotals="1" fieldPosition="0">
        <references count="1">
          <reference field="1" count="1">
            <x v="189"/>
          </reference>
        </references>
      </pivotArea>
    </format>
    <format dxfId="698">
      <pivotArea collapsedLevelsAreSubtotals="1" fieldPosition="0">
        <references count="1">
          <reference field="1" count="1">
            <x v="187"/>
          </reference>
        </references>
      </pivotArea>
    </format>
    <format dxfId="697">
      <pivotArea collapsedLevelsAreSubtotals="1" fieldPosition="0">
        <references count="1">
          <reference field="1" count="1">
            <x v="187"/>
          </reference>
        </references>
      </pivotArea>
    </format>
    <format dxfId="696">
      <pivotArea collapsedLevelsAreSubtotals="1" fieldPosition="0">
        <references count="1">
          <reference field="1" count="1">
            <x v="187"/>
          </reference>
        </references>
      </pivotArea>
    </format>
    <format dxfId="695">
      <pivotArea collapsedLevelsAreSubtotals="1" fieldPosition="0">
        <references count="1">
          <reference field="1" count="1">
            <x v="187"/>
          </reference>
        </references>
      </pivotArea>
    </format>
    <format dxfId="694">
      <pivotArea collapsedLevelsAreSubtotals="1" fieldPosition="0">
        <references count="1">
          <reference field="1" count="1">
            <x v="188"/>
          </reference>
        </references>
      </pivotArea>
    </format>
    <format dxfId="693">
      <pivotArea collapsedLevelsAreSubtotals="1" fieldPosition="0">
        <references count="1">
          <reference field="1" count="1">
            <x v="189"/>
          </reference>
        </references>
      </pivotArea>
    </format>
    <format dxfId="692">
      <pivotArea collapsedLevelsAreSubtotals="1" fieldPosition="0">
        <references count="1">
          <reference field="1" count="1">
            <x v="190"/>
          </reference>
        </references>
      </pivotArea>
    </format>
    <format dxfId="691">
      <pivotArea collapsedLevelsAreSubtotals="1" fieldPosition="0">
        <references count="1">
          <reference field="1" count="1">
            <x v="191"/>
          </reference>
        </references>
      </pivotArea>
    </format>
    <format dxfId="690">
      <pivotArea dataOnly="0" labelOnly="1" fieldPosition="0">
        <references count="1">
          <reference field="1" count="17">
            <x v="51"/>
            <x v="52"/>
            <x v="57"/>
            <x v="58"/>
            <x v="59"/>
            <x v="60"/>
            <x v="61"/>
            <x v="62"/>
            <x v="63"/>
            <x v="64"/>
            <x v="65"/>
            <x v="66"/>
            <x v="67"/>
            <x v="68"/>
            <x v="69"/>
            <x v="71"/>
            <x v="73"/>
          </reference>
        </references>
      </pivotArea>
    </format>
    <format dxfId="689">
      <pivotArea outline="0" collapsedLevelsAreSubtotals="1" fieldPosition="0"/>
    </format>
    <format dxfId="688">
      <pivotArea dataOnly="0" labelOnly="1" fieldPosition="0">
        <references count="1">
          <reference field="1" count="21">
            <x v="45"/>
            <x v="47"/>
            <x v="48"/>
            <x v="54"/>
            <x v="56"/>
            <x v="60"/>
            <x v="61"/>
            <x v="63"/>
            <x v="64"/>
            <x v="65"/>
            <x v="66"/>
            <x v="67"/>
            <x v="68"/>
            <x v="69"/>
            <x v="71"/>
            <x v="74"/>
            <x v="80"/>
            <x v="122"/>
            <x v="136"/>
            <x v="138"/>
            <x v="145"/>
          </reference>
        </references>
      </pivotArea>
    </format>
    <format dxfId="687">
      <pivotArea outline="0" collapsedLevelsAreSubtotals="1" fieldPosition="0"/>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682">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681">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680">
      <pivotArea dataOnly="0" labelOnly="1" grandRow="1" outline="0" fieldPosition="0"/>
    </format>
    <format dxfId="679">
      <pivotArea dataOnly="0" labelOnly="1" fieldPosition="0">
        <references count="2">
          <reference field="1" count="1" selected="0">
            <x v="46"/>
          </reference>
          <reference field="2" count="7">
            <x v="311"/>
            <x v="326"/>
            <x v="415"/>
            <x v="418"/>
            <x v="446"/>
            <x v="648"/>
            <x v="788"/>
          </reference>
        </references>
      </pivotArea>
    </format>
    <format dxfId="678">
      <pivotArea dataOnly="0" labelOnly="1" outline="0" fieldPosition="0">
        <references count="1">
          <reference field="4294967294" count="3">
            <x v="0"/>
            <x v="1"/>
            <x v="2"/>
          </reference>
        </references>
      </pivotArea>
    </format>
    <format dxfId="677">
      <pivotArea type="all" dataOnly="0" outline="0" fieldPosition="0"/>
    </format>
    <format dxfId="676">
      <pivotArea outline="0" collapsedLevelsAreSubtotals="1" fieldPosition="0"/>
    </format>
    <format dxfId="675">
      <pivotArea field="1" type="button" dataOnly="0" labelOnly="1" outline="0" axis="axisRow" fieldPosition="0"/>
    </format>
    <format dxfId="674">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67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672">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671">
      <pivotArea dataOnly="0" labelOnly="1" grandRow="1" outline="0" fieldPosition="0"/>
    </format>
    <format dxfId="670">
      <pivotArea dataOnly="0" labelOnly="1" fieldPosition="0">
        <references count="2">
          <reference field="1" count="1" selected="0">
            <x v="46"/>
          </reference>
          <reference field="2" count="7">
            <x v="311"/>
            <x v="326"/>
            <x v="415"/>
            <x v="418"/>
            <x v="446"/>
            <x v="648"/>
            <x v="788"/>
          </reference>
        </references>
      </pivotArea>
    </format>
    <format dxfId="669">
      <pivotArea dataOnly="0" labelOnly="1" outline="0" fieldPosition="0">
        <references count="1">
          <reference field="4294967294" count="3">
            <x v="0"/>
            <x v="1"/>
            <x v="2"/>
          </reference>
        </references>
      </pivotArea>
    </format>
    <format dxfId="668">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667">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666">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665">
      <pivotArea outline="0" collapsedLevelsAreSubtotals="1" fieldPosition="0"/>
    </format>
    <format dxfId="664">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663">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662">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661">
      <pivotArea dataOnly="0" labelOnly="1" grandRow="1" outline="0" fieldPosition="0"/>
    </format>
    <format dxfId="660">
      <pivotArea collapsedLevelsAreSubtotals="1" fieldPosition="0">
        <references count="1">
          <reference field="1" count="1">
            <x v="46"/>
          </reference>
        </references>
      </pivotArea>
    </format>
    <format dxfId="659">
      <pivotArea collapsedLevelsAreSubtotals="1" fieldPosition="0">
        <references count="1">
          <reference field="1" count="1">
            <x v="47"/>
          </reference>
        </references>
      </pivotArea>
    </format>
    <format dxfId="658">
      <pivotArea collapsedLevelsAreSubtotals="1" fieldPosition="0">
        <references count="1">
          <reference field="1" count="1">
            <x v="48"/>
          </reference>
        </references>
      </pivotArea>
    </format>
    <format dxfId="657">
      <pivotArea dataOnly="0" labelOnly="1" fieldPosition="0">
        <references count="1">
          <reference field="1" count="3">
            <x v="46"/>
            <x v="47"/>
            <x v="48"/>
          </reference>
        </references>
      </pivotArea>
    </format>
    <format dxfId="656">
      <pivotArea collapsedLevelsAreSubtotals="1" fieldPosition="0">
        <references count="1">
          <reference field="1" count="1">
            <x v="45"/>
          </reference>
        </references>
      </pivotArea>
    </format>
    <format dxfId="655">
      <pivotArea dataOnly="0" labelOnly="1" fieldPosition="0">
        <references count="1">
          <reference field="1" count="1">
            <x v="45"/>
          </reference>
        </references>
      </pivotArea>
    </format>
    <format dxfId="654">
      <pivotArea collapsedLevelsAreSubtotals="1" fieldPosition="0">
        <references count="1">
          <reference field="1" count="1">
            <x v="44"/>
          </reference>
        </references>
      </pivotArea>
    </format>
    <format dxfId="653">
      <pivotArea dataOnly="0" labelOnly="1" fieldPosition="0">
        <references count="1">
          <reference field="1" count="1">
            <x v="44"/>
          </reference>
        </references>
      </pivotArea>
    </format>
    <format dxfId="652">
      <pivotArea collapsedLevelsAreSubtotals="1" fieldPosition="0">
        <references count="1">
          <reference field="1" count="1">
            <x v="44"/>
          </reference>
        </references>
      </pivotArea>
    </format>
    <format dxfId="651">
      <pivotArea dataOnly="0" labelOnly="1" fieldPosition="0">
        <references count="1">
          <reference field="1" count="1">
            <x v="44"/>
          </reference>
        </references>
      </pivotArea>
    </format>
    <format dxfId="650">
      <pivotArea dataOnly="0" labelOnly="1" fieldPosition="0">
        <references count="1">
          <reference field="1" count="1">
            <x v="43"/>
          </reference>
        </references>
      </pivotArea>
    </format>
    <format dxfId="649">
      <pivotArea dataOnly="0" labelOnly="1" fieldPosition="0">
        <references count="1">
          <reference field="1" count="1">
            <x v="42"/>
          </reference>
        </references>
      </pivotArea>
    </format>
    <format dxfId="648">
      <pivotArea collapsedLevelsAreSubtotals="1" fieldPosition="0">
        <references count="1">
          <reference field="1" count="1">
            <x v="42"/>
          </reference>
        </references>
      </pivotArea>
    </format>
    <format dxfId="647">
      <pivotArea collapsedLevelsAreSubtotals="1" fieldPosition="0">
        <references count="1">
          <reference field="1" count="1">
            <x v="43"/>
          </reference>
        </references>
      </pivotArea>
    </format>
    <format dxfId="646">
      <pivotArea collapsedLevelsAreSubtotals="1" fieldPosition="0">
        <references count="1">
          <reference field="1" count="1">
            <x v="40"/>
          </reference>
        </references>
      </pivotArea>
    </format>
    <format dxfId="645">
      <pivotArea collapsedLevelsAreSubtotals="1" fieldPosition="0">
        <references count="1">
          <reference field="1" count="1">
            <x v="41"/>
          </reference>
        </references>
      </pivotArea>
    </format>
    <format dxfId="644">
      <pivotArea dataOnly="0" labelOnly="1" fieldPosition="0">
        <references count="1">
          <reference field="1" count="2">
            <x v="40"/>
            <x v="41"/>
          </reference>
        </references>
      </pivotArea>
    </format>
    <format dxfId="643">
      <pivotArea dataOnly="0" labelOnly="1" fieldPosition="0">
        <references count="1">
          <reference field="1" count="2">
            <x v="205"/>
            <x v="206"/>
          </reference>
        </references>
      </pivotArea>
    </format>
    <format dxfId="642">
      <pivotArea dataOnly="0" labelOnly="1" fieldPosition="0">
        <references count="1">
          <reference field="1" count="3">
            <x v="37"/>
            <x v="38"/>
            <x v="39"/>
          </reference>
        </references>
      </pivotArea>
    </format>
    <format dxfId="641">
      <pivotArea collapsedLevelsAreSubtotals="1" fieldPosition="0">
        <references count="1">
          <reference field="1" count="1">
            <x v="37"/>
          </reference>
        </references>
      </pivotArea>
    </format>
    <format dxfId="640">
      <pivotArea collapsedLevelsAreSubtotals="1" fieldPosition="0">
        <references count="1">
          <reference field="1" count="1">
            <x v="38"/>
          </reference>
        </references>
      </pivotArea>
    </format>
    <format dxfId="639">
      <pivotArea collapsedLevelsAreSubtotals="1" fieldPosition="0">
        <references count="1">
          <reference field="1" count="1">
            <x v="39"/>
          </reference>
        </references>
      </pivotArea>
    </format>
    <format dxfId="638">
      <pivotArea collapsedLevelsAreSubtotals="1" fieldPosition="0">
        <references count="1">
          <reference field="1" count="1">
            <x v="35"/>
          </reference>
        </references>
      </pivotArea>
    </format>
    <format dxfId="637">
      <pivotArea collapsedLevelsAreSubtotals="1" fieldPosition="0">
        <references count="1">
          <reference field="1" count="1">
            <x v="36"/>
          </reference>
        </references>
      </pivotArea>
    </format>
    <format dxfId="636">
      <pivotArea dataOnly="0" labelOnly="1" fieldPosition="0">
        <references count="1">
          <reference field="1" count="2">
            <x v="35"/>
            <x v="36"/>
          </reference>
        </references>
      </pivotArea>
    </format>
    <format dxfId="635">
      <pivotArea collapsedLevelsAreSubtotals="1" fieldPosition="0">
        <references count="1">
          <reference field="1" count="1">
            <x v="33"/>
          </reference>
        </references>
      </pivotArea>
    </format>
    <format dxfId="634">
      <pivotArea collapsedLevelsAreSubtotals="1" fieldPosition="0">
        <references count="1">
          <reference field="1" count="1">
            <x v="34"/>
          </reference>
        </references>
      </pivotArea>
    </format>
    <format dxfId="633">
      <pivotArea dataOnly="0" labelOnly="1" fieldPosition="0">
        <references count="1">
          <reference field="1" count="2">
            <x v="33"/>
            <x v="34"/>
          </reference>
        </references>
      </pivotArea>
    </format>
    <format dxfId="632">
      <pivotArea collapsedLevelsAreSubtotals="1" fieldPosition="0">
        <references count="1">
          <reference field="1" count="1">
            <x v="32"/>
          </reference>
        </references>
      </pivotArea>
    </format>
    <format dxfId="631">
      <pivotArea dataOnly="0" labelOnly="1" fieldPosition="0">
        <references count="1">
          <reference field="1" count="1">
            <x v="32"/>
          </reference>
        </references>
      </pivotArea>
    </format>
    <format dxfId="630">
      <pivotArea collapsedLevelsAreSubtotals="1" fieldPosition="0">
        <references count="1">
          <reference field="1" count="1">
            <x v="31"/>
          </reference>
        </references>
      </pivotArea>
    </format>
    <format dxfId="629">
      <pivotArea dataOnly="0" labelOnly="1" fieldPosition="0">
        <references count="1">
          <reference field="1" count="1">
            <x v="31"/>
          </reference>
        </references>
      </pivotArea>
    </format>
    <format dxfId="628">
      <pivotArea collapsedLevelsAreSubtotals="1" fieldPosition="0">
        <references count="1">
          <reference field="1" count="1">
            <x v="29"/>
          </reference>
        </references>
      </pivotArea>
    </format>
    <format dxfId="627">
      <pivotArea collapsedLevelsAreSubtotals="1" fieldPosition="0">
        <references count="1">
          <reference field="1" count="1">
            <x v="30"/>
          </reference>
        </references>
      </pivotArea>
    </format>
    <format dxfId="626">
      <pivotArea dataOnly="0" labelOnly="1" fieldPosition="0">
        <references count="1">
          <reference field="1" count="2">
            <x v="29"/>
            <x v="30"/>
          </reference>
        </references>
      </pivotArea>
    </format>
    <format dxfId="625">
      <pivotArea collapsedLevelsAreSubtotals="1" fieldPosition="0">
        <references count="1">
          <reference field="1" count="1">
            <x v="28"/>
          </reference>
        </references>
      </pivotArea>
    </format>
    <format dxfId="624">
      <pivotArea dataOnly="0" labelOnly="1" fieldPosition="0">
        <references count="1">
          <reference field="1" count="1">
            <x v="28"/>
          </reference>
        </references>
      </pivotArea>
    </format>
    <format dxfId="623">
      <pivotArea collapsedLevelsAreSubtotals="1" fieldPosition="0">
        <references count="1">
          <reference field="1" count="1">
            <x v="27"/>
          </reference>
        </references>
      </pivotArea>
    </format>
    <format dxfId="622">
      <pivotArea dataOnly="0" labelOnly="1" fieldPosition="0">
        <references count="1">
          <reference field="1" count="1">
            <x v="27"/>
          </reference>
        </references>
      </pivotArea>
    </format>
    <format dxfId="621">
      <pivotArea collapsedLevelsAreSubtotals="1" fieldPosition="0">
        <references count="1">
          <reference field="1" count="1">
            <x v="25"/>
          </reference>
        </references>
      </pivotArea>
    </format>
    <format dxfId="620">
      <pivotArea collapsedLevelsAreSubtotals="1" fieldPosition="0">
        <references count="1">
          <reference field="1" count="1">
            <x v="26"/>
          </reference>
        </references>
      </pivotArea>
    </format>
    <format dxfId="619">
      <pivotArea dataOnly="0" labelOnly="1" fieldPosition="0">
        <references count="1">
          <reference field="1" count="2">
            <x v="25"/>
            <x v="26"/>
          </reference>
        </references>
      </pivotArea>
    </format>
    <format dxfId="618">
      <pivotArea collapsedLevelsAreSubtotals="1" fieldPosition="0">
        <references count="1">
          <reference field="1" count="1">
            <x v="24"/>
          </reference>
        </references>
      </pivotArea>
    </format>
    <format dxfId="617">
      <pivotArea dataOnly="0" labelOnly="1" fieldPosition="0">
        <references count="1">
          <reference field="1" count="1">
            <x v="24"/>
          </reference>
        </references>
      </pivotArea>
    </format>
    <format dxfId="616">
      <pivotArea collapsedLevelsAreSubtotals="1" fieldPosition="0">
        <references count="1">
          <reference field="1" count="1">
            <x v="209"/>
          </reference>
        </references>
      </pivotArea>
    </format>
    <format dxfId="615">
      <pivotArea collapsedLevelsAreSubtotals="1" fieldPosition="0">
        <references count="1">
          <reference field="1" count="1">
            <x v="21"/>
          </reference>
        </references>
      </pivotArea>
    </format>
    <format dxfId="614">
      <pivotArea collapsedLevelsAreSubtotals="1" fieldPosition="0">
        <references count="1">
          <reference field="1" count="1">
            <x v="219"/>
          </reference>
        </references>
      </pivotArea>
    </format>
    <format dxfId="613">
      <pivotArea dataOnly="0" labelOnly="1" fieldPosition="0">
        <references count="1">
          <reference field="1" count="3">
            <x v="21"/>
            <x v="209"/>
            <x v="219"/>
          </reference>
        </references>
      </pivotArea>
    </format>
    <format dxfId="612">
      <pivotArea collapsedLevelsAreSubtotals="1" fieldPosition="0">
        <references count="1">
          <reference field="1" count="1">
            <x v="23"/>
          </reference>
        </references>
      </pivotArea>
    </format>
    <format dxfId="611">
      <pivotArea dataOnly="0" labelOnly="1" fieldPosition="0">
        <references count="1">
          <reference field="1" count="1">
            <x v="23"/>
          </reference>
        </references>
      </pivotArea>
    </format>
    <format dxfId="610">
      <pivotArea collapsedLevelsAreSubtotals="1" fieldPosition="0">
        <references count="1">
          <reference field="1" count="1">
            <x v="21"/>
          </reference>
        </references>
      </pivotArea>
    </format>
    <format dxfId="609">
      <pivotArea collapsedLevelsAreSubtotals="1" fieldPosition="0">
        <references count="1">
          <reference field="1" count="1">
            <x v="22"/>
          </reference>
        </references>
      </pivotArea>
    </format>
    <format dxfId="608">
      <pivotArea dataOnly="0" labelOnly="1" fieldPosition="0">
        <references count="1">
          <reference field="1" count="2">
            <x v="21"/>
            <x v="22"/>
          </reference>
        </references>
      </pivotArea>
    </format>
    <format dxfId="607">
      <pivotArea dataOnly="0" labelOnly="1" fieldPosition="0">
        <references count="1">
          <reference field="1" count="1">
            <x v="22"/>
          </reference>
        </references>
      </pivotArea>
    </format>
    <format dxfId="606">
      <pivotArea collapsedLevelsAreSubtotals="1" fieldPosition="0">
        <references count="1">
          <reference field="1" count="1">
            <x v="20"/>
          </reference>
        </references>
      </pivotArea>
    </format>
    <format dxfId="605">
      <pivotArea dataOnly="0" labelOnly="1" fieldPosition="0">
        <references count="1">
          <reference field="1" count="1">
            <x v="20"/>
          </reference>
        </references>
      </pivotArea>
    </format>
    <format dxfId="604">
      <pivotArea collapsedLevelsAreSubtotals="1" fieldPosition="0">
        <references count="1">
          <reference field="1" count="1">
            <x v="18"/>
          </reference>
        </references>
      </pivotArea>
    </format>
    <format dxfId="603">
      <pivotArea dataOnly="0" labelOnly="1" fieldPosition="0">
        <references count="1">
          <reference field="1" count="1">
            <x v="18"/>
          </reference>
        </references>
      </pivotArea>
    </format>
    <format dxfId="602">
      <pivotArea collapsedLevelsAreSubtotals="1" fieldPosition="0">
        <references count="1">
          <reference field="1" count="1">
            <x v="19"/>
          </reference>
        </references>
      </pivotArea>
    </format>
    <format dxfId="601">
      <pivotArea dataOnly="0" labelOnly="1" fieldPosition="0">
        <references count="1">
          <reference field="1" count="1">
            <x v="19"/>
          </reference>
        </references>
      </pivotArea>
    </format>
    <format dxfId="600">
      <pivotArea dataOnly="0" labelOnly="1" fieldPosition="0">
        <references count="1">
          <reference field="1" count="1">
            <x v="17"/>
          </reference>
        </references>
      </pivotArea>
    </format>
    <format dxfId="599">
      <pivotArea collapsedLevelsAreSubtotals="1" fieldPosition="0">
        <references count="1">
          <reference field="1" count="1">
            <x v="17"/>
          </reference>
        </references>
      </pivotArea>
    </format>
    <format dxfId="598">
      <pivotArea collapsedLevelsAreSubtotals="1" fieldPosition="0">
        <references count="1">
          <reference field="1" count="1">
            <x v="18"/>
          </reference>
        </references>
      </pivotArea>
    </format>
    <format dxfId="597">
      <pivotArea dataOnly="0" labelOnly="1" fieldPosition="0">
        <references count="1">
          <reference field="1" count="2">
            <x v="17"/>
            <x v="18"/>
          </reference>
        </references>
      </pivotArea>
    </format>
    <format dxfId="596">
      <pivotArea collapsedLevelsAreSubtotals="1" fieldPosition="0">
        <references count="1">
          <reference field="1" count="1">
            <x v="16"/>
          </reference>
        </references>
      </pivotArea>
    </format>
    <format dxfId="595">
      <pivotArea dataOnly="0" labelOnly="1" fieldPosition="0">
        <references count="1">
          <reference field="1" count="1">
            <x v="16"/>
          </reference>
        </references>
      </pivotArea>
    </format>
    <format dxfId="594">
      <pivotArea collapsedLevelsAreSubtotals="1" fieldPosition="0">
        <references count="1">
          <reference field="1" count="1">
            <x v="14"/>
          </reference>
        </references>
      </pivotArea>
    </format>
    <format dxfId="593">
      <pivotArea collapsedLevelsAreSubtotals="1" fieldPosition="0">
        <references count="1">
          <reference field="1" count="1">
            <x v="15"/>
          </reference>
        </references>
      </pivotArea>
    </format>
    <format dxfId="592">
      <pivotArea dataOnly="0" labelOnly="1" fieldPosition="0">
        <references count="1">
          <reference field="1" count="2">
            <x v="14"/>
            <x v="15"/>
          </reference>
        </references>
      </pivotArea>
    </format>
    <format dxfId="591">
      <pivotArea collapsedLevelsAreSubtotals="1" fieldPosition="0">
        <references count="1">
          <reference field="1" count="1">
            <x v="13"/>
          </reference>
        </references>
      </pivotArea>
    </format>
    <format dxfId="590">
      <pivotArea dataOnly="0" labelOnly="1" fieldPosition="0">
        <references count="1">
          <reference field="1" count="1">
            <x v="13"/>
          </reference>
        </references>
      </pivotArea>
    </format>
    <format dxfId="589">
      <pivotArea collapsedLevelsAreSubtotals="1" fieldPosition="0">
        <references count="1">
          <reference field="1" count="1">
            <x v="12"/>
          </reference>
        </references>
      </pivotArea>
    </format>
    <format dxfId="588">
      <pivotArea dataOnly="0" labelOnly="1" fieldPosition="0">
        <references count="1">
          <reference field="1" count="1">
            <x v="12"/>
          </reference>
        </references>
      </pivotArea>
    </format>
    <format dxfId="587">
      <pivotArea collapsedLevelsAreSubtotals="1" fieldPosition="0">
        <references count="1">
          <reference field="1" count="1">
            <x v="10"/>
          </reference>
        </references>
      </pivotArea>
    </format>
    <format dxfId="586">
      <pivotArea collapsedLevelsAreSubtotals="1" fieldPosition="0">
        <references count="1">
          <reference field="1" count="1">
            <x v="11"/>
          </reference>
        </references>
      </pivotArea>
    </format>
    <format dxfId="585">
      <pivotArea dataOnly="0" labelOnly="1" fieldPosition="0">
        <references count="1">
          <reference field="1" count="2">
            <x v="10"/>
            <x v="11"/>
          </reference>
        </references>
      </pivotArea>
    </format>
    <format dxfId="584">
      <pivotArea collapsedLevelsAreSubtotals="1" fieldPosition="0">
        <references count="1">
          <reference field="1" count="1">
            <x v="228"/>
          </reference>
        </references>
      </pivotArea>
    </format>
    <format dxfId="583">
      <pivotArea dataOnly="0" labelOnly="1" fieldPosition="0">
        <references count="1">
          <reference field="1" count="1">
            <x v="228"/>
          </reference>
        </references>
      </pivotArea>
    </format>
    <format dxfId="582">
      <pivotArea collapsedLevelsAreSubtotals="1" fieldPosition="0">
        <references count="1">
          <reference field="1" count="1">
            <x v="6"/>
          </reference>
        </references>
      </pivotArea>
    </format>
    <format dxfId="581">
      <pivotArea collapsedLevelsAreSubtotals="1" fieldPosition="0">
        <references count="1">
          <reference field="1" count="1">
            <x v="7"/>
          </reference>
        </references>
      </pivotArea>
    </format>
    <format dxfId="580">
      <pivotArea collapsedLevelsAreSubtotals="1" fieldPosition="0">
        <references count="1">
          <reference field="1" count="1">
            <x v="8"/>
          </reference>
        </references>
      </pivotArea>
    </format>
    <format dxfId="579">
      <pivotArea collapsedLevelsAreSubtotals="1" fieldPosition="0">
        <references count="1">
          <reference field="1" count="1">
            <x v="9"/>
          </reference>
        </references>
      </pivotArea>
    </format>
    <format dxfId="578">
      <pivotArea dataOnly="0" labelOnly="1" fieldPosition="0">
        <references count="1">
          <reference field="1" count="4">
            <x v="6"/>
            <x v="7"/>
            <x v="8"/>
            <x v="9"/>
          </reference>
        </references>
      </pivotArea>
    </format>
    <format dxfId="577">
      <pivotArea collapsedLevelsAreSubtotals="1" fieldPosition="0">
        <references count="1">
          <reference field="1" count="1">
            <x v="5"/>
          </reference>
        </references>
      </pivotArea>
    </format>
    <format dxfId="576">
      <pivotArea dataOnly="0" labelOnly="1" fieldPosition="0">
        <references count="1">
          <reference field="1" count="1">
            <x v="5"/>
          </reference>
        </references>
      </pivotArea>
    </format>
    <format dxfId="575">
      <pivotArea collapsedLevelsAreSubtotals="1" fieldPosition="0">
        <references count="1">
          <reference field="1" count="1">
            <x v="1"/>
          </reference>
        </references>
      </pivotArea>
    </format>
    <format dxfId="574">
      <pivotArea collapsedLevelsAreSubtotals="1" fieldPosition="0">
        <references count="1">
          <reference field="1" count="1">
            <x v="2"/>
          </reference>
        </references>
      </pivotArea>
    </format>
    <format dxfId="573">
      <pivotArea collapsedLevelsAreSubtotals="1" fieldPosition="0">
        <references count="1">
          <reference field="1" count="1">
            <x v="3"/>
          </reference>
        </references>
      </pivotArea>
    </format>
    <format dxfId="572">
      <pivotArea collapsedLevelsAreSubtotals="1" fieldPosition="0">
        <references count="1">
          <reference field="1" count="1">
            <x v="4"/>
          </reference>
        </references>
      </pivotArea>
    </format>
    <format dxfId="571">
      <pivotArea dataOnly="0" labelOnly="1" fieldPosition="0">
        <references count="1">
          <reference field="1" count="4">
            <x v="1"/>
            <x v="2"/>
            <x v="3"/>
            <x v="4"/>
          </reference>
        </references>
      </pivotArea>
    </format>
    <format dxfId="570">
      <pivotArea collapsedLevelsAreSubtotals="1" fieldPosition="0">
        <references count="1">
          <reference field="1" count="1">
            <x v="0"/>
          </reference>
        </references>
      </pivotArea>
    </format>
    <format dxfId="5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56">
        <item x="0"/>
        <item x="1"/>
        <item x="2"/>
        <item x="4"/>
        <item x="5"/>
        <item x="7"/>
        <item x="8"/>
        <item x="9"/>
        <item x="10"/>
        <item x="11"/>
        <item x="12"/>
        <item m="1" x="1211"/>
        <item x="13"/>
        <item x="14"/>
        <item x="15"/>
        <item x="17"/>
        <item x="19"/>
        <item x="3"/>
        <item x="6"/>
        <item x="18"/>
        <item x="16"/>
        <item m="1" x="1213"/>
        <item m="1" x="1212"/>
        <item x="22"/>
        <item x="20"/>
        <item x="24"/>
        <item m="1" x="1214"/>
        <item x="25"/>
        <item x="21"/>
        <item x="29"/>
        <item m="1" x="1215"/>
        <item x="23"/>
        <item x="40"/>
        <item x="26"/>
        <item x="30"/>
        <item x="36"/>
        <item x="27"/>
        <item x="28"/>
        <item x="39"/>
        <item x="31"/>
        <item x="32"/>
        <item x="33"/>
        <item m="1" x="1216"/>
        <item x="38"/>
        <item m="1" x="1217"/>
        <item m="1" x="1218"/>
        <item x="45"/>
        <item x="35"/>
        <item x="41"/>
        <item x="34"/>
        <item x="37"/>
        <item x="61"/>
        <item x="43"/>
        <item m="1" x="1220"/>
        <item x="42"/>
        <item x="48"/>
        <item x="44"/>
        <item m="1" x="1219"/>
        <item x="51"/>
        <item x="46"/>
        <item x="47"/>
        <item x="53"/>
        <item m="1" x="1221"/>
        <item x="54"/>
        <item x="57"/>
        <item x="50"/>
        <item x="49"/>
        <item m="1" x="1222"/>
        <item x="52"/>
        <item m="1" x="1223"/>
        <item x="55"/>
        <item x="56"/>
        <item x="63"/>
        <item x="58"/>
        <item x="59"/>
        <item x="60"/>
        <item x="62"/>
        <item x="64"/>
        <item x="65"/>
        <item x="66"/>
        <item x="67"/>
        <item x="68"/>
        <item x="69"/>
        <item m="1" x="1224"/>
        <item m="1" x="1225"/>
        <item x="70"/>
        <item x="71"/>
        <item x="77"/>
        <item m="1" x="1226"/>
        <item m="1" x="1227"/>
        <item m="1" x="1228"/>
        <item x="72"/>
        <item x="73"/>
        <item x="74"/>
        <item x="75"/>
        <item x="76"/>
        <item x="78"/>
        <item x="79"/>
        <item x="80"/>
        <item m="1" x="1229"/>
        <item x="88"/>
        <item x="81"/>
        <item m="1" x="1230"/>
        <item x="82"/>
        <item x="83"/>
        <item x="84"/>
        <item x="85"/>
        <item x="86"/>
        <item x="87"/>
        <item x="89"/>
        <item x="90"/>
        <item x="91"/>
        <item x="92"/>
        <item m="1" x="1231"/>
        <item x="93"/>
        <item x="94"/>
        <item x="95"/>
        <item x="96"/>
        <item m="1" x="1232"/>
        <item x="97"/>
        <item m="1" x="1233"/>
        <item x="98"/>
        <item x="105"/>
        <item x="99"/>
        <item x="110"/>
        <item x="100"/>
        <item x="101"/>
        <item x="102"/>
        <item x="103"/>
        <item x="104"/>
        <item x="106"/>
        <item x="107"/>
        <item x="108"/>
        <item x="109"/>
        <item x="111"/>
        <item x="112"/>
        <item m="1" x="123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5"/>
        <item m="1" x="1236"/>
        <item x="141"/>
        <item x="167"/>
        <item x="146"/>
        <item x="143"/>
        <item x="191"/>
        <item x="144"/>
        <item m="1" x="123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8"/>
        <item x="179"/>
        <item x="180"/>
        <item x="181"/>
        <item x="182"/>
        <item x="142"/>
        <item x="155"/>
        <item x="169"/>
        <item x="183"/>
        <item x="185"/>
        <item x="217"/>
        <item m="1" x="1239"/>
        <item x="187"/>
        <item x="186"/>
        <item x="188"/>
        <item x="189"/>
        <item x="192"/>
        <item x="193"/>
        <item x="194"/>
        <item x="195"/>
        <item x="196"/>
        <item x="197"/>
        <item x="198"/>
        <item x="200"/>
        <item x="201"/>
        <item x="202"/>
        <item m="1" x="1319"/>
        <item m="1" x="1320"/>
        <item m="1" x="1344"/>
        <item m="1" x="1273"/>
        <item x="205"/>
        <item x="203"/>
        <item x="204"/>
        <item x="206"/>
        <item x="207"/>
        <item x="184"/>
        <item x="208"/>
        <item x="209"/>
        <item x="210"/>
        <item x="211"/>
        <item x="212"/>
        <item m="1" x="1274"/>
        <item m="1" x="1275"/>
        <item m="1" x="1276"/>
        <item m="1" x="1277"/>
        <item x="223"/>
        <item x="213"/>
        <item x="214"/>
        <item x="215"/>
        <item x="216"/>
        <item x="218"/>
        <item m="1" x="1345"/>
        <item x="219"/>
        <item x="220"/>
        <item x="221"/>
        <item m="1" x="1240"/>
        <item m="1" x="1241"/>
        <item x="222"/>
        <item x="224"/>
        <item x="225"/>
        <item x="229"/>
        <item x="230"/>
        <item x="231"/>
        <item x="232"/>
        <item x="233"/>
        <item x="234"/>
        <item x="235"/>
        <item x="236"/>
        <item x="242"/>
        <item x="237"/>
        <item x="238"/>
        <item x="239"/>
        <item x="240"/>
        <item x="241"/>
        <item x="243"/>
        <item x="244"/>
        <item m="1" x="1242"/>
        <item x="245"/>
        <item x="246"/>
        <item m="1" x="133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8"/>
        <item x="374"/>
        <item x="115"/>
        <item x="280"/>
        <item x="281"/>
        <item x="227"/>
        <item m="1" x="1243"/>
        <item x="282"/>
        <item x="283"/>
        <item m="1" x="1333"/>
        <item x="284"/>
        <item x="285"/>
        <item x="286"/>
        <item x="287"/>
        <item x="288"/>
        <item x="289"/>
        <item x="136"/>
        <item x="290"/>
        <item x="291"/>
        <item x="292"/>
        <item x="293"/>
        <item x="294"/>
        <item x="295"/>
        <item x="296"/>
        <item x="297"/>
        <item x="371"/>
        <item x="298"/>
        <item x="299"/>
        <item x="300"/>
        <item x="301"/>
        <item x="302"/>
        <item m="1" x="1338"/>
        <item x="304"/>
        <item x="303"/>
        <item x="305"/>
        <item m="1" x="1329"/>
        <item x="313"/>
        <item x="310"/>
        <item x="309"/>
        <item m="1" x="1351"/>
        <item x="306"/>
        <item x="312"/>
        <item x="307"/>
        <item x="308"/>
        <item x="228"/>
        <item x="311"/>
        <item x="314"/>
        <item x="315"/>
        <item x="316"/>
        <item x="317"/>
        <item x="322"/>
        <item x="318"/>
        <item x="319"/>
        <item x="321"/>
        <item x="320"/>
        <item x="323"/>
        <item x="324"/>
        <item x="325"/>
        <item x="326"/>
        <item x="327"/>
        <item x="328"/>
        <item x="329"/>
        <item m="1" x="1279"/>
        <item x="330"/>
        <item x="331"/>
        <item x="332"/>
        <item x="333"/>
        <item x="334"/>
        <item x="335"/>
        <item m="1" x="1269"/>
        <item m="1" x="1270"/>
        <item m="1" x="1271"/>
        <item m="1" x="1272"/>
        <item m="1" x="1332"/>
        <item x="337"/>
        <item x="336"/>
        <item x="338"/>
        <item x="339"/>
        <item x="340"/>
        <item x="352"/>
        <item x="341"/>
        <item x="342"/>
        <item x="343"/>
        <item m="1" x="1244"/>
        <item x="344"/>
        <item x="345"/>
        <item x="346"/>
        <item x="347"/>
        <item x="362"/>
        <item x="348"/>
        <item x="349"/>
        <item x="350"/>
        <item x="351"/>
        <item x="356"/>
        <item x="353"/>
        <item x="355"/>
        <item x="354"/>
        <item x="372"/>
        <item x="363"/>
        <item x="357"/>
        <item x="358"/>
        <item x="359"/>
        <item x="360"/>
        <item x="361"/>
        <item m="1" x="1245"/>
        <item x="364"/>
        <item x="365"/>
        <item x="366"/>
        <item x="367"/>
        <item x="368"/>
        <item x="369"/>
        <item x="370"/>
        <item m="1" x="1246"/>
        <item m="1" x="1339"/>
        <item m="1" x="1340"/>
        <item x="373"/>
        <item x="375"/>
        <item m="1" x="1247"/>
        <item x="379"/>
        <item x="382"/>
        <item x="376"/>
        <item x="377"/>
        <item x="378"/>
        <item m="1" x="1248"/>
        <item x="380"/>
        <item x="381"/>
        <item x="383"/>
        <item x="384"/>
        <item x="385"/>
        <item x="386"/>
        <item m="1" x="1346"/>
        <item m="1" x="1341"/>
        <item x="387"/>
        <item x="388"/>
        <item x="389"/>
        <item m="1" x="1249"/>
        <item m="1" x="1250"/>
        <item x="390"/>
        <item x="391"/>
        <item x="394"/>
        <item x="392"/>
        <item x="393"/>
        <item x="395"/>
        <item x="396"/>
        <item x="397"/>
        <item x="398"/>
        <item x="399"/>
        <item x="400"/>
        <item m="1" x="1251"/>
        <item x="401"/>
        <item x="402"/>
        <item x="403"/>
        <item x="404"/>
        <item x="405"/>
        <item x="406"/>
        <item m="1" x="1252"/>
        <item x="407"/>
        <item x="408"/>
        <item x="410"/>
        <item x="411"/>
        <item x="412"/>
        <item x="413"/>
        <item m="1" x="1280"/>
        <item x="414"/>
        <item x="415"/>
        <item x="416"/>
        <item x="409"/>
        <item x="417"/>
        <item m="1" x="1353"/>
        <item x="422"/>
        <item m="1" x="1324"/>
        <item x="418"/>
        <item x="419"/>
        <item x="421"/>
        <item m="1" x="1347"/>
        <item x="420"/>
        <item m="1" x="1281"/>
        <item x="423"/>
        <item x="424"/>
        <item x="425"/>
        <item x="426"/>
        <item x="427"/>
        <item x="428"/>
        <item x="429"/>
        <item x="430"/>
        <item x="431"/>
        <item x="432"/>
        <item x="433"/>
        <item x="434"/>
        <item x="435"/>
        <item x="436"/>
        <item x="437"/>
        <item x="438"/>
        <item x="439"/>
        <item x="440"/>
        <item x="441"/>
        <item x="442"/>
        <item x="443"/>
        <item x="444"/>
        <item m="1" x="1335"/>
        <item x="445"/>
        <item x="446"/>
        <item x="447"/>
        <item m="1" x="1334"/>
        <item x="448"/>
        <item m="1" x="1337"/>
        <item x="449"/>
        <item m="1" x="1349"/>
        <item x="450"/>
        <item x="451"/>
        <item m="1" x="1253"/>
        <item x="452"/>
        <item x="453"/>
        <item x="454"/>
        <item x="455"/>
        <item x="456"/>
        <item m="1" x="1282"/>
        <item x="457"/>
        <item x="458"/>
        <item x="459"/>
        <item x="460"/>
        <item x="461"/>
        <item x="462"/>
        <item x="463"/>
        <item m="1" x="1254"/>
        <item x="464"/>
        <item x="465"/>
        <item x="466"/>
        <item x="467"/>
        <item x="468"/>
        <item x="469"/>
        <item x="470"/>
        <item x="471"/>
        <item x="472"/>
        <item x="473"/>
        <item m="1" x="1303"/>
        <item x="474"/>
        <item x="475"/>
        <item x="476"/>
        <item x="477"/>
        <item x="478"/>
        <item m="1" x="1304"/>
        <item x="479"/>
        <item x="480"/>
        <item x="481"/>
        <item x="482"/>
        <item m="1" x="1283"/>
        <item x="483"/>
        <item x="484"/>
        <item x="485"/>
        <item x="486"/>
        <item x="487"/>
        <item x="488"/>
        <item x="489"/>
        <item x="490"/>
        <item x="491"/>
        <item x="492"/>
        <item x="493"/>
        <item x="494"/>
        <item x="495"/>
        <item x="496"/>
        <item x="497"/>
        <item m="1" x="1264"/>
        <item x="499"/>
        <item x="498"/>
        <item x="500"/>
        <item x="501"/>
        <item x="502"/>
        <item x="503"/>
        <item x="504"/>
        <item m="1" x="1265"/>
        <item x="506"/>
        <item x="507"/>
        <item x="508"/>
        <item x="509"/>
        <item x="510"/>
        <item x="511"/>
        <item x="512"/>
        <item m="1" x="1284"/>
        <item m="1" x="1285"/>
        <item m="1" x="1286"/>
        <item m="1" x="1287"/>
        <item m="1" x="1288"/>
        <item x="513"/>
        <item x="514"/>
        <item x="515"/>
        <item x="516"/>
        <item x="517"/>
        <item x="518"/>
        <item x="519"/>
        <item x="520"/>
        <item x="521"/>
        <item x="522"/>
        <item x="523"/>
        <item x="524"/>
        <item x="525"/>
        <item x="526"/>
        <item x="527"/>
        <item x="528"/>
        <item x="529"/>
        <item x="530"/>
        <item x="531"/>
        <item x="532"/>
        <item x="533"/>
        <item m="1" x="1289"/>
        <item x="539"/>
        <item x="534"/>
        <item x="535"/>
        <item x="536"/>
        <item x="537"/>
        <item x="538"/>
        <item x="543"/>
        <item x="540"/>
        <item x="541"/>
        <item x="542"/>
        <item x="544"/>
        <item x="545"/>
        <item x="546"/>
        <item x="547"/>
        <item x="548"/>
        <item x="550"/>
        <item x="551"/>
        <item x="552"/>
        <item x="553"/>
        <item x="554"/>
        <item x="555"/>
        <item x="556"/>
        <item m="1" x="130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6"/>
        <item x="608"/>
        <item x="612"/>
        <item x="613"/>
        <item x="614"/>
        <item x="615"/>
        <item x="609"/>
        <item x="610"/>
        <item x="611"/>
        <item x="616"/>
        <item x="617"/>
        <item m="1" x="1307"/>
        <item x="618"/>
        <item x="619"/>
        <item m="1" x="1308"/>
        <item x="620"/>
        <item x="621"/>
        <item x="622"/>
        <item m="1" x="1309"/>
        <item x="623"/>
        <item m="1" x="1310"/>
        <item x="625"/>
        <item x="624"/>
        <item x="626"/>
        <item x="628"/>
        <item x="630"/>
        <item x="631"/>
        <item x="632"/>
        <item x="633"/>
        <item x="634"/>
        <item x="635"/>
        <item m="1" x="1290"/>
        <item x="649"/>
        <item x="636"/>
        <item m="1" x="1266"/>
        <item m="1" x="1291"/>
        <item x="637"/>
        <item x="638"/>
        <item x="627"/>
        <item x="642"/>
        <item x="643"/>
        <item x="644"/>
        <item m="1" x="1292"/>
        <item x="629"/>
        <item x="645"/>
        <item x="646"/>
        <item x="647"/>
        <item m="1" x="1255"/>
        <item x="648"/>
        <item x="650"/>
        <item x="651"/>
        <item x="641"/>
        <item x="652"/>
        <item x="653"/>
        <item m="1" x="1343"/>
        <item x="654"/>
        <item m="1" x="1311"/>
        <item m="1" x="1312"/>
        <item m="1" x="1293"/>
        <item x="655"/>
        <item m="1" x="1294"/>
        <item x="656"/>
        <item x="657"/>
        <item x="658"/>
        <item x="659"/>
        <item x="660"/>
        <item x="640"/>
        <item x="661"/>
        <item x="663"/>
        <item x="666"/>
        <item x="664"/>
        <item x="665"/>
        <item x="639"/>
        <item x="662"/>
        <item x="667"/>
        <item x="668"/>
        <item x="669"/>
        <item x="670"/>
        <item x="671"/>
        <item x="672"/>
        <item x="673"/>
        <item x="674"/>
        <item x="675"/>
        <item m="1" x="1256"/>
        <item x="676"/>
        <item m="1" x="1257"/>
        <item x="680"/>
        <item x="677"/>
        <item x="678"/>
        <item x="679"/>
        <item x="681"/>
        <item m="1" x="1326"/>
        <item x="683"/>
        <item x="682"/>
        <item x="684"/>
        <item x="685"/>
        <item x="686"/>
        <item x="687"/>
        <item x="688"/>
        <item x="689"/>
        <item x="698"/>
        <item x="690"/>
        <item x="691"/>
        <item x="692"/>
        <item x="706"/>
        <item x="701"/>
        <item x="693"/>
        <item x="694"/>
        <item x="695"/>
        <item m="1" x="1328"/>
        <item x="696"/>
        <item x="697"/>
        <item x="699"/>
        <item x="700"/>
        <item x="702"/>
        <item m="1" x="1260"/>
        <item x="703"/>
        <item x="707"/>
        <item x="704"/>
        <item x="705"/>
        <item x="708"/>
        <item x="718"/>
        <item x="710"/>
        <item x="711"/>
        <item x="712"/>
        <item x="713"/>
        <item x="714"/>
        <item x="715"/>
        <item x="716"/>
        <item x="717"/>
        <item m="1" x="1295"/>
        <item x="719"/>
        <item x="720"/>
        <item x="721"/>
        <item m="1" x="1258"/>
        <item m="1" x="1259"/>
        <item m="1" x="1261"/>
        <item x="727"/>
        <item x="722"/>
        <item x="723"/>
        <item x="724"/>
        <item x="725"/>
        <item x="726"/>
        <item x="728"/>
        <item x="759"/>
        <item x="729"/>
        <item x="730"/>
        <item x="731"/>
        <item m="1" x="1342"/>
        <item m="1" x="1322"/>
        <item x="732"/>
        <item x="733"/>
        <item x="734"/>
        <item m="1" x="1331"/>
        <item x="735"/>
        <item x="736"/>
        <item x="737"/>
        <item x="738"/>
        <item x="739"/>
        <item x="740"/>
        <item x="741"/>
        <item x="742"/>
        <item x="743"/>
        <item x="766"/>
        <item x="744"/>
        <item x="745"/>
        <item x="746"/>
        <item x="747"/>
        <item x="754"/>
        <item x="748"/>
        <item m="1" x="1262"/>
        <item x="749"/>
        <item x="750"/>
        <item x="751"/>
        <item x="752"/>
        <item x="768"/>
        <item x="753"/>
        <item x="755"/>
        <item x="756"/>
        <item x="757"/>
        <item x="758"/>
        <item m="1" x="1296"/>
        <item x="760"/>
        <item m="1" x="1313"/>
        <item x="761"/>
        <item m="1" x="1297"/>
        <item x="762"/>
        <item x="763"/>
        <item m="1" x="1323"/>
        <item x="764"/>
        <item m="1" x="1321"/>
        <item x="765"/>
        <item x="767"/>
        <item x="769"/>
        <item m="1" x="1318"/>
        <item x="770"/>
        <item x="771"/>
        <item x="772"/>
        <item x="773"/>
        <item x="774"/>
        <item x="775"/>
        <item x="776"/>
        <item x="777"/>
        <item x="778"/>
        <item x="779"/>
        <item x="780"/>
        <item x="781"/>
        <item x="782"/>
        <item x="783"/>
        <item x="784"/>
        <item x="785"/>
        <item x="786"/>
        <item x="787"/>
        <item x="788"/>
        <item x="789"/>
        <item x="790"/>
        <item x="791"/>
        <item x="792"/>
        <item m="1" x="1298"/>
        <item x="793"/>
        <item m="1" x="1299"/>
        <item x="794"/>
        <item x="800"/>
        <item x="795"/>
        <item x="796"/>
        <item x="797"/>
        <item x="798"/>
        <item x="799"/>
        <item x="801"/>
        <item x="803"/>
        <item x="802"/>
        <item m="1" x="1300"/>
        <item x="804"/>
        <item x="805"/>
        <item x="806"/>
        <item x="810"/>
        <item x="812"/>
        <item x="811"/>
        <item m="1" x="1327"/>
        <item x="814"/>
        <item x="809"/>
        <item m="1" x="1325"/>
        <item x="821"/>
        <item m="1" x="1350"/>
        <item x="813"/>
        <item x="815"/>
        <item x="817"/>
        <item x="818"/>
        <item x="807"/>
        <item x="816"/>
        <item x="819"/>
        <item m="1" x="1267"/>
        <item x="823"/>
        <item x="824"/>
        <item m="1" x="1314"/>
        <item x="826"/>
        <item x="831"/>
        <item x="829"/>
        <item x="825"/>
        <item x="830"/>
        <item x="835"/>
        <item x="833"/>
        <item x="834"/>
        <item x="832"/>
        <item x="709"/>
        <item x="839"/>
        <item x="840"/>
        <item x="837"/>
        <item x="842"/>
        <item x="843"/>
        <item x="844"/>
        <item m="1" x="1348"/>
        <item x="836"/>
        <item m="1" x="1336"/>
        <item m="1" x="1268"/>
        <item x="822"/>
        <item x="838"/>
        <item x="841"/>
        <item x="848"/>
        <item x="847"/>
        <item x="849"/>
        <item x="846"/>
        <item m="1" x="1315"/>
        <item x="851"/>
        <item x="850"/>
        <item x="845"/>
        <item m="1" x="1352"/>
        <item x="852"/>
        <item x="854"/>
        <item x="855"/>
        <item x="856"/>
        <item x="858"/>
        <item x="859"/>
        <item x="853"/>
        <item x="860"/>
        <item x="861"/>
        <item x="808"/>
        <item x="820"/>
        <item x="857"/>
        <item x="828"/>
        <item x="862"/>
        <item x="864"/>
        <item x="863"/>
        <item x="865"/>
        <item x="866"/>
        <item x="867"/>
        <item x="870"/>
        <item x="868"/>
        <item x="869"/>
        <item x="872"/>
        <item x="873"/>
        <item x="874"/>
        <item x="876"/>
        <item m="1" x="1316"/>
        <item x="875"/>
        <item x="879"/>
        <item x="881"/>
        <item x="880"/>
        <item x="878"/>
        <item x="882"/>
        <item x="883"/>
        <item x="885"/>
        <item m="1" x="1317"/>
        <item x="877"/>
        <item x="884"/>
        <item x="886"/>
        <item x="888"/>
        <item x="889"/>
        <item x="887"/>
        <item x="827"/>
        <item x="890"/>
        <item x="891"/>
        <item x="892"/>
        <item x="893"/>
        <item m="1" x="1263"/>
        <item x="894"/>
        <item x="895"/>
        <item x="896"/>
        <item x="900"/>
        <item x="898"/>
        <item x="902"/>
        <item x="897"/>
        <item x="899"/>
        <item x="904"/>
        <item x="905"/>
        <item x="906"/>
        <item x="907"/>
        <item x="903"/>
        <item x="901"/>
        <item x="908"/>
        <item x="871"/>
        <item m="1" x="1301"/>
        <item x="910"/>
        <item x="909"/>
        <item x="911"/>
        <item m="1" x="130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6"/>
        <item x="1203"/>
        <item x="1207"/>
        <item x="1205"/>
        <item x="1208"/>
        <item x="1209"/>
        <item x="1210"/>
        <item t="default"/>
      </items>
    </pivotField>
    <pivotField axis="axisRow" showAll="0">
      <items count="148">
        <item x="48"/>
        <item x="50"/>
        <item x="40"/>
        <item x="38"/>
        <item x="41"/>
        <item x="0"/>
        <item x="25"/>
        <item x="35"/>
        <item x="32"/>
        <item x="21"/>
        <item x="26"/>
        <item x="30"/>
        <item x="17"/>
        <item m="1" x="129"/>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1"/>
        <item x="46"/>
        <item x="43"/>
        <item m="1" x="131"/>
        <item x="45"/>
        <item x="47"/>
        <item x="49"/>
        <item m="1" x="132"/>
        <item x="28"/>
        <item x="52"/>
        <item x="51"/>
        <item x="53"/>
        <item x="54"/>
        <item x="55"/>
        <item x="56"/>
        <item x="57"/>
        <item x="58"/>
        <item x="59"/>
        <item x="60"/>
        <item x="61"/>
        <item x="62"/>
        <item x="63"/>
        <item x="64"/>
        <item x="65"/>
        <item x="66"/>
        <item x="70"/>
        <item m="1" x="135"/>
        <item x="67"/>
        <item x="69"/>
        <item m="1" x="130"/>
        <item x="71"/>
        <item x="72"/>
        <item x="73"/>
        <item m="1" x="138"/>
        <item m="1" x="146"/>
        <item m="1" x="140"/>
        <item x="77"/>
        <item x="76"/>
        <item x="82"/>
        <item x="74"/>
        <item x="75"/>
        <item x="68"/>
        <item x="78"/>
        <item x="79"/>
        <item m="1" x="137"/>
        <item x="80"/>
        <item x="81"/>
        <item m="1" x="139"/>
        <item sd="0" x="83"/>
        <item sd="0" x="86"/>
        <item x="84"/>
        <item x="85"/>
        <item x="87"/>
        <item x="89"/>
        <item x="90"/>
        <item x="91"/>
        <item x="92"/>
        <item x="93"/>
        <item x="94"/>
        <item x="95"/>
        <item x="96"/>
        <item m="1" x="143"/>
        <item m="1" x="144"/>
        <item m="1" x="134"/>
        <item x="97"/>
        <item x="100"/>
        <item m="1" x="142"/>
        <item x="101"/>
        <item x="110"/>
        <item x="106"/>
        <item x="88"/>
        <item x="102"/>
        <item x="112"/>
        <item x="113"/>
        <item m="1" x="145"/>
        <item x="108"/>
        <item x="115"/>
        <item m="1" x="136"/>
        <item x="116"/>
        <item x="98"/>
        <item x="99"/>
        <item x="103"/>
        <item x="114"/>
        <item x="107"/>
        <item x="117"/>
        <item x="118"/>
        <item x="119"/>
        <item x="120"/>
        <item m="1" x="133"/>
        <item x="121"/>
        <item x="104"/>
        <item x="122"/>
        <item x="105"/>
        <item x="111"/>
        <item x="109"/>
        <item m="1" x="128"/>
        <item x="123"/>
        <item m="1" x="127"/>
        <item x="124"/>
        <item x="125"/>
        <item x="126"/>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0"/>
    </i>
    <i>
      <x v="17"/>
    </i>
    <i>
      <x v="52"/>
    </i>
    <i>
      <x v="30"/>
    </i>
    <i>
      <x v="74"/>
    </i>
    <i>
      <x v="75"/>
    </i>
    <i>
      <x v="73"/>
    </i>
    <i>
      <x v="22"/>
    </i>
    <i>
      <x v="11"/>
    </i>
    <i>
      <x v="45"/>
    </i>
    <i>
      <x v="10"/>
    </i>
    <i>
      <x v="7"/>
    </i>
    <i>
      <x v="9"/>
    </i>
    <i>
      <x v="13"/>
    </i>
    <i>
      <x v="4"/>
    </i>
    <i>
      <x v="76"/>
    </i>
    <i>
      <x v="14"/>
    </i>
    <i>
      <x v="20"/>
    </i>
    <i>
      <x v="19"/>
    </i>
    <i>
      <x v="63"/>
    </i>
    <i>
      <x v="44"/>
    </i>
    <i>
      <x v="65"/>
    </i>
    <i>
      <x v="6"/>
    </i>
    <i>
      <x v="64"/>
    </i>
    <i>
      <x v="18"/>
    </i>
    <i>
      <x v="71"/>
    </i>
    <i>
      <x v="53"/>
    </i>
    <i>
      <x v="12"/>
    </i>
    <i>
      <x v="54"/>
    </i>
    <i>
      <x v="5"/>
    </i>
    <i>
      <x v="59"/>
    </i>
    <i>
      <x v="23"/>
    </i>
    <i>
      <x v="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568">
      <pivotArea collapsedLevelsAreSubtotals="1" fieldPosition="0">
        <references count="1">
          <reference field="2" count="1">
            <x v="9"/>
          </reference>
        </references>
      </pivotArea>
    </format>
    <format dxfId="567">
      <pivotArea collapsedLevelsAreSubtotals="1" fieldPosition="0">
        <references count="1">
          <reference field="2" count="1">
            <x v="4"/>
          </reference>
        </references>
      </pivotArea>
    </format>
    <format dxfId="566">
      <pivotArea grandRow="1" outline="0" collapsedLevelsAreSubtotals="1" fieldPosition="0"/>
    </format>
    <format dxfId="565">
      <pivotArea dataOnly="0" labelOnly="1" grandRow="1" outline="0" fieldPosition="0"/>
    </format>
    <format dxfId="564">
      <pivotArea grandRow="1" outline="0" collapsedLevelsAreSubtotals="1" fieldPosition="0"/>
    </format>
    <format dxfId="563">
      <pivotArea dataOnly="0" labelOnly="1" grandRow="1" outline="0" fieldPosition="0"/>
    </format>
    <format dxfId="562">
      <pivotArea grandRow="1" outline="0" collapsedLevelsAreSubtotals="1" fieldPosition="0"/>
    </format>
    <format dxfId="561">
      <pivotArea dataOnly="0" labelOnly="1" grandRow="1" outline="0" fieldPosition="0"/>
    </format>
    <format dxfId="560">
      <pivotArea outline="0" collapsedLevelsAreSubtotals="1" fieldPosition="0">
        <references count="1">
          <reference field="4294967294" count="1" selected="0">
            <x v="0"/>
          </reference>
        </references>
      </pivotArea>
    </format>
    <format dxfId="559">
      <pivotArea dataOnly="0" labelOnly="1" outline="0" fieldPosition="0">
        <references count="1">
          <reference field="0" count="0"/>
        </references>
      </pivotArea>
    </format>
    <format dxfId="558">
      <pivotArea dataOnly="0" labelOnly="1" outline="0" fieldPosition="0">
        <references count="1">
          <reference field="4294967294" count="1">
            <x v="0"/>
          </reference>
        </references>
      </pivotArea>
    </format>
    <format dxfId="557">
      <pivotArea outline="0" collapsedLevelsAreSubtotals="1" fieldPosition="0">
        <references count="1">
          <reference field="4294967294" count="1" selected="0">
            <x v="1"/>
          </reference>
        </references>
      </pivotArea>
    </format>
    <format dxfId="556">
      <pivotArea dataOnly="0" labelOnly="1" outline="0" fieldPosition="0">
        <references count="1">
          <reference field="4294967294" count="1">
            <x v="1"/>
          </reference>
        </references>
      </pivotArea>
    </format>
    <format dxfId="555">
      <pivotArea outline="0" collapsedLevelsAreSubtotals="1" fieldPosition="0">
        <references count="1">
          <reference field="4294967294" count="1" selected="0">
            <x v="2"/>
          </reference>
        </references>
      </pivotArea>
    </format>
    <format dxfId="554">
      <pivotArea dataOnly="0" labelOnly="1" outline="0" fieldPosition="0">
        <references count="1">
          <reference field="4294967294" count="1">
            <x v="2"/>
          </reference>
        </references>
      </pivotArea>
    </format>
    <format dxfId="553">
      <pivotArea grandRow="1" outline="0" collapsedLevelsAreSubtotals="1" fieldPosition="0"/>
    </format>
    <format dxfId="552">
      <pivotArea dataOnly="0" labelOnly="1" grandRow="1" outline="0" fieldPosition="0"/>
    </format>
    <format dxfId="551">
      <pivotArea type="all" dataOnly="0" outline="0" fieldPosition="0"/>
    </format>
    <format dxfId="550">
      <pivotArea grandRow="1" outline="0" collapsedLevelsAreSubtotals="1" fieldPosition="0"/>
    </format>
    <format dxfId="549">
      <pivotArea dataOnly="0" labelOnly="1" grandRow="1" outline="0" fieldPosition="0"/>
    </format>
    <format dxfId="548">
      <pivotArea collapsedLevelsAreSubtotals="1" fieldPosition="0">
        <references count="2">
          <reference field="4294967294" count="1" selected="0">
            <x v="2"/>
          </reference>
          <reference field="1" count="1">
            <x v="22"/>
          </reference>
        </references>
      </pivotArea>
    </format>
    <format dxfId="547">
      <pivotArea collapsedLevelsAreSubtotals="1" fieldPosition="0">
        <references count="3">
          <reference field="4294967294" count="1" selected="0">
            <x v="2"/>
          </reference>
          <reference field="1" count="1">
            <x v="22"/>
          </reference>
          <reference field="2" count="1" selected="0">
            <x v="7"/>
          </reference>
        </references>
      </pivotArea>
    </format>
    <format dxfId="546">
      <pivotArea dataOnly="0" labelOnly="1" outline="0" fieldPosition="0">
        <references count="1">
          <reference field="4294967294" count="3">
            <x v="0"/>
            <x v="1"/>
            <x v="2"/>
          </reference>
        </references>
      </pivotArea>
    </format>
    <format dxfId="545">
      <pivotArea dataOnly="0" labelOnly="1" outline="0" fieldPosition="0">
        <references count="1">
          <reference field="4294967294" count="1">
            <x v="0"/>
          </reference>
        </references>
      </pivotArea>
    </format>
    <format dxfId="544">
      <pivotArea dataOnly="0" labelOnly="1" outline="0" fieldPosition="0">
        <references count="1">
          <reference field="4294967294" count="1">
            <x v="1"/>
          </reference>
        </references>
      </pivotArea>
    </format>
    <format dxfId="543">
      <pivotArea dataOnly="0" labelOnly="1" outline="0" fieldPosition="0">
        <references count="1">
          <reference field="4294967294" count="1">
            <x v="1"/>
          </reference>
        </references>
      </pivotArea>
    </format>
    <format dxfId="542">
      <pivotArea dataOnly="0" labelOnly="1" outline="0" fieldPosition="0">
        <references count="1">
          <reference field="4294967294" count="1">
            <x v="2"/>
          </reference>
        </references>
      </pivotArea>
    </format>
    <format dxfId="541">
      <pivotArea dataOnly="0" labelOnly="1" fieldPosition="0">
        <references count="1">
          <reference field="2" count="0"/>
        </references>
      </pivotArea>
    </format>
    <format dxfId="540">
      <pivotArea collapsedLevelsAreSubtotals="1" fieldPosition="0">
        <references count="2">
          <reference field="4294967294" count="1" selected="0">
            <x v="2"/>
          </reference>
          <reference field="2" count="1">
            <x v="4"/>
          </reference>
        </references>
      </pivotArea>
    </format>
    <format dxfId="539">
      <pivotArea collapsedLevelsAreSubtotals="1" fieldPosition="0">
        <references count="2">
          <reference field="4294967294" count="1" selected="0">
            <x v="2"/>
          </reference>
          <reference field="2" count="1">
            <x v="9"/>
          </reference>
        </references>
      </pivotArea>
    </format>
    <format dxfId="538">
      <pivotArea collapsedLevelsAreSubtotals="1" fieldPosition="0">
        <references count="2">
          <reference field="4294967294" count="1" selected="0">
            <x v="2"/>
          </reference>
          <reference field="2" count="1">
            <x v="14"/>
          </reference>
        </references>
      </pivotArea>
    </format>
    <format dxfId="537">
      <pivotArea collapsedLevelsAreSubtotals="1" fieldPosition="0">
        <references count="3">
          <reference field="4294967294" count="1" selected="0">
            <x v="2"/>
          </reference>
          <reference field="1" count="3">
            <x v="3"/>
            <x v="37"/>
            <x v="41"/>
          </reference>
          <reference field="2" count="1" selected="0">
            <x v="14"/>
          </reference>
        </references>
      </pivotArea>
    </format>
    <format dxfId="536">
      <pivotArea collapsedLevelsAreSubtotals="1" fieldPosition="0">
        <references count="3">
          <reference field="4294967294" count="1" selected="0">
            <x v="2"/>
          </reference>
          <reference field="1" count="1">
            <x v="6"/>
          </reference>
          <reference field="2" count="1" selected="0">
            <x v="14"/>
          </reference>
        </references>
      </pivotArea>
    </format>
    <format dxfId="535">
      <pivotArea collapsedLevelsAreSubtotals="1" fieldPosition="0">
        <references count="3">
          <reference field="4294967294" count="1" selected="0">
            <x v="2"/>
          </reference>
          <reference field="1" count="1">
            <x v="27"/>
          </reference>
          <reference field="2" count="1" selected="0">
            <x v="14"/>
          </reference>
        </references>
      </pivotArea>
    </format>
    <format dxfId="534">
      <pivotArea collapsedLevelsAreSubtotals="1" fieldPosition="0">
        <references count="1">
          <reference field="2" count="1">
            <x v="0"/>
          </reference>
        </references>
      </pivotArea>
    </format>
    <format dxfId="533">
      <pivotArea collapsedLevelsAreSubtotals="1" fieldPosition="0">
        <references count="1">
          <reference field="2" count="1">
            <x v="14"/>
          </reference>
        </references>
      </pivotArea>
    </format>
    <format dxfId="532">
      <pivotArea collapsedLevelsAreSubtotals="1" fieldPosition="0">
        <references count="1">
          <reference field="2" count="1">
            <x v="9"/>
          </reference>
        </references>
      </pivotArea>
    </format>
    <format dxfId="531">
      <pivotArea collapsedLevelsAreSubtotals="1" fieldPosition="0">
        <references count="1">
          <reference field="2" count="1">
            <x v="5"/>
          </reference>
        </references>
      </pivotArea>
    </format>
    <format dxfId="530">
      <pivotArea collapsedLevelsAreSubtotals="1" fieldPosition="0">
        <references count="1">
          <reference field="2" count="1">
            <x v="17"/>
          </reference>
        </references>
      </pivotArea>
    </format>
    <format dxfId="529">
      <pivotArea collapsedLevelsAreSubtotals="1" fieldPosition="0">
        <references count="1">
          <reference field="2" count="1">
            <x v="2"/>
          </reference>
        </references>
      </pivotArea>
    </format>
    <format dxfId="528">
      <pivotArea collapsedLevelsAreSubtotals="1" fieldPosition="0">
        <references count="1">
          <reference field="2" count="1">
            <x v="10"/>
          </reference>
        </references>
      </pivotArea>
    </format>
    <format dxfId="527">
      <pivotArea collapsedLevelsAreSubtotals="1" fieldPosition="0">
        <references count="1">
          <reference field="2" count="1">
            <x v="1"/>
          </reference>
        </references>
      </pivotArea>
    </format>
    <format dxfId="526">
      <pivotArea collapsedLevelsAreSubtotals="1" fieldPosition="0">
        <references count="1">
          <reference field="2" count="1">
            <x v="13"/>
          </reference>
        </references>
      </pivotArea>
    </format>
    <format dxfId="525">
      <pivotArea collapsedLevelsAreSubtotals="1" fieldPosition="0">
        <references count="1">
          <reference field="2" count="1">
            <x v="4"/>
          </reference>
        </references>
      </pivotArea>
    </format>
    <format dxfId="524">
      <pivotArea collapsedLevelsAreSubtotals="1" fieldPosition="0">
        <references count="1">
          <reference field="2" count="1">
            <x v="8"/>
          </reference>
        </references>
      </pivotArea>
    </format>
    <format dxfId="523">
      <pivotArea collapsedLevelsAreSubtotals="1" fieldPosition="0">
        <references count="1">
          <reference field="2" count="1">
            <x v="3"/>
          </reference>
        </references>
      </pivotArea>
    </format>
    <format dxfId="522">
      <pivotArea collapsedLevelsAreSubtotals="1" fieldPosition="0">
        <references count="1">
          <reference field="2" count="1">
            <x v="12"/>
          </reference>
        </references>
      </pivotArea>
    </format>
    <format dxfId="521">
      <pivotArea collapsedLevelsAreSubtotals="1" fieldPosition="0">
        <references count="1">
          <reference field="2" count="1">
            <x v="6"/>
          </reference>
        </references>
      </pivotArea>
    </format>
    <format dxfId="520">
      <pivotArea collapsedLevelsAreSubtotals="1" fieldPosition="0">
        <references count="1">
          <reference field="2" count="1">
            <x v="11"/>
          </reference>
        </references>
      </pivotArea>
    </format>
    <format dxfId="519">
      <pivotArea collapsedLevelsAreSubtotals="1" fieldPosition="0">
        <references count="1">
          <reference field="2" count="1">
            <x v="20"/>
          </reference>
        </references>
      </pivotArea>
    </format>
    <format dxfId="518">
      <pivotArea collapsedLevelsAreSubtotals="1" fieldPosition="0">
        <references count="2">
          <reference field="1" count="1">
            <x v="6"/>
          </reference>
          <reference field="2" count="1" selected="0">
            <x v="20"/>
          </reference>
        </references>
      </pivotArea>
    </format>
    <format dxfId="517">
      <pivotArea collapsedLevelsAreSubtotals="1" fieldPosition="0">
        <references count="1">
          <reference field="2" count="1">
            <x v="7"/>
          </reference>
        </references>
      </pivotArea>
    </format>
    <format dxfId="516">
      <pivotArea collapsedLevelsAreSubtotals="1" fieldPosition="0">
        <references count="1">
          <reference field="2" count="1">
            <x v="16"/>
          </reference>
        </references>
      </pivotArea>
    </format>
    <format dxfId="515">
      <pivotArea collapsedLevelsAreSubtotals="1" fieldPosition="0">
        <references count="1">
          <reference field="2" count="1">
            <x v="19"/>
          </reference>
        </references>
      </pivotArea>
    </format>
    <format dxfId="514">
      <pivotArea collapsedLevelsAreSubtotals="1" fieldPosition="0">
        <references count="1">
          <reference field="2" count="1">
            <x v="18"/>
          </reference>
        </references>
      </pivotArea>
    </format>
    <format dxfId="513">
      <pivotArea collapsedLevelsAreSubtotals="1" fieldPosition="0">
        <references count="1">
          <reference field="2" count="1">
            <x v="15"/>
          </reference>
        </references>
      </pivotArea>
    </format>
    <format dxfId="512">
      <pivotArea collapsedLevelsAreSubtotals="1" fieldPosition="0">
        <references count="1">
          <reference field="2" count="1">
            <x v="21"/>
          </reference>
        </references>
      </pivotArea>
    </format>
    <format dxfId="511">
      <pivotArea collapsedLevelsAreSubtotals="1" fieldPosition="0">
        <references count="1">
          <reference field="2" count="1">
            <x v="22"/>
          </reference>
        </references>
      </pivotArea>
    </format>
    <format dxfId="510">
      <pivotArea collapsedLevelsAreSubtotals="1" fieldPosition="0">
        <references count="1">
          <reference field="2" count="1">
            <x v="23"/>
          </reference>
        </references>
      </pivotArea>
    </format>
    <format dxfId="509">
      <pivotArea collapsedLevelsAreSubtotals="1" fieldPosition="0">
        <references count="2">
          <reference field="4294967294" count="1" selected="0">
            <x v="2"/>
          </reference>
          <reference field="2" count="1">
            <x v="24"/>
          </reference>
        </references>
      </pivotArea>
    </format>
    <format dxfId="508">
      <pivotArea collapsedLevelsAreSubtotals="1" fieldPosition="0">
        <references count="2">
          <reference field="4294967294" count="1" selected="0">
            <x v="2"/>
          </reference>
          <reference field="2" count="1">
            <x v="25"/>
          </reference>
        </references>
      </pivotArea>
    </format>
    <format dxfId="507">
      <pivotArea collapsedLevelsAreSubtotals="1" fieldPosition="0">
        <references count="2">
          <reference field="4294967294" count="1" selected="0">
            <x v="2"/>
          </reference>
          <reference field="2" count="1">
            <x v="26"/>
          </reference>
        </references>
      </pivotArea>
    </format>
    <format dxfId="506">
      <pivotArea collapsedLevelsAreSubtotals="1" fieldPosition="0">
        <references count="2">
          <reference field="4294967294" count="1" selected="0">
            <x v="2"/>
          </reference>
          <reference field="2" count="1">
            <x v="27"/>
          </reference>
        </references>
      </pivotArea>
    </format>
    <format dxfId="505">
      <pivotArea collapsedLevelsAreSubtotals="1" fieldPosition="0">
        <references count="2">
          <reference field="4294967294" count="1" selected="0">
            <x v="2"/>
          </reference>
          <reference field="2" count="1">
            <x v="27"/>
          </reference>
        </references>
      </pivotArea>
    </format>
    <format dxfId="504">
      <pivotArea collapsedLevelsAreSubtotals="1" fieldPosition="0">
        <references count="2">
          <reference field="4294967294" count="1" selected="0">
            <x v="2"/>
          </reference>
          <reference field="2" count="1">
            <x v="28"/>
          </reference>
        </references>
      </pivotArea>
    </format>
    <format dxfId="503">
      <pivotArea collapsedLevelsAreSubtotals="1" fieldPosition="0">
        <references count="2">
          <reference field="4294967294" count="1" selected="0">
            <x v="2"/>
          </reference>
          <reference field="2" count="1">
            <x v="28"/>
          </reference>
        </references>
      </pivotArea>
    </format>
    <format dxfId="502">
      <pivotArea collapsedLevelsAreSubtotals="1" fieldPosition="0">
        <references count="2">
          <reference field="4294967294" count="1" selected="0">
            <x v="2"/>
          </reference>
          <reference field="2" count="1">
            <x v="29"/>
          </reference>
        </references>
      </pivotArea>
    </format>
    <format dxfId="501">
      <pivotArea collapsedLevelsAreSubtotals="1" fieldPosition="0">
        <references count="2">
          <reference field="4294967294" count="1" selected="0">
            <x v="2"/>
          </reference>
          <reference field="2" count="1">
            <x v="29"/>
          </reference>
        </references>
      </pivotArea>
    </format>
    <format dxfId="500">
      <pivotArea collapsedLevelsAreSubtotals="1" fieldPosition="0">
        <references count="2">
          <reference field="4294967294" count="1" selected="0">
            <x v="2"/>
          </reference>
          <reference field="2" count="1">
            <x v="30"/>
          </reference>
        </references>
      </pivotArea>
    </format>
    <format dxfId="499">
      <pivotArea collapsedLevelsAreSubtotals="1" fieldPosition="0">
        <references count="2">
          <reference field="4294967294" count="1" selected="0">
            <x v="2"/>
          </reference>
          <reference field="2" count="1">
            <x v="31"/>
          </reference>
        </references>
      </pivotArea>
    </format>
    <format dxfId="498">
      <pivotArea collapsedLevelsAreSubtotals="1" fieldPosition="0">
        <references count="2">
          <reference field="4294967294" count="1" selected="0">
            <x v="2"/>
          </reference>
          <reference field="2" count="1">
            <x v="31"/>
          </reference>
        </references>
      </pivotArea>
    </format>
    <format dxfId="497">
      <pivotArea collapsedLevelsAreSubtotals="1" fieldPosition="0">
        <references count="2">
          <reference field="4294967294" count="1" selected="0">
            <x v="2"/>
          </reference>
          <reference field="2" count="1">
            <x v="32"/>
          </reference>
        </references>
      </pivotArea>
    </format>
    <format dxfId="496">
      <pivotArea collapsedLevelsAreSubtotals="1" fieldPosition="0">
        <references count="2">
          <reference field="4294967294" count="1" selected="0">
            <x v="2"/>
          </reference>
          <reference field="2" count="1">
            <x v="32"/>
          </reference>
        </references>
      </pivotArea>
    </format>
    <format dxfId="495">
      <pivotArea collapsedLevelsAreSubtotals="1" fieldPosition="0">
        <references count="2">
          <reference field="4294967294" count="1" selected="0">
            <x v="2"/>
          </reference>
          <reference field="2" count="1">
            <x v="33"/>
          </reference>
        </references>
      </pivotArea>
    </format>
    <format dxfId="494">
      <pivotArea collapsedLevelsAreSubtotals="1" fieldPosition="0">
        <references count="2">
          <reference field="4294967294" count="1" selected="0">
            <x v="2"/>
          </reference>
          <reference field="2" count="1">
            <x v="33"/>
          </reference>
        </references>
      </pivotArea>
    </format>
    <format dxfId="493">
      <pivotArea collapsedLevelsAreSubtotals="1" fieldPosition="0">
        <references count="2">
          <reference field="4294967294" count="1" selected="0">
            <x v="2"/>
          </reference>
          <reference field="2" count="1">
            <x v="34"/>
          </reference>
        </references>
      </pivotArea>
    </format>
    <format dxfId="492">
      <pivotArea collapsedLevelsAreSubtotals="1" fieldPosition="0">
        <references count="2">
          <reference field="4294967294" count="1" selected="0">
            <x v="2"/>
          </reference>
          <reference field="2" count="1">
            <x v="35"/>
          </reference>
        </references>
      </pivotArea>
    </format>
    <format dxfId="491">
      <pivotArea collapsedLevelsAreSubtotals="1" fieldPosition="0">
        <references count="2">
          <reference field="4294967294" count="1" selected="0">
            <x v="2"/>
          </reference>
          <reference field="2" count="1">
            <x v="36"/>
          </reference>
        </references>
      </pivotArea>
    </format>
    <format dxfId="490">
      <pivotArea collapsedLevelsAreSubtotals="1" fieldPosition="0">
        <references count="2">
          <reference field="4294967294" count="1" selected="0">
            <x v="2"/>
          </reference>
          <reference field="2" count="1">
            <x v="36"/>
          </reference>
        </references>
      </pivotArea>
    </format>
    <format dxfId="489">
      <pivotArea collapsedLevelsAreSubtotals="1" fieldPosition="0">
        <references count="2">
          <reference field="4294967294" count="1" selected="0">
            <x v="2"/>
          </reference>
          <reference field="2" count="1">
            <x v="38"/>
          </reference>
        </references>
      </pivotArea>
    </format>
    <format dxfId="488">
      <pivotArea collapsedLevelsAreSubtotals="1" fieldPosition="0">
        <references count="2">
          <reference field="4294967294" count="1" selected="0">
            <x v="2"/>
          </reference>
          <reference field="2" count="1">
            <x v="38"/>
          </reference>
        </references>
      </pivotArea>
    </format>
    <format dxfId="487">
      <pivotArea collapsedLevelsAreSubtotals="1" fieldPosition="0">
        <references count="2">
          <reference field="4294967294" count="1" selected="0">
            <x v="2"/>
          </reference>
          <reference field="2" count="1">
            <x v="39"/>
          </reference>
        </references>
      </pivotArea>
    </format>
    <format dxfId="486">
      <pivotArea collapsedLevelsAreSubtotals="1" fieldPosition="0">
        <references count="2">
          <reference field="4294967294" count="1" selected="0">
            <x v="2"/>
          </reference>
          <reference field="2" count="1">
            <x v="39"/>
          </reference>
        </references>
      </pivotArea>
    </format>
    <format dxfId="485">
      <pivotArea collapsedLevelsAreSubtotals="1" fieldPosition="0">
        <references count="2">
          <reference field="4294967294" count="1" selected="0">
            <x v="2"/>
          </reference>
          <reference field="2" count="1">
            <x v="40"/>
          </reference>
        </references>
      </pivotArea>
    </format>
    <format dxfId="484">
      <pivotArea collapsedLevelsAreSubtotals="1" fieldPosition="0">
        <references count="2">
          <reference field="4294967294" count="1" selected="0">
            <x v="2"/>
          </reference>
          <reference field="2" count="1">
            <x v="42"/>
          </reference>
        </references>
      </pivotArea>
    </format>
    <format dxfId="483">
      <pivotArea collapsedLevelsAreSubtotals="1" fieldPosition="0">
        <references count="2">
          <reference field="4294967294" count="1" selected="0">
            <x v="2"/>
          </reference>
          <reference field="2" count="1">
            <x v="41"/>
          </reference>
        </references>
      </pivotArea>
    </format>
    <format dxfId="482">
      <pivotArea collapsedLevelsAreSubtotals="1" fieldPosition="0">
        <references count="2">
          <reference field="4294967294" count="1" selected="0">
            <x v="2"/>
          </reference>
          <reference field="2" count="1">
            <x v="44"/>
          </reference>
        </references>
      </pivotArea>
    </format>
    <format dxfId="481">
      <pivotArea collapsedLevelsAreSubtotals="1" fieldPosition="0">
        <references count="2">
          <reference field="4294967294" count="1" selected="0">
            <x v="2"/>
          </reference>
          <reference field="2" count="1">
            <x v="45"/>
          </reference>
        </references>
      </pivotArea>
    </format>
    <format dxfId="480">
      <pivotArea collapsedLevelsAreSubtotals="1" fieldPosition="0">
        <references count="2">
          <reference field="4294967294" count="1" selected="0">
            <x v="2"/>
          </reference>
          <reference field="2" count="1">
            <x v="46"/>
          </reference>
        </references>
      </pivotArea>
    </format>
    <format dxfId="479">
      <pivotArea collapsedLevelsAreSubtotals="1" fieldPosition="0">
        <references count="2">
          <reference field="4294967294" count="1" selected="0">
            <x v="2"/>
          </reference>
          <reference field="2" count="1">
            <x v="47"/>
          </reference>
        </references>
      </pivotArea>
    </format>
    <format dxfId="478">
      <pivotArea collapsedLevelsAreSubtotals="1" fieldPosition="0">
        <references count="2">
          <reference field="4294967294" count="1" selected="0">
            <x v="2"/>
          </reference>
          <reference field="2" count="1">
            <x v="48"/>
          </reference>
        </references>
      </pivotArea>
    </format>
    <format dxfId="477">
      <pivotArea collapsedLevelsAreSubtotals="1" fieldPosition="0">
        <references count="2">
          <reference field="4294967294" count="1" selected="0">
            <x v="2"/>
          </reference>
          <reference field="2" count="1">
            <x v="49"/>
          </reference>
        </references>
      </pivotArea>
    </format>
    <format dxfId="476">
      <pivotArea collapsedLevelsAreSubtotals="1" fieldPosition="0">
        <references count="2">
          <reference field="4294967294" count="1" selected="0">
            <x v="2"/>
          </reference>
          <reference field="2" count="1">
            <x v="49"/>
          </reference>
        </references>
      </pivotArea>
    </format>
    <format dxfId="475">
      <pivotArea collapsedLevelsAreSubtotals="1" fieldPosition="0">
        <references count="2">
          <reference field="4294967294" count="1" selected="0">
            <x v="2"/>
          </reference>
          <reference field="2" count="1">
            <x v="50"/>
          </reference>
        </references>
      </pivotArea>
    </format>
    <format dxfId="474">
      <pivotArea collapsedLevelsAreSubtotals="1" fieldPosition="0">
        <references count="3">
          <reference field="4294967294" count="1" selected="0">
            <x v="2"/>
          </reference>
          <reference field="1" count="1" selected="0">
            <x v="95"/>
          </reference>
          <reference field="2" count="1">
            <x v="51"/>
          </reference>
        </references>
      </pivotArea>
    </format>
    <format dxfId="473">
      <pivotArea collapsedLevelsAreSubtotals="1" fieldPosition="0">
        <references count="3">
          <reference field="4294967294" count="1" selected="0">
            <x v="2"/>
          </reference>
          <reference field="1" count="1" selected="0">
            <x v="95"/>
          </reference>
          <reference field="2" count="1">
            <x v="51"/>
          </reference>
        </references>
      </pivotArea>
    </format>
    <format dxfId="472">
      <pivotArea collapsedLevelsAreSubtotals="1" fieldPosition="0">
        <references count="2">
          <reference field="4294967294" count="1" selected="0">
            <x v="2"/>
          </reference>
          <reference field="2" count="1">
            <x v="51"/>
          </reference>
        </references>
      </pivotArea>
    </format>
    <format dxfId="471">
      <pivotArea collapsedLevelsAreSubtotals="1" fieldPosition="0">
        <references count="2">
          <reference field="4294967294" count="1" selected="0">
            <x v="2"/>
          </reference>
          <reference field="2" count="1">
            <x v="51"/>
          </reference>
        </references>
      </pivotArea>
    </format>
    <format dxfId="470">
      <pivotArea collapsedLevelsAreSubtotals="1" fieldPosition="0">
        <references count="2">
          <reference field="4294967294" count="1" selected="0">
            <x v="2"/>
          </reference>
          <reference field="2" count="1">
            <x v="52"/>
          </reference>
        </references>
      </pivotArea>
    </format>
    <format dxfId="469">
      <pivotArea collapsedLevelsAreSubtotals="1" fieldPosition="0">
        <references count="2">
          <reference field="4294967294" count="1" selected="0">
            <x v="2"/>
          </reference>
          <reference field="2" count="1">
            <x v="52"/>
          </reference>
        </references>
      </pivotArea>
    </format>
    <format dxfId="468">
      <pivotArea collapsedLevelsAreSubtotals="1" fieldPosition="0">
        <references count="2">
          <reference field="4294967294" count="1" selected="0">
            <x v="2"/>
          </reference>
          <reference field="2" count="1">
            <x v="53"/>
          </reference>
        </references>
      </pivotArea>
    </format>
    <format dxfId="467">
      <pivotArea collapsedLevelsAreSubtotals="1" fieldPosition="0">
        <references count="2">
          <reference field="4294967294" count="1" selected="0">
            <x v="2"/>
          </reference>
          <reference field="2" count="1">
            <x v="54"/>
          </reference>
        </references>
      </pivotArea>
    </format>
    <format dxfId="466">
      <pivotArea collapsedLevelsAreSubtotals="1" fieldPosition="0">
        <references count="2">
          <reference field="4294967294" count="1" selected="0">
            <x v="2"/>
          </reference>
          <reference field="2" count="1">
            <x v="54"/>
          </reference>
        </references>
      </pivotArea>
    </format>
    <format dxfId="465">
      <pivotArea collapsedLevelsAreSubtotals="1" fieldPosition="0">
        <references count="2">
          <reference field="4294967294" count="1" selected="0">
            <x v="2"/>
          </reference>
          <reference field="2" count="1">
            <x v="55"/>
          </reference>
        </references>
      </pivotArea>
    </format>
    <format dxfId="464">
      <pivotArea collapsedLevelsAreSubtotals="1" fieldPosition="0">
        <references count="2">
          <reference field="4294967294" count="1" selected="0">
            <x v="2"/>
          </reference>
          <reference field="2" count="1">
            <x v="56"/>
          </reference>
        </references>
      </pivotArea>
    </format>
    <format dxfId="463">
      <pivotArea type="all" dataOnly="0" outline="0" fieldPosition="0"/>
    </format>
    <format dxfId="462">
      <pivotArea outline="0" collapsedLevelsAreSubtotals="1" fieldPosition="0"/>
    </format>
    <format dxfId="461">
      <pivotArea dataOnly="0" labelOnly="1" fieldPosition="0">
        <references count="1">
          <reference field="2" count="0"/>
        </references>
      </pivotArea>
    </format>
    <format dxfId="460">
      <pivotArea dataOnly="0" labelOnly="1" grandRow="1" outline="0" fieldPosition="0"/>
    </format>
    <format dxfId="459">
      <pivotArea dataOnly="0" labelOnly="1" outline="0" fieldPosition="0">
        <references count="1">
          <reference field="4294967294" count="3">
            <x v="0"/>
            <x v="1"/>
            <x v="2"/>
          </reference>
        </references>
      </pivotArea>
    </format>
    <format dxfId="458">
      <pivotArea collapsedLevelsAreSubtotals="1" fieldPosition="0">
        <references count="2">
          <reference field="4294967294" count="1" selected="0">
            <x v="2"/>
          </reference>
          <reference field="2" count="1">
            <x v="57"/>
          </reference>
        </references>
      </pivotArea>
    </format>
    <format dxfId="457">
      <pivotArea collapsedLevelsAreSubtotals="1" fieldPosition="0">
        <references count="2">
          <reference field="4294967294" count="1" selected="0">
            <x v="2"/>
          </reference>
          <reference field="2" count="1">
            <x v="53"/>
          </reference>
        </references>
      </pivotArea>
    </format>
    <format dxfId="456">
      <pivotArea collapsedLevelsAreSubtotals="1" fieldPosition="0">
        <references count="2">
          <reference field="4294967294" count="1" selected="0">
            <x v="2"/>
          </reference>
          <reference field="2" count="1">
            <x v="58"/>
          </reference>
        </references>
      </pivotArea>
    </format>
    <format dxfId="455">
      <pivotArea collapsedLevelsAreSubtotals="1" fieldPosition="0">
        <references count="2">
          <reference field="4294967294" count="1" selected="0">
            <x v="2"/>
          </reference>
          <reference field="2" count="1">
            <x v="37"/>
          </reference>
        </references>
      </pivotArea>
    </format>
    <format dxfId="454">
      <pivotArea collapsedLevelsAreSubtotals="1" fieldPosition="0">
        <references count="2">
          <reference field="4294967294" count="1" selected="0">
            <x v="2"/>
          </reference>
          <reference field="2" count="1">
            <x v="59"/>
          </reference>
        </references>
      </pivotArea>
    </format>
    <format dxfId="453">
      <pivotArea collapsedLevelsAreSubtotals="1" fieldPosition="0">
        <references count="2">
          <reference field="4294967294" count="1" selected="0">
            <x v="2"/>
          </reference>
          <reference field="2" count="1">
            <x v="64"/>
          </reference>
        </references>
      </pivotArea>
    </format>
    <format dxfId="452">
      <pivotArea collapsedLevelsAreSubtotals="1" fieldPosition="0">
        <references count="2">
          <reference field="4294967294" count="1" selected="0">
            <x v="2"/>
          </reference>
          <reference field="2" count="1">
            <x v="65"/>
          </reference>
        </references>
      </pivotArea>
    </format>
    <format dxfId="451">
      <pivotArea collapsedLevelsAreSubtotals="1" fieldPosition="0">
        <references count="2">
          <reference field="4294967294" count="1" selected="0">
            <x v="2"/>
          </reference>
          <reference field="2" count="1">
            <x v="59"/>
          </reference>
        </references>
      </pivotArea>
    </format>
    <format dxfId="450">
      <pivotArea collapsedLevelsAreSubtotals="1" fieldPosition="0">
        <references count="2">
          <reference field="4294967294" count="1" selected="0">
            <x v="2"/>
          </reference>
          <reference field="2" count="1">
            <x v="64"/>
          </reference>
        </references>
      </pivotArea>
    </format>
    <format dxfId="449">
      <pivotArea collapsedLevelsAreSubtotals="1" fieldPosition="0">
        <references count="2">
          <reference field="4294967294" count="1" selected="0">
            <x v="2"/>
          </reference>
          <reference field="2" count="1">
            <x v="65"/>
          </reference>
        </references>
      </pivotArea>
    </format>
    <format dxfId="448">
      <pivotArea collapsedLevelsAreSubtotals="1" fieldPosition="0">
        <references count="2">
          <reference field="4294967294" count="1" selected="0">
            <x v="2"/>
          </reference>
          <reference field="2" count="1">
            <x v="63"/>
          </reference>
        </references>
      </pivotArea>
    </format>
    <format dxfId="447">
      <pivotArea collapsedLevelsAreSubtotals="1" fieldPosition="0">
        <references count="2">
          <reference field="4294967294" count="1" selected="0">
            <x v="2"/>
          </reference>
          <reference field="2" count="1">
            <x v="61"/>
          </reference>
        </references>
      </pivotArea>
    </format>
    <format dxfId="446">
      <pivotArea collapsedLevelsAreSubtotals="1" fieldPosition="0">
        <references count="2">
          <reference field="4294967294" count="1" selected="0">
            <x v="2"/>
          </reference>
          <reference field="2" count="1">
            <x v="62"/>
          </reference>
        </references>
      </pivotArea>
    </format>
    <format dxfId="445">
      <pivotArea collapsedLevelsAreSubtotals="1" fieldPosition="0">
        <references count="2">
          <reference field="4294967294" count="1" selected="0">
            <x v="2"/>
          </reference>
          <reference field="2" count="1">
            <x v="66"/>
          </reference>
        </references>
      </pivotArea>
    </format>
    <format dxfId="444">
      <pivotArea collapsedLevelsAreSubtotals="1" fieldPosition="0">
        <references count="2">
          <reference field="4294967294" count="1" selected="0">
            <x v="2"/>
          </reference>
          <reference field="2" count="1">
            <x v="66"/>
          </reference>
        </references>
      </pivotArea>
    </format>
    <format dxfId="443">
      <pivotArea collapsedLevelsAreSubtotals="1" fieldPosition="0">
        <references count="2">
          <reference field="4294967294" count="1" selected="0">
            <x v="2"/>
          </reference>
          <reference field="2" count="1">
            <x v="67"/>
          </reference>
        </references>
      </pivotArea>
    </format>
    <format dxfId="442">
      <pivotArea collapsedLevelsAreSubtotals="1" fieldPosition="0">
        <references count="2">
          <reference field="4294967294" count="1" selected="0">
            <x v="2"/>
          </reference>
          <reference field="2" count="1">
            <x v="68"/>
          </reference>
        </references>
      </pivotArea>
    </format>
    <format dxfId="441">
      <pivotArea collapsedLevelsAreSubtotals="1" fieldPosition="0">
        <references count="2">
          <reference field="4294967294" count="1" selected="0">
            <x v="2"/>
          </reference>
          <reference field="2" count="1">
            <x v="71"/>
          </reference>
        </references>
      </pivotArea>
    </format>
    <format dxfId="440">
      <pivotArea collapsedLevelsAreSubtotals="1" fieldPosition="0">
        <references count="2">
          <reference field="4294967294" count="1" selected="0">
            <x v="2"/>
          </reference>
          <reference field="2" count="1">
            <x v="72"/>
          </reference>
        </references>
      </pivotArea>
    </format>
    <format dxfId="439">
      <pivotArea collapsedLevelsAreSubtotals="1" fieldPosition="0">
        <references count="2">
          <reference field="4294967294" count="1" selected="0">
            <x v="2"/>
          </reference>
          <reference field="2" count="1">
            <x v="60"/>
          </reference>
        </references>
      </pivotArea>
    </format>
    <format dxfId="438">
      <pivotArea collapsedLevelsAreSubtotals="1" fieldPosition="0">
        <references count="2">
          <reference field="4294967294" count="1" selected="0">
            <x v="2"/>
          </reference>
          <reference field="2" count="1">
            <x v="70"/>
          </reference>
        </references>
      </pivotArea>
    </format>
    <format dxfId="437">
      <pivotArea collapsedLevelsAreSubtotals="1" fieldPosition="0">
        <references count="2">
          <reference field="4294967294" count="1" selected="0">
            <x v="2"/>
          </reference>
          <reference field="2" count="1">
            <x v="73"/>
          </reference>
        </references>
      </pivotArea>
    </format>
    <format dxfId="436">
      <pivotArea collapsedLevelsAreSubtotals="1" fieldPosition="0">
        <references count="2">
          <reference field="4294967294" count="1" selected="0">
            <x v="2"/>
          </reference>
          <reference field="2" count="1">
            <x v="74"/>
          </reference>
        </references>
      </pivotArea>
    </format>
    <format dxfId="435">
      <pivotArea collapsedLevelsAreSubtotals="1" fieldPosition="0">
        <references count="2">
          <reference field="4294967294" count="1" selected="0">
            <x v="2"/>
          </reference>
          <reference field="2" count="1">
            <x v="75"/>
          </reference>
        </references>
      </pivotArea>
    </format>
    <format dxfId="434">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81">
        <item h="1" sd="0" x="60"/>
        <item h="1" sd="0" x="149"/>
        <item h="1" x="755"/>
        <item h="1" sd="0" m="1" x="851"/>
        <item h="1" sd="0" x="724"/>
        <item h="1" sd="0" m="1" x="923"/>
        <item h="1" sd="0" x="572"/>
        <item h="1" sd="0" m="1" x="1021"/>
        <item h="1" sd="0" m="1" x="864"/>
        <item h="1" sd="0" x="464"/>
        <item h="1" sd="0" m="1" x="885"/>
        <item h="1" x="756"/>
        <item h="1" sd="0" x="18"/>
        <item h="1" sd="0" x="288"/>
        <item h="1" sd="0" m="1" x="1062"/>
        <item h="1" sd="0" x="146"/>
        <item h="1" sd="0" x="179"/>
        <item h="1" sd="0" x="490"/>
        <item h="1" sd="0" x="673"/>
        <item h="1" sd="0" m="1" x="1059"/>
        <item h="1" sd="0" x="641"/>
        <item h="1" sd="0" x="623"/>
        <item h="1" x="811"/>
        <item h="1" sd="0" x="100"/>
        <item h="1" sd="0" x="606"/>
        <item h="1" sd="0" m="1" x="870"/>
        <item h="1" sd="0" m="1" x="1025"/>
        <item h="1" sd="0" x="137"/>
        <item h="1" sd="0" m="1" x="1007"/>
        <item h="1" sd="0" x="231"/>
        <item h="1" sd="0" m="1" x="841"/>
        <item sd="0" x="758"/>
        <item h="1" sd="0" m="1" x="1012"/>
        <item h="1" sd="0" m="1" x="902"/>
        <item h="1" sd="0" x="363"/>
        <item h="1" sd="0" x="510"/>
        <item sd="0" x="563"/>
        <item h="1" sd="0" x="651"/>
        <item h="1" x="736"/>
        <item h="1" sd="0" x="375"/>
        <item h="1" sd="0" x="379"/>
        <item h="1" sd="0" m="1" x="899"/>
        <item h="1" sd="0" x="718"/>
        <item h="1" sd="0" m="1" x="877"/>
        <item h="1" sd="0" m="1" x="93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2"/>
        <item h="1" sd="0" x="325"/>
        <item h="1" sd="0" x="481"/>
        <item h="1" sd="0" m="1" x="1063"/>
        <item h="1" sd="0" m="1" x="960"/>
        <item h="1" sd="0" x="528"/>
        <item h="1" sd="0" x="630"/>
        <item h="1" sd="0" x="223"/>
        <item h="1" sd="0" m="1" x="853"/>
        <item h="1" sd="0" x="239"/>
        <item h="1" sd="0" x="521"/>
        <item h="1" sd="0" x="135"/>
        <item h="1" sd="0" x="140"/>
        <item h="1" sd="0" x="479"/>
        <item h="1" sd="0" m="1" x="1036"/>
        <item h="1" sd="0" m="1" x="966"/>
        <item h="1" sd="0" x="219"/>
        <item h="1" sd="0" m="1" x="1075"/>
        <item h="1" sd="0" x="562"/>
        <item h="1" x="743"/>
        <item h="1" x="760"/>
        <item h="1" sd="0" x="711"/>
        <item h="1" sd="0" x="683"/>
        <item h="1" x="805"/>
        <item h="1" sd="0" x="93"/>
        <item h="1" sd="0" m="1" x="1033"/>
        <item h="1" sd="0" x="399"/>
        <item h="1" sd="0" x="222"/>
        <item h="1" sd="0" m="1" x="866"/>
        <item h="1" sd="0" x="337"/>
        <item h="1" sd="0" x="207"/>
        <item h="1" sd="0" x="517"/>
        <item h="1" sd="0" x="489"/>
        <item h="1" sd="0" x="184"/>
        <item h="1" sd="0" x="152"/>
        <item h="1" sd="0" m="1" x="1046"/>
        <item h="1" sd="0" x="40"/>
        <item h="1" sd="0" x="281"/>
        <item h="1" sd="0" x="170"/>
        <item h="1" x="803"/>
        <item h="1" sd="0" x="317"/>
        <item h="1" sd="0" x="358"/>
        <item h="1" sd="0" x="214"/>
        <item h="1" sd="0" x="370"/>
        <item h="1" sd="0" x="378"/>
        <item h="1" sd="0" x="279"/>
        <item h="1" sd="0" m="1" x="903"/>
        <item h="1" sd="0" x="156"/>
        <item h="1" sd="0" x="700"/>
        <item h="1" sd="0" x="639"/>
        <item h="1" sd="0" x="253"/>
        <item h="1" sd="0" m="1" x="1022"/>
        <item h="1" sd="0" x="442"/>
        <item h="1" sd="0" m="1" x="832"/>
        <item h="1" sd="0" x="409"/>
        <item h="1" sd="0" x="365"/>
        <item h="1" sd="0" m="1" x="884"/>
        <item h="1" sd="0" m="1" x="849"/>
        <item sd="0" x="666"/>
        <item h="1" sd="0" x="556"/>
        <item h="1" sd="0" x="383"/>
        <item h="1" sd="0" x="259"/>
        <item h="1" sd="0" x="463"/>
        <item h="1" sd="0" x="252"/>
        <item h="1" sd="0" x="643"/>
        <item h="1" sd="0" x="537"/>
        <item h="1" sd="0" m="1" x="965"/>
        <item h="1" sd="0" x="577"/>
        <item h="1" sd="0" x="597"/>
        <item h="1" sd="0" x="12"/>
        <item h="1" sd="0" x="571"/>
        <item h="1" sd="0" m="1" x="1035"/>
        <item h="1" sd="0" x="569"/>
        <item h="1" sd="0" x="352"/>
        <item h="1" sd="0" x="218"/>
        <item h="1" x="817"/>
        <item h="1" sd="0" x="371"/>
        <item h="1" sd="0" x="224"/>
        <item h="1" sd="0" x="63"/>
        <item h="1" sd="0" x="8"/>
        <item h="1" sd="0" x="102"/>
        <item h="1" sd="0" m="1" x="871"/>
        <item h="1" sd="0" m="1" x="1065"/>
        <item h="1" sd="0" x="550"/>
        <item h="1" sd="0" x="319"/>
        <item h="1" sd="0" m="1" x="876"/>
        <item h="1" sd="0" m="1" x="1076"/>
        <item h="1" x="815"/>
        <item h="1" sd="0" x="386"/>
        <item h="1" sd="0" x="634"/>
        <item h="1" sd="0" x="31"/>
        <item h="1" sd="0" x="55"/>
        <item h="1" sd="0" x="227"/>
        <item h="1" sd="0" x="453"/>
        <item h="1" sd="0" x="356"/>
        <item h="1" x="801"/>
        <item h="1" sd="0" x="161"/>
        <item h="1" sd="0" x="153"/>
        <item h="1" sd="0" x="653"/>
        <item h="1" sd="0" x="553"/>
        <item h="1" sd="0" x="704"/>
        <item h="1" sd="0" m="1" x="950"/>
        <item h="1" sd="0" x="133"/>
        <item h="1" sd="0" m="1" x="857"/>
        <item h="1" sd="0" m="1" x="850"/>
        <item h="1" sd="0" m="1" x="1051"/>
        <item h="1" sd="0" x="668"/>
        <item h="1" x="762"/>
        <item h="1" sd="0" x="681"/>
        <item h="1" sd="0" x="685"/>
        <item h="1" sd="0" x="46"/>
        <item h="1" sd="0" x="374"/>
        <item h="1" sd="0" m="1" x="859"/>
        <item h="1" sd="0" x="423"/>
        <item h="1" sd="0" x="574"/>
        <item h="1" sd="0" x="367"/>
        <item h="1" sd="0" x="270"/>
        <item h="1" sd="0" m="1" x="940"/>
        <item h="1" sd="0" m="1" x="905"/>
        <item h="1" sd="0" x="427"/>
        <item h="1" sd="0" x="411"/>
        <item h="1" sd="0" x="465"/>
        <item h="1" sd="0" m="1" x="941"/>
        <item h="1" sd="0" m="1" x="921"/>
        <item h="1" sd="0" m="1" x="1032"/>
        <item h="1" sd="0" m="1" x="975"/>
        <item h="1" sd="0" m="1" x="937"/>
        <item h="1" sd="0" x="366"/>
        <item h="1" sd="0" x="437"/>
        <item h="1" sd="0" x="506"/>
        <item h="1" sd="0" x="632"/>
        <item h="1" sd="0" m="1" x="951"/>
        <item h="1" sd="0" x="567"/>
        <item h="1" sd="0" x="665"/>
        <item h="1" x="797"/>
        <item h="1" sd="0" x="534"/>
        <item h="1" sd="0" x="456"/>
        <item h="1" sd="0" x="318"/>
        <item h="1" sd="0" m="1" x="898"/>
        <item h="1" x="800"/>
        <item h="1" sd="0" x="697"/>
        <item h="1" sd="0" x="312"/>
        <item h="1" sd="0" x="273"/>
        <item h="1" sd="0" x="428"/>
        <item h="1" sd="0" x="519"/>
        <item h="1" sd="0" m="1" x="997"/>
        <item h="1" sd="0" x="396"/>
        <item h="1" x="751"/>
        <item h="1" sd="0" x="605"/>
        <item h="1" sd="0" x="402"/>
        <item h="1" sd="0" x="710"/>
        <item h="1" sd="0" x="201"/>
        <item h="1" sd="0" m="1" x="925"/>
        <item h="1" x="779"/>
        <item h="1" sd="0" x="160"/>
        <item h="1" sd="0" x="443"/>
        <item h="1" sd="0" m="1" x="1029"/>
        <item h="1" sd="0" m="1" x="989"/>
        <item h="1" sd="0" m="1" x="883"/>
        <item h="1" x="746"/>
        <item h="1" sd="0" x="451"/>
        <item h="1" sd="0" x="538"/>
        <item h="1" sd="0" x="414"/>
        <item h="1" sd="0" x="413"/>
        <item h="1" sd="0" x="277"/>
        <item h="1" sd="0" x="467"/>
        <item h="1" sd="0" m="1" x="983"/>
        <item h="1" sd="0" x="225"/>
        <item h="1" sd="0" m="1" x="855"/>
        <item h="1" sd="0" m="1" x="858"/>
        <item h="1" sd="0" x="522"/>
        <item h="1" x="819"/>
        <item h="1" sd="0" x="468"/>
        <item h="1" sd="0" x="539"/>
        <item h="1" x="804"/>
        <item h="1" sd="0" x="633"/>
        <item h="1" sd="0" m="1" x="869"/>
        <item h="1" sd="0" x="292"/>
        <item h="1" sd="0" x="15"/>
        <item h="1" sd="0" m="1" x="896"/>
        <item h="1" sd="0" m="1" x="911"/>
        <item h="1" sd="0" x="662"/>
        <item h="1" sd="0" x="0"/>
        <item h="1" sd="0" x="232"/>
        <item h="1" sd="0" x="679"/>
        <item h="1" sd="0" x="213"/>
        <item h="1" sd="0" m="1" x="1031"/>
        <item h="1" sd="0" x="316"/>
        <item h="1" x="749"/>
        <item h="1" sd="0" x="702"/>
        <item h="1" sd="0" x="513"/>
        <item h="1" sd="0" x="436"/>
        <item h="1" sd="0" x="449"/>
        <item h="1" sd="0" m="1" x="840"/>
        <item h="1" sd="0" x="291"/>
        <item h="1" x="739"/>
        <item h="1" sd="0" x="391"/>
        <item h="1" sd="0" x="333"/>
        <item h="1" x="793"/>
        <item h="1" x="787"/>
        <item sd="0" x="339"/>
        <item h="1" sd="0" x="275"/>
        <item h="1" sd="0" m="1" x="872"/>
        <item sd="0" x="174"/>
        <item h="1" sd="0" x="171"/>
        <item h="1" sd="0" x="233"/>
        <item h="1" sd="0" x="78"/>
        <item h="1" sd="0" m="1" x="931"/>
        <item h="1" sd="0" x="236"/>
        <item h="1" sd="0" x="58"/>
        <item h="1" sd="0" m="1" x="1000"/>
        <item h="1" sd="0" x="474"/>
        <item h="1" sd="0" x="511"/>
        <item h="1" sd="0" x="408"/>
        <item h="1" x="812"/>
        <item h="1" sd="0" x="587"/>
        <item h="1" sd="0" x="240"/>
        <item h="1" sd="0" m="1" x="865"/>
        <item h="1" sd="0" x="182"/>
        <item h="1" x="806"/>
        <item h="1" sd="0" x="307"/>
        <item h="1" sd="0" x="782"/>
        <item h="1" sd="0" x="648"/>
        <item h="1" x="776"/>
        <item h="1" sd="0" x="290"/>
        <item h="1" sd="0" m="1" x="957"/>
        <item h="1" sd="0" m="1" x="1018"/>
        <item h="1" sd="0" x="636"/>
        <item h="1" sd="0" x="499"/>
        <item h="1" sd="0" x="447"/>
        <item h="1" sd="0" x="132"/>
        <item h="1" sd="0" x="56"/>
        <item h="1" sd="0" x="126"/>
        <item h="1" sd="0" x="22"/>
        <item h="1" sd="0" x="187"/>
        <item h="1" sd="0" m="1" x="846"/>
        <item h="1" sd="0" m="1" x="1049"/>
        <item h="1" sd="0" m="1" x="852"/>
        <item h="1" sd="0" x="11"/>
        <item h="1" sd="0" x="670"/>
        <item h="1" sd="0" x="353"/>
        <item h="1" sd="0" x="542"/>
        <item h="1" sd="0" m="1" x="936"/>
        <item h="1" sd="0" x="124"/>
        <item h="1" sd="0" x="646"/>
        <item h="1" sd="0" m="1" x="1079"/>
        <item h="1" sd="0" x="77"/>
        <item h="1" sd="0" m="1" x="961"/>
        <item h="1" sd="0" x="435"/>
        <item h="1" sd="0" x="92"/>
        <item h="1" sd="0" x="35"/>
        <item h="1" sd="0" x="196"/>
        <item h="1" sd="0" m="1" x="1058"/>
        <item h="1" sd="0" x="1"/>
        <item h="1" sd="0" x="180"/>
        <item h="1" sd="0" x="430"/>
        <item h="1" sd="0" x="285"/>
        <item h="1" x="747"/>
        <item h="1" sd="0" x="581"/>
        <item h="1" sd="0" m="1" x="978"/>
        <item h="1" sd="0" x="42"/>
        <item h="1" sd="0" x="469"/>
        <item h="1" sd="0" x="440"/>
        <item h="1" sd="0" m="1" x="999"/>
        <item h="1" sd="0" m="1" x="969"/>
        <item h="1" sd="0" m="1" x="986"/>
        <item h="1" sd="0" m="1" x="919"/>
        <item h="1" sd="0" x="84"/>
        <item h="1" sd="0" x="106"/>
        <item h="1" sd="0" x="727"/>
        <item h="1" sd="0" m="1" x="831"/>
        <item h="1" sd="0" x="526"/>
        <item h="1" sd="0" x="592"/>
        <item h="1" sd="0" x="484"/>
        <item h="1" sd="0" x="336"/>
        <item h="1" sd="0" x="659"/>
        <item h="1" sd="0" x="669"/>
        <item h="1" sd="0" m="1" x="992"/>
        <item h="1" sd="0" x="560"/>
        <item h="1" sd="0" x="714"/>
        <item sd="0" x="709"/>
        <item h="1" x="795"/>
        <item sd="0" x="599"/>
        <item h="1" sd="0" m="1" x="833"/>
        <item h="1" sd="0" m="1" x="828"/>
        <item h="1" sd="0" m="1" x="979"/>
        <item h="1" sd="0" m="1" x="861"/>
        <item h="1" sd="0" x="515"/>
        <item h="1" sd="0" x="715"/>
        <item h="1" sd="0" x="677"/>
        <item h="1" x="814"/>
        <item h="1" sd="0" x="698"/>
        <item h="1" sd="0" m="1" x="1009"/>
        <item h="1" x="783"/>
        <item h="1" x="802"/>
        <item h="1" sd="0" m="1" x="862"/>
        <item h="1" sd="0" x="16"/>
        <item h="1" sd="0" m="1" x="944"/>
        <item h="1" sd="0" x="407"/>
        <item h="1" sd="0" x="603"/>
        <item h="1" sd="0" m="1" x="988"/>
        <item h="1" sd="0" m="1" x="901"/>
        <item h="1" sd="0" x="280"/>
        <item h="1" sd="0" x="104"/>
        <item h="1" sd="0" x="332"/>
        <item h="1" sd="0" m="1" x="924"/>
        <item h="1" sd="0" x="348"/>
        <item h="1" sd="0" x="23"/>
        <item sd="0" x="693"/>
        <item h="1" sd="0" m="1" x="87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9"/>
        <item h="1" sd="0" m="1" x="1044"/>
        <item h="1" sd="0" x="87"/>
        <item h="1" sd="0" x="501"/>
        <item h="1" sd="0" x="690"/>
        <item h="1" sd="0" x="450"/>
        <item h="1" sd="0" x="33"/>
        <item h="1" x="821"/>
        <item h="1" sd="0" x="19"/>
        <item h="1" sd="0" x="389"/>
        <item h="1" sd="0" m="1" x="835"/>
        <item h="1" sd="0" x="403"/>
        <item h="1" sd="0" x="20"/>
        <item h="1" sd="0" m="1" x="847"/>
        <item h="1" sd="0" x="584"/>
        <item h="1" sd="0" x="96"/>
        <item h="1" sd="0" x="555"/>
        <item h="1" sd="0" x="438"/>
        <item h="1" sd="0" m="1" x="874"/>
        <item h="1" sd="0" m="1" x="1061"/>
        <item h="1" sd="0" m="1" x="1038"/>
        <item h="1" sd="0" m="1" x="912"/>
        <item h="1" sd="0" x="588"/>
        <item h="1" sd="0" x="120"/>
        <item h="1" sd="0" x="590"/>
        <item h="1" sd="0" x="131"/>
        <item h="1" sd="0" x="119"/>
        <item h="1" sd="0" m="1" x="990"/>
        <item h="1" sd="0" m="1" x="955"/>
        <item h="1" sd="0" m="1" x="981"/>
        <item h="1" sd="0" m="1" x="845"/>
        <item h="1" sd="0" m="1" x="967"/>
        <item h="1" sd="0" x="228"/>
        <item h="1" sd="0" x="39"/>
        <item h="1" sd="0" x="619"/>
        <item h="1" sd="0" x="108"/>
        <item h="1" sd="0" x="24"/>
        <item h="1" x="729"/>
        <item h="1" sd="0" x="139"/>
        <item h="1" sd="0" x="393"/>
        <item h="1" sd="0" m="1" x="1048"/>
        <item h="1" sd="0" x="613"/>
        <item h="1" sd="0" x="17"/>
        <item h="1" sd="0" x="461"/>
        <item h="1" x="742"/>
        <item h="1" x="799"/>
        <item h="1" x="768"/>
        <item h="1" sd="0" x="441"/>
        <item h="1" sd="0" x="248"/>
        <item h="1" sd="0" x="48"/>
        <item h="1" sd="0" m="1" x="963"/>
        <item h="1" sd="0" m="1" x="1023"/>
        <item h="1" sd="0" x="134"/>
        <item h="1" sd="0" x="596"/>
        <item h="1" sd="0" m="1" x="933"/>
        <item h="1" sd="0" x="69"/>
        <item h="1" x="788"/>
        <item h="1" sd="0" x="654"/>
        <item h="1" sd="0" m="1" x="996"/>
        <item h="1" sd="0" x="34"/>
        <item h="1" sd="0" x="206"/>
        <item h="1" sd="0" m="1" x="1064"/>
        <item h="1" sd="0" m="1" x="939"/>
        <item h="1" sd="0" m="1" x="958"/>
        <item h="1" sd="0" m="1" x="900"/>
        <item h="1" x="786"/>
        <item h="1" sd="0" x="268"/>
        <item h="1" sd="0" x="376"/>
        <item h="1" sd="0" x="331"/>
        <item h="1" sd="0" m="1" x="892"/>
        <item h="1" sd="0" x="360"/>
        <item h="1" sd="0" m="1" x="1039"/>
        <item h="1" sd="0" x="89"/>
        <item h="1" sd="0" x="355"/>
        <item sd="0" x="642"/>
        <item h="1" sd="0" m="1" x="938"/>
        <item h="1" sd="0" x="168"/>
        <item h="1" sd="0" m="1" x="836"/>
        <item h="1" sd="0" m="1" x="829"/>
        <item h="1" sd="0" x="473"/>
        <item h="1" sd="0" x="272"/>
        <item h="1" sd="0" x="523"/>
        <item h="1" sd="0" x="51"/>
        <item h="1" sd="0" x="190"/>
        <item h="1" sd="0" x="625"/>
        <item h="1" sd="0" x="50"/>
        <item h="1" x="822"/>
        <item h="1" sd="0" x="79"/>
        <item h="1" sd="0" x="32"/>
        <item h="1" sd="0" m="1" x="1026"/>
        <item h="1" sd="0" x="667"/>
        <item h="1" sd="0" x="188"/>
        <item h="1" x="789"/>
        <item h="1" x="764"/>
        <item h="1" sd="0" x="110"/>
        <item h="1" sd="0" m="1" x="1045"/>
        <item h="1" x="775"/>
        <item h="1" sd="0" m="1" x="1042"/>
        <item h="1" sd="0" m="1" x="948"/>
        <item h="1" sd="0" m="1" x="894"/>
        <item h="1" sd="0" m="1" x="943"/>
        <item h="1" sd="0" m="1" x="915"/>
        <item h="1" sd="0" x="226"/>
        <item h="1" sd="0" x="57"/>
        <item h="1" sd="0" m="1" x="946"/>
        <item h="1" sd="0" x="530"/>
        <item h="1" sd="0" x="554"/>
        <item h="1" x="734"/>
        <item h="1" sd="0" x="340"/>
        <item h="1" sd="0" x="604"/>
        <item h="1" sd="0" x="265"/>
        <item h="1" sd="0" x="448"/>
        <item h="1" sd="0" x="628"/>
        <item h="1" x="770"/>
        <item h="1" sd="0" m="1" x="984"/>
        <item h="1" sd="0" x="294"/>
        <item h="1" sd="0" m="1" x="973"/>
        <item h="1" sd="0" x="585"/>
        <item h="1" sd="0" x="583"/>
        <item h="1" sd="0" x="62"/>
        <item h="1" sd="0" x="295"/>
        <item h="1" sd="0" x="3"/>
        <item h="1" sd="0" x="151"/>
        <item h="1" sd="0" x="415"/>
        <item h="1" sd="0" x="503"/>
        <item h="1" sd="0" x="210"/>
        <item h="1" sd="0" x="54"/>
        <item h="1" sd="0" m="1" x="1004"/>
        <item h="1" sd="0" m="1" x="987"/>
        <item h="1" sd="0" x="387"/>
        <item h="1" sd="0" m="1" x="848"/>
        <item h="1" sd="0" x="323"/>
        <item h="1" sd="0" x="713"/>
        <item h="1" sd="0" x="678"/>
        <item h="1" sd="0" m="1" x="881"/>
        <item h="1" sd="0" x="75"/>
        <item h="1" sd="0" x="476"/>
        <item h="1" sd="0" x="527"/>
        <item h="1" sd="0" m="1" x="910"/>
        <item h="1" sd="0" x="186"/>
        <item h="1" sd="0" x="486"/>
        <item h="1" sd="0" x="674"/>
        <item h="1" sd="0" x="429"/>
        <item h="1" sd="0" x="361"/>
        <item h="1" sd="0" x="368"/>
        <item h="1" x="820"/>
        <item sd="0" x="721"/>
        <item sd="0" x="766"/>
        <item h="1" sd="0" x="327"/>
        <item h="1" sd="0" x="195"/>
        <item h="1" sd="0" x="687"/>
        <item h="1" x="774"/>
        <item h="1" sd="0" x="566"/>
        <item h="1" sd="0" m="1" x="977"/>
        <item h="1" sd="0" m="1" x="1017"/>
        <item h="1" sd="0" x="123"/>
        <item h="1" sd="0" x="497"/>
        <item sd="0" x="719"/>
        <item h="1" sd="0" m="1" x="907"/>
        <item h="1" sd="0" x="194"/>
        <item h="1" sd="0" x="557"/>
        <item h="1" sd="0" x="663"/>
        <item h="1" sd="0" x="121"/>
        <item h="1" x="772"/>
        <item h="1" sd="0" x="53"/>
        <item h="1" sd="0" x="472"/>
        <item h="1" sd="0" x="549"/>
        <item h="1" sd="0" x="565"/>
        <item h="1" sd="0" m="1" x="1034"/>
        <item h="1" m="1" x="959"/>
        <item h="1" sd="0" x="278"/>
        <item h="1" x="750"/>
        <item h="1" sd="0" x="212"/>
        <item h="1" sd="0" m="1" x="916"/>
        <item h="1" sd="0" m="1" x="1019"/>
        <item h="1" sd="0" m="1" x="1010"/>
        <item h="1" sd="0" x="631"/>
        <item h="1" sd="0" m="1" x="1077"/>
        <item h="1" sd="0" m="1" x="863"/>
        <item h="1" sd="0" x="675"/>
        <item h="1" sd="0" m="1" x="1071"/>
        <item h="1" sd="0" x="691"/>
        <item h="1" sd="0" x="117"/>
        <item h="1" sd="0" x="111"/>
        <item h="1" x="796"/>
        <item h="1" sd="0" x="671"/>
        <item h="1" sd="0" x="502"/>
        <item h="1" sd="0" x="417"/>
        <item h="1" sd="0" x="81"/>
        <item h="1" sd="0" x="7"/>
        <item h="1" sd="0" x="235"/>
        <item h="1" sd="0" x="434"/>
        <item h="1" sd="0" x="287"/>
        <item h="1" sd="0" m="1" x="1008"/>
        <item h="1" sd="0" m="1" x="1055"/>
        <item h="1" sd="0" x="491"/>
        <item h="1" sd="0" x="722"/>
        <item h="1" sd="0" x="2"/>
        <item h="1" sd="0" x="637"/>
        <item h="1" sd="0" m="1" x="1070"/>
        <item h="1" sd="0" m="1" x="929"/>
        <item h="1" sd="0" x="692"/>
        <item h="1" sd="0" x="536"/>
        <item h="1" x="818"/>
        <item h="1" sd="0" x="163"/>
        <item h="1" sd="0" x="431"/>
        <item h="1" sd="0" m="1" x="1002"/>
        <item h="1" sd="0" x="650"/>
        <item h="1" sd="0" x="680"/>
        <item h="1" sd="0" x="478"/>
        <item h="1" sd="0" x="602"/>
        <item h="1" sd="0" m="1" x="889"/>
        <item h="1" sd="0" x="445"/>
        <item h="1" sd="0" m="1" x="875"/>
        <item h="1" sd="0" m="1" x="1078"/>
        <item h="1" sd="0" m="1" x="842"/>
        <item h="1" sd="0" m="1" x="839"/>
        <item h="1" sd="0" x="130"/>
        <item h="1" sd="0" x="88"/>
        <item h="1" sd="0" m="1" x="1073"/>
        <item h="1" sd="0" x="204"/>
        <item h="1" sd="0" x="72"/>
        <item h="1" sd="0" x="73"/>
        <item h="1" sd="0" x="28"/>
        <item h="1" sd="0" x="47"/>
        <item h="1" sd="0" x="181"/>
        <item h="1" sd="0" x="26"/>
        <item h="1" sd="0" x="86"/>
        <item h="1" sd="0" x="230"/>
        <item h="1" sd="0" m="1" x="945"/>
        <item h="1" sd="0" m="1" x="928"/>
        <item h="1" x="737"/>
        <item h="1" sd="0" m="1" x="96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8"/>
        <item h="1" sd="0" x="359"/>
        <item h="1" sd="0" m="1" x="1068"/>
        <item h="1" sd="0" x="425"/>
        <item h="1" sd="0" x="269"/>
        <item h="1" sd="0" x="215"/>
        <item h="1" sd="0" x="349"/>
        <item h="1" sd="0" x="283"/>
        <item h="1" sd="0" x="185"/>
        <item h="1" sd="0" x="460"/>
        <item h="1" sd="0" x="220"/>
        <item h="1" x="807"/>
        <item h="1" sd="0" x="703"/>
        <item h="1" sd="0" x="598"/>
        <item h="1" sd="0" x="644"/>
        <item h="1" x="753"/>
        <item h="1" sd="0" x="624"/>
        <item h="1" sd="0" x="547"/>
        <item h="1" sd="0" m="1" x="1056"/>
        <item h="1" sd="0" m="1" x="834"/>
        <item h="1" sd="0" x="4"/>
        <item h="1" sd="0" x="377"/>
        <item h="1" x="808"/>
        <item h="1" sd="0" x="262"/>
        <item h="1" sd="0" x="454"/>
        <item h="1" sd="0" x="326"/>
        <item h="1" sd="0" x="173"/>
        <item h="1" sd="0" x="200"/>
        <item h="1" x="809"/>
        <item h="1" x="785"/>
        <item h="1" sd="0" m="1" x="873"/>
        <item h="1" sd="0" x="725"/>
        <item h="1" x="798"/>
        <item h="1" sd="0" x="495"/>
        <item h="1" sd="0" x="345"/>
        <item h="1" sd="0" x="717"/>
        <item h="1" sd="0" x="568"/>
        <item h="1" sd="0" x="640"/>
        <item h="1" sd="0" x="482"/>
        <item h="1" sd="0" x="726"/>
        <item h="1" sd="0" x="30"/>
        <item h="1" sd="0" m="1" x="1005"/>
        <item h="1" sd="0" x="242"/>
        <item h="1" sd="0" x="591"/>
        <item h="1" sd="0" x="645"/>
        <item h="1" sd="0" m="1" x="935"/>
        <item h="1" sd="0" m="1" x="843"/>
        <item h="1" sd="0" x="694"/>
        <item h="1" sd="0" x="470"/>
        <item h="1" sd="0" x="243"/>
        <item h="1" sd="0" m="1" x="1050"/>
        <item h="1" sd="0" x="622"/>
        <item h="1" sd="0" x="398"/>
        <item h="1" sd="0" m="1" x="882"/>
        <item h="1" sd="0" m="1" x="1053"/>
        <item h="1" sd="0" m="1" x="953"/>
        <item h="1" sd="0" x="551"/>
        <item h="1" sd="0" x="303"/>
        <item h="1" sd="0" x="532"/>
        <item h="1" sd="0" x="37"/>
        <item h="1" sd="0" x="357"/>
        <item h="1" sd="0" x="487"/>
        <item h="1" sd="0" x="658"/>
        <item h="1" sd="0" x="686"/>
        <item h="1" sd="0" x="512"/>
        <item h="1" x="780"/>
        <item h="1" sd="0" m="1" x="947"/>
        <item h="1" sd="0" m="1" x="998"/>
        <item h="1" sd="0" x="115"/>
        <item h="1" sd="0" m="1" x="1047"/>
        <item h="1" sd="0" m="1" x="854"/>
        <item h="1" sd="0" x="324"/>
        <item sd="0" x="518"/>
        <item h="1" sd="0" m="1" x="917"/>
        <item h="1" sd="0" x="128"/>
        <item h="1" sd="0" x="520"/>
        <item h="1" sd="0" m="1" x="1054"/>
        <item h="1" sd="0" m="1" x="1030"/>
        <item h="1" sd="0" x="255"/>
        <item h="1" sd="0" x="199"/>
        <item h="1" sd="0" x="329"/>
        <item h="1" sd="0" x="297"/>
        <item h="1" sd="0" x="310"/>
        <item h="1" x="741"/>
        <item h="1" sd="0" x="83"/>
        <item h="1" sd="0" m="1" x="954"/>
        <item h="1" sd="0" x="600"/>
        <item h="1" sd="0" m="1" x="837"/>
        <item h="1" sd="0" x="80"/>
        <item h="1" sd="0" m="1" x="906"/>
        <item h="1" sd="0" m="1" x="1043"/>
        <item h="1" sd="0" x="97"/>
        <item h="1" sd="0" x="564"/>
        <item h="1" sd="0" x="289"/>
        <item h="1" sd="0" m="1" x="993"/>
        <item h="1" sd="0" x="116"/>
        <item h="1" sd="0" x="209"/>
        <item h="1" sd="0" x="452"/>
        <item h="1" sd="0" x="684"/>
        <item h="1" sd="0" x="198"/>
        <item h="1" sd="0" x="401"/>
        <item h="1" sd="0" x="656"/>
        <item h="1" sd="0" x="150"/>
        <item h="1" sd="0" x="136"/>
        <item h="1" sd="0" m="1" x="934"/>
        <item h="1" sd="0" x="676"/>
        <item h="1" sd="0" m="1" x="867"/>
        <item h="1" sd="0" x="109"/>
        <item h="1" sd="0" x="397"/>
        <item sd="0" x="664"/>
        <item h="1" sd="0" x="498"/>
        <item h="1" sd="0" x="706"/>
        <item h="1" sd="0" x="649"/>
        <item h="1" sd="0" x="514"/>
        <item h="1" sd="0" x="558"/>
        <item h="1" sd="0" x="524"/>
        <item h="1" sd="0" m="1" x="913"/>
        <item h="1" sd="0" x="660"/>
        <item h="1" sd="0" m="1" x="1014"/>
        <item h="1" x="334"/>
        <item sd="0" x="757"/>
        <item h="1" sd="0" x="728"/>
        <item h="1" sd="0" x="284"/>
        <item h="1" sd="0" x="296"/>
        <item h="1" sd="0" x="211"/>
        <item h="1" sd="0" x="582"/>
        <item h="1" sd="0" x="45"/>
        <item h="1" sd="0" m="1" x="994"/>
        <item h="1" sd="0" m="1" x="985"/>
        <item h="1" sd="0" x="507"/>
        <item h="1" sd="0" x="155"/>
        <item h="1" sd="0" m="1" x="1015"/>
        <item h="1" sd="0" x="61"/>
        <item h="1" sd="0" x="129"/>
        <item h="1" sd="0" x="105"/>
        <item h="1" sd="0" x="614"/>
        <item sd="0" x="716"/>
        <item h="1" sd="0" m="1" x="860"/>
        <item h="1" sd="0" x="157"/>
        <item h="1" sd="0" x="14"/>
        <item h="1" sd="0" x="43"/>
        <item h="1" sd="0" x="250"/>
        <item h="1" sd="0" x="238"/>
        <item h="1" sd="0" x="103"/>
        <item h="1" sd="0" x="385"/>
        <item h="1" sd="0" x="70"/>
        <item h="1" sd="0" x="299"/>
        <item h="1" sd="0" x="127"/>
        <item h="1" sd="0" m="1" x="830"/>
        <item h="1" sd="0" x="193"/>
        <item h="1" sd="0" x="147"/>
        <item h="1" sd="0" m="1" x="949"/>
        <item h="1" sd="0" x="548"/>
        <item h="1" sd="0" m="1" x="970"/>
        <item h="1" sd="0" x="610"/>
        <item h="1" sd="0" x="405"/>
        <item sd="0" x="748"/>
        <item h="1" sd="0" m="1" x="904"/>
        <item h="1" m="1" x="886"/>
        <item h="1" x="594"/>
        <item h="1" sd="0" x="99"/>
        <item h="1" sd="0" x="344"/>
        <item h="1" sd="0" x="541"/>
        <item h="1" sd="0" x="689"/>
        <item h="1" x="781"/>
        <item h="1" sd="0" x="612"/>
        <item h="1" sd="0" x="221"/>
        <item h="1" sd="0" x="607"/>
        <item h="1" sd="0" m="1" x="1067"/>
        <item h="1" sd="0" m="1" x="1072"/>
        <item h="1" sd="0" x="271"/>
        <item h="1" sd="0" m="1" x="980"/>
        <item h="1" sd="0" x="166"/>
        <item h="1" sd="0" x="286"/>
        <item sd="0" x="611"/>
        <item h="1" sd="0" x="531"/>
        <item h="1" sd="0" x="621"/>
        <item h="1" sd="0" x="304"/>
        <item h="1" sd="0" m="1" x="942"/>
        <item h="1" sd="0" x="458"/>
        <item h="1" sd="0" x="439"/>
        <item h="1" sd="0" x="543"/>
        <item h="1" sd="0" x="609"/>
        <item h="1" sd="0" x="138"/>
        <item h="1" sd="0" x="41"/>
        <item h="1" sd="0" x="229"/>
        <item h="1" sd="0" x="420"/>
        <item h="1" sd="0" m="1" x="1001"/>
        <item h="1" sd="0" x="617"/>
        <item h="1" sd="0" x="71"/>
        <item h="1" sd="0" x="64"/>
        <item h="1" sd="0" x="492"/>
        <item h="1" sd="0" m="1" x="926"/>
        <item h="1" sd="0" m="1" x="920"/>
        <item h="1" x="732"/>
        <item h="1" sd="0" x="432"/>
        <item h="1" x="745"/>
        <item h="1" sd="0" x="540"/>
        <item h="1" sd="0" x="455"/>
        <item h="1" sd="0" x="44"/>
        <item h="1" sd="0" x="114"/>
        <item h="1" sd="0" x="52"/>
        <item h="1" sd="0" x="142"/>
        <item h="1" sd="0" x="579"/>
        <item h="1" sd="0" x="82"/>
        <item h="1" sd="0" x="245"/>
        <item h="1" sd="0" x="457"/>
        <item h="1" sd="0" x="314"/>
        <item h="1" sd="0" m="1" x="1040"/>
        <item h="1" sd="0" x="373"/>
        <item h="1" sd="0" m="1" x="1011"/>
        <item h="1" x="767"/>
        <item h="1" sd="0" x="720"/>
        <item h="1" sd="0" x="418"/>
        <item h="1" sd="0" x="308"/>
        <item h="1" sd="0" m="1" x="971"/>
        <item h="1" sd="0" m="1" x="1037"/>
        <item h="1" sd="0" x="122"/>
        <item h="1" sd="0" x="118"/>
        <item h="1" sd="0" x="661"/>
        <item h="1" sd="0" m="1" x="99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6"/>
        <item h="1" sd="0" x="652"/>
        <item h="1" sd="0" x="647"/>
        <item h="1" sd="0" x="608"/>
        <item h="1" sd="0" x="328"/>
        <item h="1" sd="0" x="350"/>
        <item h="1" sd="0" x="254"/>
        <item h="1" sd="0" x="320"/>
        <item h="1" sd="0" x="620"/>
        <item h="1" x="823"/>
        <item h="1" sd="0" x="241"/>
        <item h="1" sd="0" x="158"/>
        <item h="1" sd="0" m="1" x="968"/>
        <item h="1" sd="0" x="475"/>
        <item h="1" x="784"/>
        <item h="1" sd="0" x="416"/>
        <item h="1" sd="0" m="1" x="932"/>
        <item h="1" sd="0" m="1" x="1024"/>
        <item h="1" sd="0" m="1" x="838"/>
        <item h="1" sd="0" x="529"/>
        <item h="1" sd="0" m="1" x="826"/>
        <item h="1" sd="0" x="657"/>
        <item h="1" x="740"/>
        <item h="1" sd="0" m="1" x="890"/>
        <item h="1" sd="0" x="143"/>
        <item h="1" sd="0" m="1" x="825"/>
        <item h="1" sd="0" m="1" x="1028"/>
        <item h="1" sd="0" x="276"/>
        <item h="1" sd="0" x="298"/>
        <item h="1" sd="0" x="424"/>
        <item h="1" sd="0" x="696"/>
        <item h="1" sd="0" x="346"/>
        <item h="1" sd="0" x="485"/>
        <item h="1" sd="0" x="306"/>
        <item h="1" sd="0" x="561"/>
        <item h="1" sd="0" m="1" x="105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8"/>
        <item h="1" sd="0" m="1" x="972"/>
        <item h="1" sd="0" x="578"/>
        <item h="1" sd="0" m="1" x="1074"/>
        <item h="1" sd="0" x="552"/>
        <item h="1" sd="0" m="1" x="927"/>
        <item h="1" sd="0" m="1" x="909"/>
        <item h="1" sd="0" m="1" x="908"/>
        <item h="1" sd="0" x="382"/>
        <item h="1" sd="0" x="90"/>
        <item h="1" sd="0" x="390"/>
        <item h="1" sd="0" x="202"/>
        <item h="1" sd="0" x="67"/>
        <item h="1" sd="0" m="1" x="1003"/>
        <item h="1" sd="0" x="701"/>
        <item h="1" sd="0" x="65"/>
        <item h="1" sd="0" x="247"/>
        <item h="1" sd="0" m="1" x="879"/>
        <item h="1" sd="0" x="712"/>
        <item h="1" sd="0" x="216"/>
        <item h="1" sd="0" m="1" x="891"/>
        <item h="1" sd="0" x="141"/>
        <item h="1" sd="0" x="177"/>
        <item h="1" sd="0" x="305"/>
        <item h="1" sd="0" m="1" x="887"/>
        <item h="1" sd="0" x="426"/>
        <item h="1" sd="0" x="404"/>
        <item sd="0" x="655"/>
        <item h="1" x="738"/>
        <item h="1" sd="0" x="400"/>
        <item h="1" sd="0" x="347"/>
        <item h="1" sd="0" m="1" x="1066"/>
        <item h="1" sd="0" m="1" x="952"/>
        <item h="1" sd="0" x="293"/>
        <item h="1" sd="0" x="148"/>
        <item h="1" sd="0" x="354"/>
        <item h="1" x="791"/>
        <item h="1" sd="0" m="1" x="1006"/>
        <item h="1" sd="0" x="27"/>
        <item h="1" sd="0" m="1" x="1016"/>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3"/>
        <item h="1" sd="0" x="586"/>
        <item h="1" sd="0" x="412"/>
        <item h="1" sd="0" x="516"/>
        <item h="1" sd="0" x="29"/>
        <item h="1" sd="0" m="1" x="1060"/>
        <item h="1" sd="0" x="9"/>
        <item h="1" x="761"/>
        <item h="1" sd="0" x="335"/>
        <item h="1" sd="0" m="1" x="956"/>
        <item h="1" sd="0" m="1" x="982"/>
        <item h="1" sd="0" m="1" x="922"/>
        <item h="1" sd="0" x="234"/>
        <item h="1" sd="0" x="162"/>
        <item h="1" sd="0" x="410"/>
        <item h="1" sd="0" m="1" x="895"/>
        <item h="1" sd="0" x="629"/>
        <item h="1" sd="0" m="1" x="1027"/>
        <item h="1" sd="0" m="1" x="1057"/>
        <item h="1" sd="0" x="477"/>
        <item h="1" sd="0" x="544"/>
        <item h="1" sd="0" x="546"/>
        <item h="1" sd="0" m="1" x="880"/>
        <item h="1" sd="0" x="615"/>
        <item h="1" sd="0" x="682"/>
        <item h="1" sd="0" m="1" x="1041"/>
        <item h="1" sd="0" x="300"/>
        <item h="1" sd="0" x="167"/>
        <item h="1" sd="0" x="76"/>
        <item h="1" sd="0" x="444"/>
        <item h="1" sd="0" m="1" x="1020"/>
        <item h="1" sd="0" x="342"/>
        <item sd="0" x="735"/>
        <item h="1" m="1" x="827"/>
        <item h="1" sd="0" x="341"/>
        <item h="1" x="769"/>
        <item h="1" sd="0" m="1" x="856"/>
        <item h="1" sd="0" m="1" x="918"/>
        <item h="1" sd="0" x="618"/>
        <item h="1" sd="0" m="1" x="995"/>
        <item h="1" sd="0" m="1" x="974"/>
        <item h="1" sd="0" x="380"/>
        <item h="1" m="1" x="824"/>
        <item h="1" sd="0" x="433"/>
        <item h="1" sd="0" m="1" x="1013"/>
        <item h="1" sd="0" x="113"/>
        <item h="1" x="771"/>
        <item h="1" sd="0" x="559"/>
        <item h="1" sd="0" x="251"/>
        <item h="1" sd="0" x="176"/>
        <item h="1" sd="0" x="446"/>
        <item h="1" sd="0" x="372"/>
        <item h="1" sd="0" x="246"/>
        <item h="1" x="733"/>
        <item h="1" sd="0" m="1" x="844"/>
        <item h="1" sd="0" x="257"/>
        <item h="1" sd="0" x="95"/>
        <item h="1" x="813"/>
        <item h="1" x="773"/>
        <item sd="0" x="338"/>
        <item h="1" sd="0" x="36"/>
        <item h="1" sd="0" m="1" x="897"/>
        <item h="1" sd="0" x="381"/>
        <item h="1" sd="0" x="21"/>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6"/>
    </i>
    <i>
      <x v="537"/>
    </i>
    <i>
      <x v="547"/>
    </i>
    <i>
      <x v="653"/>
    </i>
    <i>
      <x v="659"/>
    </i>
    <i>
      <x v="732"/>
    </i>
    <i>
      <x v="769"/>
    </i>
    <i>
      <x v="780"/>
    </i>
    <i>
      <x v="796"/>
    </i>
    <i>
      <x v="816"/>
    </i>
    <i>
      <x v="834"/>
    </i>
    <i>
      <x v="986"/>
    </i>
    <i>
      <x v="1008"/>
    </i>
    <i>
      <x v="1048"/>
    </i>
    <i>
      <x v="107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33">
      <pivotArea type="all" dataOnly="0" outline="0" fieldPosition="0"/>
    </format>
    <format dxfId="432">
      <pivotArea outline="0" collapsedLevelsAreSubtotals="1" fieldPosition="0"/>
    </format>
    <format dxfId="431">
      <pivotArea dataOnly="0" labelOnly="1" outline="0" fieldPosition="0">
        <references count="1">
          <reference field="4294967294" count="3">
            <x v="0"/>
            <x v="1"/>
            <x v="2"/>
          </reference>
        </references>
      </pivotArea>
    </format>
    <format dxfId="430">
      <pivotArea type="all" dataOnly="0" outline="0" fieldPosition="0"/>
    </format>
    <format dxfId="429">
      <pivotArea outline="0" collapsedLevelsAreSubtotals="1" fieldPosition="0"/>
    </format>
    <format dxfId="428">
      <pivotArea field="1" type="button" dataOnly="0" labelOnly="1" outline="0" axis="axisRow" fieldPosition="1"/>
    </format>
    <format dxfId="42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5">
      <pivotArea dataOnly="0" labelOnly="1" grandRow="1" outline="0" fieldPosition="0"/>
    </format>
    <format dxfId="424">
      <pivotArea dataOnly="0" labelOnly="1" outline="0" fieldPosition="0">
        <references count="1">
          <reference field="4294967294" count="3">
            <x v="0"/>
            <x v="1"/>
            <x v="2"/>
          </reference>
        </references>
      </pivotArea>
    </format>
    <format dxfId="423">
      <pivotArea type="all" dataOnly="0" outline="0" fieldPosition="0"/>
    </format>
    <format dxfId="422">
      <pivotArea outline="0" collapsedLevelsAreSubtotals="1" fieldPosition="0"/>
    </format>
    <format dxfId="421">
      <pivotArea field="1" type="button" dataOnly="0" labelOnly="1" outline="0" axis="axisRow" fieldPosition="1"/>
    </format>
    <format dxfId="42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8">
      <pivotArea dataOnly="0" labelOnly="1" grandRow="1" outline="0" fieldPosition="0"/>
    </format>
    <format dxfId="417">
      <pivotArea dataOnly="0" labelOnly="1" outline="0" fieldPosition="0">
        <references count="1">
          <reference field="4294967294" count="3">
            <x v="0"/>
            <x v="1"/>
            <x v="2"/>
          </reference>
        </references>
      </pivotArea>
    </format>
    <format dxfId="416">
      <pivotArea type="all" dataOnly="0" outline="0" fieldPosition="0"/>
    </format>
    <format dxfId="415">
      <pivotArea outline="0" collapsedLevelsAreSubtotals="1" fieldPosition="0"/>
    </format>
    <format dxfId="414">
      <pivotArea field="1" type="button" dataOnly="0" labelOnly="1" outline="0" axis="axisRow" fieldPosition="1"/>
    </format>
    <format dxfId="41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1">
      <pivotArea dataOnly="0" labelOnly="1" grandRow="1" outline="0" fieldPosition="0"/>
    </format>
    <format dxfId="410">
      <pivotArea dataOnly="0" labelOnly="1" outline="0" fieldPosition="0">
        <references count="1">
          <reference field="4294967294" count="3">
            <x v="0"/>
            <x v="1"/>
            <x v="2"/>
          </reference>
        </references>
      </pivotArea>
    </format>
    <format dxfId="409">
      <pivotArea dataOnly="0" labelOnly="1" outline="0" fieldPosition="0">
        <references count="1">
          <reference field="4294967294" count="1">
            <x v="2"/>
          </reference>
        </references>
      </pivotArea>
    </format>
    <format dxfId="408">
      <pivotArea dataOnly="0" labelOnly="1" outline="0" fieldPosition="0">
        <references count="1">
          <reference field="4294967294" count="1">
            <x v="2"/>
          </reference>
        </references>
      </pivotArea>
    </format>
    <format dxfId="407">
      <pivotArea dataOnly="0" labelOnly="1" outline="0" fieldPosition="0">
        <references count="1">
          <reference field="4294967294" count="2">
            <x v="0"/>
            <x v="1"/>
          </reference>
        </references>
      </pivotArea>
    </format>
    <format dxfId="406">
      <pivotArea dataOnly="0" labelOnly="1" outline="0" fieldPosition="0">
        <references count="1">
          <reference field="4294967294" count="2">
            <x v="0"/>
            <x v="1"/>
          </reference>
        </references>
      </pivotArea>
    </format>
    <format dxfId="405">
      <pivotArea dataOnly="0" labelOnly="1" outline="0" fieldPosition="0">
        <references count="1">
          <reference field="4294967294" count="2">
            <x v="0"/>
            <x v="1"/>
          </reference>
        </references>
      </pivotArea>
    </format>
    <format dxfId="404">
      <pivotArea dataOnly="0" labelOnly="1" outline="0" fieldPosition="0">
        <references count="1">
          <reference field="4294967294" count="2">
            <x v="0"/>
            <x v="1"/>
          </reference>
        </references>
      </pivotArea>
    </format>
    <format dxfId="403">
      <pivotArea field="1" type="button" dataOnly="0" labelOnly="1" outline="0" axis="axisRow" fieldPosition="1"/>
    </format>
    <format dxfId="402">
      <pivotArea field="1" type="button" dataOnly="0" labelOnly="1" outline="0" axis="axisRow" fieldPosition="1"/>
    </format>
    <format dxfId="401">
      <pivotArea field="1" type="button" dataOnly="0" labelOnly="1" outline="0" axis="axisRow" fieldPosition="1"/>
    </format>
    <format dxfId="400">
      <pivotArea dataOnly="0" labelOnly="1" outline="0" fieldPosition="0">
        <references count="1">
          <reference field="4294967294" count="3">
            <x v="0"/>
            <x v="1"/>
            <x v="2"/>
          </reference>
        </references>
      </pivotArea>
    </format>
    <format dxfId="399">
      <pivotArea field="1" type="button" dataOnly="0" labelOnly="1" outline="0" axis="axisRow" fieldPosition="1"/>
    </format>
    <format dxfId="398">
      <pivotArea dataOnly="0" labelOnly="1" outline="0" fieldPosition="0">
        <references count="1">
          <reference field="4294967294" count="3">
            <x v="0"/>
            <x v="1"/>
            <x v="2"/>
          </reference>
        </references>
      </pivotArea>
    </format>
    <format dxfId="397">
      <pivotArea outline="0" collapsedLevelsAreSubtotals="1" fieldPosition="0"/>
    </format>
    <format dxfId="39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4">
      <pivotArea dataOnly="0" labelOnly="1" grandRow="1" outline="0" fieldPosition="0"/>
    </format>
    <format dxfId="393">
      <pivotArea collapsedLevelsAreSubtotals="1" fieldPosition="0">
        <references count="1">
          <reference field="1" count="1">
            <x v="67"/>
          </reference>
        </references>
      </pivotArea>
    </format>
    <format dxfId="392">
      <pivotArea collapsedLevelsAreSubtotals="1" fieldPosition="0">
        <references count="1">
          <reference field="1" count="1">
            <x v="68"/>
          </reference>
        </references>
      </pivotArea>
    </format>
    <format dxfId="391">
      <pivotArea collapsedLevelsAreSubtotals="1" fieldPosition="0">
        <references count="1">
          <reference field="1" count="1">
            <x v="69"/>
          </reference>
        </references>
      </pivotArea>
    </format>
    <format dxfId="390">
      <pivotArea collapsedLevelsAreSubtotals="1" fieldPosition="0">
        <references count="1">
          <reference field="1" count="1">
            <x v="70"/>
          </reference>
        </references>
      </pivotArea>
    </format>
    <format dxfId="389">
      <pivotArea collapsedLevelsAreSubtotals="1" fieldPosition="0">
        <references count="1">
          <reference field="1" count="1">
            <x v="71"/>
          </reference>
        </references>
      </pivotArea>
    </format>
    <format dxfId="388">
      <pivotArea collapsedLevelsAreSubtotals="1" fieldPosition="0">
        <references count="1">
          <reference field="1" count="1">
            <x v="72"/>
          </reference>
        </references>
      </pivotArea>
    </format>
    <format dxfId="387">
      <pivotArea collapsedLevelsAreSubtotals="1" fieldPosition="0">
        <references count="1">
          <reference field="1" count="1">
            <x v="73"/>
          </reference>
        </references>
      </pivotArea>
    </format>
    <format dxfId="386">
      <pivotArea collapsedLevelsAreSubtotals="1" fieldPosition="0">
        <references count="1">
          <reference field="1" count="1">
            <x v="74"/>
          </reference>
        </references>
      </pivotArea>
    </format>
    <format dxfId="385">
      <pivotArea collapsedLevelsAreSubtotals="1" fieldPosition="0">
        <references count="1">
          <reference field="1" count="1">
            <x v="75"/>
          </reference>
        </references>
      </pivotArea>
    </format>
    <format dxfId="384">
      <pivotArea collapsedLevelsAreSubtotals="1" fieldPosition="0">
        <references count="1">
          <reference field="1" count="1">
            <x v="76"/>
          </reference>
        </references>
      </pivotArea>
    </format>
    <format dxfId="383">
      <pivotArea collapsedLevelsAreSubtotals="1" fieldPosition="0">
        <references count="1">
          <reference field="1" count="1">
            <x v="77"/>
          </reference>
        </references>
      </pivotArea>
    </format>
    <format dxfId="382">
      <pivotArea collapsedLevelsAreSubtotals="1" fieldPosition="0">
        <references count="1">
          <reference field="1" count="1">
            <x v="78"/>
          </reference>
        </references>
      </pivotArea>
    </format>
    <format dxfId="381">
      <pivotArea collapsedLevelsAreSubtotals="1" fieldPosition="0">
        <references count="1">
          <reference field="1" count="1">
            <x v="79"/>
          </reference>
        </references>
      </pivotArea>
    </format>
    <format dxfId="380">
      <pivotArea collapsedLevelsAreSubtotals="1" fieldPosition="0">
        <references count="1">
          <reference field="1" count="1">
            <x v="80"/>
          </reference>
        </references>
      </pivotArea>
    </format>
    <format dxfId="379">
      <pivotArea collapsedLevelsAreSubtotals="1" fieldPosition="0">
        <references count="1">
          <reference field="1" count="1">
            <x v="81"/>
          </reference>
        </references>
      </pivotArea>
    </format>
    <format dxfId="378">
      <pivotArea collapsedLevelsAreSubtotals="1" fieldPosition="0">
        <references count="1">
          <reference field="1" count="1">
            <x v="82"/>
          </reference>
        </references>
      </pivotArea>
    </format>
    <format dxfId="377">
      <pivotArea collapsedLevelsAreSubtotals="1" fieldPosition="0">
        <references count="1">
          <reference field="1" count="1">
            <x v="83"/>
          </reference>
        </references>
      </pivotArea>
    </format>
    <format dxfId="376">
      <pivotArea collapsedLevelsAreSubtotals="1" fieldPosition="0">
        <references count="1">
          <reference field="1" count="1">
            <x v="84"/>
          </reference>
        </references>
      </pivotArea>
    </format>
    <format dxfId="375">
      <pivotArea collapsedLevelsAreSubtotals="1" fieldPosition="0">
        <references count="1">
          <reference field="1" count="1">
            <x v="85"/>
          </reference>
        </references>
      </pivotArea>
    </format>
    <format dxfId="374">
      <pivotArea collapsedLevelsAreSubtotals="1" fieldPosition="0">
        <references count="1">
          <reference field="1" count="1">
            <x v="86"/>
          </reference>
        </references>
      </pivotArea>
    </format>
    <format dxfId="373">
      <pivotArea collapsedLevelsAreSubtotals="1" fieldPosition="0">
        <references count="1">
          <reference field="1" count="1">
            <x v="87"/>
          </reference>
        </references>
      </pivotArea>
    </format>
    <format dxfId="372">
      <pivotArea collapsedLevelsAreSubtotals="1" fieldPosition="0">
        <references count="1">
          <reference field="1" count="1">
            <x v="88"/>
          </reference>
        </references>
      </pivotArea>
    </format>
    <format dxfId="371">
      <pivotArea collapsedLevelsAreSubtotals="1" fieldPosition="0">
        <references count="1">
          <reference field="1" count="1">
            <x v="89"/>
          </reference>
        </references>
      </pivotArea>
    </format>
    <format dxfId="370">
      <pivotArea collapsedLevelsAreSubtotals="1" fieldPosition="0">
        <references count="1">
          <reference field="1" count="1">
            <x v="90"/>
          </reference>
        </references>
      </pivotArea>
    </format>
    <format dxfId="369">
      <pivotArea collapsedLevelsAreSubtotals="1" fieldPosition="0">
        <references count="1">
          <reference field="1" count="1">
            <x v="91"/>
          </reference>
        </references>
      </pivotArea>
    </format>
    <format dxfId="368">
      <pivotArea collapsedLevelsAreSubtotals="1" fieldPosition="0">
        <references count="1">
          <reference field="1" count="1">
            <x v="92"/>
          </reference>
        </references>
      </pivotArea>
    </format>
    <format dxfId="367">
      <pivotArea collapsedLevelsAreSubtotals="1" fieldPosition="0">
        <references count="1">
          <reference field="1" count="1">
            <x v="93"/>
          </reference>
        </references>
      </pivotArea>
    </format>
    <format dxfId="366">
      <pivotArea collapsedLevelsAreSubtotals="1" fieldPosition="0">
        <references count="1">
          <reference field="1" count="1">
            <x v="94"/>
          </reference>
        </references>
      </pivotArea>
    </format>
    <format dxfId="365">
      <pivotArea collapsedLevelsAreSubtotals="1" fieldPosition="0">
        <references count="1">
          <reference field="1" count="1">
            <x v="95"/>
          </reference>
        </references>
      </pivotArea>
    </format>
    <format dxfId="364">
      <pivotArea collapsedLevelsAreSubtotals="1" fieldPosition="0">
        <references count="1">
          <reference field="1" count="1">
            <x v="96"/>
          </reference>
        </references>
      </pivotArea>
    </format>
    <format dxfId="363">
      <pivotArea collapsedLevelsAreSubtotals="1" fieldPosition="0">
        <references count="1">
          <reference field="1" count="1">
            <x v="97"/>
          </reference>
        </references>
      </pivotArea>
    </format>
    <format dxfId="362">
      <pivotArea collapsedLevelsAreSubtotals="1" fieldPosition="0">
        <references count="1">
          <reference field="1" count="1">
            <x v="98"/>
          </reference>
        </references>
      </pivotArea>
    </format>
    <format dxfId="361">
      <pivotArea collapsedLevelsAreSubtotals="1" fieldPosition="0">
        <references count="1">
          <reference field="1" count="1">
            <x v="99"/>
          </reference>
        </references>
      </pivotArea>
    </format>
    <format dxfId="360">
      <pivotArea collapsedLevelsAreSubtotals="1" fieldPosition="0">
        <references count="1">
          <reference field="1" count="1">
            <x v="100"/>
          </reference>
        </references>
      </pivotArea>
    </format>
    <format dxfId="359">
      <pivotArea collapsedLevelsAreSubtotals="1" fieldPosition="0">
        <references count="1">
          <reference field="1" count="1">
            <x v="101"/>
          </reference>
        </references>
      </pivotArea>
    </format>
    <format dxfId="358">
      <pivotArea collapsedLevelsAreSubtotals="1" fieldPosition="0">
        <references count="1">
          <reference field="1" count="1">
            <x v="102"/>
          </reference>
        </references>
      </pivotArea>
    </format>
    <format dxfId="357">
      <pivotArea collapsedLevelsAreSubtotals="1" fieldPosition="0">
        <references count="1">
          <reference field="1" count="1">
            <x v="103"/>
          </reference>
        </references>
      </pivotArea>
    </format>
    <format dxfId="356">
      <pivotArea collapsedLevelsAreSubtotals="1" fieldPosition="0">
        <references count="1">
          <reference field="1" count="1">
            <x v="104"/>
          </reference>
        </references>
      </pivotArea>
    </format>
    <format dxfId="355">
      <pivotArea collapsedLevelsAreSubtotals="1" fieldPosition="0">
        <references count="1">
          <reference field="1" count="1">
            <x v="105"/>
          </reference>
        </references>
      </pivotArea>
    </format>
    <format dxfId="354">
      <pivotArea collapsedLevelsAreSubtotals="1" fieldPosition="0">
        <references count="1">
          <reference field="1" count="1">
            <x v="106"/>
          </reference>
        </references>
      </pivotArea>
    </format>
    <format dxfId="353">
      <pivotArea collapsedLevelsAreSubtotals="1" fieldPosition="0">
        <references count="1">
          <reference field="1" count="1">
            <x v="107"/>
          </reference>
        </references>
      </pivotArea>
    </format>
    <format dxfId="352">
      <pivotArea collapsedLevelsAreSubtotals="1" fieldPosition="0">
        <references count="1">
          <reference field="1" count="1">
            <x v="108"/>
          </reference>
        </references>
      </pivotArea>
    </format>
    <format dxfId="351">
      <pivotArea collapsedLevelsAreSubtotals="1" fieldPosition="0">
        <references count="1">
          <reference field="1" count="1">
            <x v="109"/>
          </reference>
        </references>
      </pivotArea>
    </format>
    <format dxfId="350">
      <pivotArea collapsedLevelsAreSubtotals="1" fieldPosition="0">
        <references count="1">
          <reference field="1" count="1">
            <x v="110"/>
          </reference>
        </references>
      </pivotArea>
    </format>
    <format dxfId="349">
      <pivotArea collapsedLevelsAreSubtotals="1" fieldPosition="0">
        <references count="1">
          <reference field="1" count="1">
            <x v="111"/>
          </reference>
        </references>
      </pivotArea>
    </format>
    <format dxfId="348">
      <pivotArea collapsedLevelsAreSubtotals="1" fieldPosition="0">
        <references count="1">
          <reference field="1" count="1">
            <x v="112"/>
          </reference>
        </references>
      </pivotArea>
    </format>
    <format dxfId="347">
      <pivotArea collapsedLevelsAreSubtotals="1" fieldPosition="0">
        <references count="1">
          <reference field="1" count="1">
            <x v="113"/>
          </reference>
        </references>
      </pivotArea>
    </format>
    <format dxfId="346">
      <pivotArea collapsedLevelsAreSubtotals="1" fieldPosition="0">
        <references count="1">
          <reference field="1" count="1">
            <x v="114"/>
          </reference>
        </references>
      </pivotArea>
    </format>
    <format dxfId="345">
      <pivotArea collapsedLevelsAreSubtotals="1" fieldPosition="0">
        <references count="1">
          <reference field="1" count="1">
            <x v="115"/>
          </reference>
        </references>
      </pivotArea>
    </format>
    <format dxfId="344">
      <pivotArea collapsedLevelsAreSubtotals="1" fieldPosition="0">
        <references count="1">
          <reference field="1" count="1">
            <x v="116"/>
          </reference>
        </references>
      </pivotArea>
    </format>
    <format dxfId="343">
      <pivotArea collapsedLevelsAreSubtotals="1" fieldPosition="0">
        <references count="1">
          <reference field="1" count="1">
            <x v="117"/>
          </reference>
        </references>
      </pivotArea>
    </format>
    <format dxfId="342">
      <pivotArea collapsedLevelsAreSubtotals="1" fieldPosition="0">
        <references count="1">
          <reference field="1" count="1">
            <x v="118"/>
          </reference>
        </references>
      </pivotArea>
    </format>
    <format dxfId="341">
      <pivotArea collapsedLevelsAreSubtotals="1" fieldPosition="0">
        <references count="1">
          <reference field="1" count="1">
            <x v="119"/>
          </reference>
        </references>
      </pivotArea>
    </format>
    <format dxfId="340">
      <pivotArea collapsedLevelsAreSubtotals="1" fieldPosition="0">
        <references count="1">
          <reference field="1" count="1">
            <x v="120"/>
          </reference>
        </references>
      </pivotArea>
    </format>
    <format dxfId="339">
      <pivotArea collapsedLevelsAreSubtotals="1" fieldPosition="0">
        <references count="1">
          <reference field="1" count="1">
            <x v="121"/>
          </reference>
        </references>
      </pivotArea>
    </format>
    <format dxfId="338">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37">
      <pivotArea dataOnly="0" labelOnly="1" fieldPosition="0">
        <references count="1">
          <reference field="1" count="5">
            <x v="117"/>
            <x v="118"/>
            <x v="119"/>
            <x v="120"/>
            <x v="121"/>
          </reference>
        </references>
      </pivotArea>
    </format>
    <format dxfId="336">
      <pivotArea dataOnly="0" labelOnly="1" outline="0" fieldPosition="0">
        <references count="1">
          <reference field="4294967294" count="1">
            <x v="2"/>
          </reference>
        </references>
      </pivotArea>
    </format>
    <format dxfId="335">
      <pivotArea dataOnly="0" labelOnly="1" fieldPosition="0">
        <references count="1">
          <reference field="1" count="7">
            <x v="122"/>
            <x v="123"/>
            <x v="124"/>
            <x v="125"/>
            <x v="126"/>
            <x v="127"/>
            <x v="129"/>
          </reference>
        </references>
      </pivotArea>
    </format>
    <format dxfId="334">
      <pivotArea dataOnly="0" labelOnly="1" fieldPosition="0">
        <references count="1">
          <reference field="1" count="7">
            <x v="122"/>
            <x v="123"/>
            <x v="124"/>
            <x v="125"/>
            <x v="126"/>
            <x v="127"/>
            <x v="129"/>
          </reference>
        </references>
      </pivotArea>
    </format>
    <format dxfId="333">
      <pivotArea collapsedLevelsAreSubtotals="1" fieldPosition="0">
        <references count="1">
          <reference field="1" count="1">
            <x v="122"/>
          </reference>
        </references>
      </pivotArea>
    </format>
    <format dxfId="332">
      <pivotArea collapsedLevelsAreSubtotals="1" fieldPosition="0">
        <references count="1">
          <reference field="1" count="1">
            <x v="123"/>
          </reference>
        </references>
      </pivotArea>
    </format>
    <format dxfId="331">
      <pivotArea collapsedLevelsAreSubtotals="1" fieldPosition="0">
        <references count="1">
          <reference field="1" count="1">
            <x v="124"/>
          </reference>
        </references>
      </pivotArea>
    </format>
    <format dxfId="330">
      <pivotArea collapsedLevelsAreSubtotals="1" fieldPosition="0">
        <references count="1">
          <reference field="1" count="1">
            <x v="125"/>
          </reference>
        </references>
      </pivotArea>
    </format>
    <format dxfId="329">
      <pivotArea collapsedLevelsAreSubtotals="1" fieldPosition="0">
        <references count="1">
          <reference field="1" count="1">
            <x v="126"/>
          </reference>
        </references>
      </pivotArea>
    </format>
    <format dxfId="328">
      <pivotArea collapsedLevelsAreSubtotals="1" fieldPosition="0">
        <references count="1">
          <reference field="1" count="1">
            <x v="127"/>
          </reference>
        </references>
      </pivotArea>
    </format>
    <format dxfId="327">
      <pivotArea collapsedLevelsAreSubtotals="1" fieldPosition="0">
        <references count="1">
          <reference field="1" count="1">
            <x v="129"/>
          </reference>
        </references>
      </pivotArea>
    </format>
    <format dxfId="326">
      <pivotArea dataOnly="0" labelOnly="1" fieldPosition="0">
        <references count="1">
          <reference field="1" count="4">
            <x v="18"/>
            <x v="19"/>
            <x v="30"/>
            <x v="31"/>
          </reference>
        </references>
      </pivotArea>
    </format>
    <format dxfId="325">
      <pivotArea dataOnly="0" labelOnly="1" fieldPosition="0">
        <references count="1">
          <reference field="1" count="3">
            <x v="17"/>
            <x v="32"/>
            <x v="33"/>
          </reference>
        </references>
      </pivotArea>
    </format>
    <format dxfId="324">
      <pivotArea dataOnly="0" labelOnly="1" fieldPosition="0">
        <references count="1">
          <reference field="1" count="2">
            <x v="18"/>
            <x v="19"/>
          </reference>
        </references>
      </pivotArea>
    </format>
    <format dxfId="323">
      <pivotArea dataOnly="0" labelOnly="1" fieldPosition="0">
        <references count="1">
          <reference field="1" count="1">
            <x v="17"/>
          </reference>
        </references>
      </pivotArea>
    </format>
    <format dxfId="322">
      <pivotArea collapsedLevelsAreSubtotals="1" fieldPosition="0">
        <references count="1">
          <reference field="1" count="1">
            <x v="37"/>
          </reference>
        </references>
      </pivotArea>
    </format>
    <format dxfId="321">
      <pivotArea collapsedLevelsAreSubtotals="1" fieldPosition="0">
        <references count="1">
          <reference field="1" count="1">
            <x v="38"/>
          </reference>
        </references>
      </pivotArea>
    </format>
    <format dxfId="320">
      <pivotArea collapsedLevelsAreSubtotals="1" fieldPosition="0">
        <references count="1">
          <reference field="1" count="1">
            <x v="39"/>
          </reference>
        </references>
      </pivotArea>
    </format>
    <format dxfId="319">
      <pivotArea collapsedLevelsAreSubtotals="1" fieldPosition="0">
        <references count="1">
          <reference field="1" count="1">
            <x v="40"/>
          </reference>
        </references>
      </pivotArea>
    </format>
    <format dxfId="318">
      <pivotArea collapsedLevelsAreSubtotals="1" fieldPosition="0">
        <references count="1">
          <reference field="1" count="1">
            <x v="41"/>
          </reference>
        </references>
      </pivotArea>
    </format>
    <format dxfId="317">
      <pivotArea collapsedLevelsAreSubtotals="1" fieldPosition="0">
        <references count="1">
          <reference field="1" count="1">
            <x v="42"/>
          </reference>
        </references>
      </pivotArea>
    </format>
    <format dxfId="316">
      <pivotArea collapsedLevelsAreSubtotals="1" fieldPosition="0">
        <references count="1">
          <reference field="1" count="1">
            <x v="43"/>
          </reference>
        </references>
      </pivotArea>
    </format>
    <format dxfId="315">
      <pivotArea collapsedLevelsAreSubtotals="1" fieldPosition="0">
        <references count="1">
          <reference field="1" count="1">
            <x v="44"/>
          </reference>
        </references>
      </pivotArea>
    </format>
    <format dxfId="314">
      <pivotArea collapsedLevelsAreSubtotals="1" fieldPosition="0">
        <references count="1">
          <reference field="1" count="1">
            <x v="45"/>
          </reference>
        </references>
      </pivotArea>
    </format>
    <format dxfId="313">
      <pivotArea collapsedLevelsAreSubtotals="1" fieldPosition="0">
        <references count="1">
          <reference field="1" count="1">
            <x v="46"/>
          </reference>
        </references>
      </pivotArea>
    </format>
    <format dxfId="312">
      <pivotArea collapsedLevelsAreSubtotals="1" fieldPosition="0">
        <references count="1">
          <reference field="1" count="1">
            <x v="47"/>
          </reference>
        </references>
      </pivotArea>
    </format>
    <format dxfId="311">
      <pivotArea collapsedLevelsAreSubtotals="1" fieldPosition="0">
        <references count="1">
          <reference field="1" count="1">
            <x v="48"/>
          </reference>
        </references>
      </pivotArea>
    </format>
    <format dxfId="310">
      <pivotArea collapsedLevelsAreSubtotals="1" fieldPosition="0">
        <references count="1">
          <reference field="1" count="1">
            <x v="49"/>
          </reference>
        </references>
      </pivotArea>
    </format>
    <format dxfId="309">
      <pivotArea collapsedLevelsAreSubtotals="1" fieldPosition="0">
        <references count="1">
          <reference field="1" count="1">
            <x v="50"/>
          </reference>
        </references>
      </pivotArea>
    </format>
    <format dxfId="308">
      <pivotArea collapsedLevelsAreSubtotals="1" fieldPosition="0">
        <references count="1">
          <reference field="1" count="1">
            <x v="51"/>
          </reference>
        </references>
      </pivotArea>
    </format>
    <format dxfId="307">
      <pivotArea collapsedLevelsAreSubtotals="1" fieldPosition="0">
        <references count="1">
          <reference field="1" count="1">
            <x v="52"/>
          </reference>
        </references>
      </pivotArea>
    </format>
    <format dxfId="306">
      <pivotArea collapsedLevelsAreSubtotals="1" fieldPosition="0">
        <references count="1">
          <reference field="1" count="1">
            <x v="53"/>
          </reference>
        </references>
      </pivotArea>
    </format>
    <format dxfId="305">
      <pivotArea collapsedLevelsAreSubtotals="1" fieldPosition="0">
        <references count="1">
          <reference field="1" count="1">
            <x v="54"/>
          </reference>
        </references>
      </pivotArea>
    </format>
    <format dxfId="304">
      <pivotArea collapsedLevelsAreSubtotals="1" fieldPosition="0">
        <references count="1">
          <reference field="1" count="1">
            <x v="55"/>
          </reference>
        </references>
      </pivotArea>
    </format>
    <format dxfId="303">
      <pivotArea collapsedLevelsAreSubtotals="1" fieldPosition="0">
        <references count="1">
          <reference field="1" count="1">
            <x v="56"/>
          </reference>
        </references>
      </pivotArea>
    </format>
    <format dxfId="302">
      <pivotArea collapsedLevelsAreSubtotals="1" fieldPosition="0">
        <references count="1">
          <reference field="1" count="1">
            <x v="57"/>
          </reference>
        </references>
      </pivotArea>
    </format>
    <format dxfId="301">
      <pivotArea collapsedLevelsAreSubtotals="1" fieldPosition="0">
        <references count="1">
          <reference field="1" count="1">
            <x v="58"/>
          </reference>
        </references>
      </pivotArea>
    </format>
    <format dxfId="300">
      <pivotArea collapsedLevelsAreSubtotals="1" fieldPosition="0">
        <references count="1">
          <reference field="1" count="1">
            <x v="59"/>
          </reference>
        </references>
      </pivotArea>
    </format>
    <format dxfId="299">
      <pivotArea collapsedLevelsAreSubtotals="1" fieldPosition="0">
        <references count="1">
          <reference field="1" count="1">
            <x v="60"/>
          </reference>
        </references>
      </pivotArea>
    </format>
    <format dxfId="298">
      <pivotArea collapsedLevelsAreSubtotals="1" fieldPosition="0">
        <references count="1">
          <reference field="1" count="1">
            <x v="61"/>
          </reference>
        </references>
      </pivotArea>
    </format>
    <format dxfId="297">
      <pivotArea collapsedLevelsAreSubtotals="1" fieldPosition="0">
        <references count="1">
          <reference field="1" count="1">
            <x v="62"/>
          </reference>
        </references>
      </pivotArea>
    </format>
    <format dxfId="296">
      <pivotArea collapsedLevelsAreSubtotals="1" fieldPosition="0">
        <references count="1">
          <reference field="1" count="1">
            <x v="63"/>
          </reference>
        </references>
      </pivotArea>
    </format>
    <format dxfId="295">
      <pivotArea collapsedLevelsAreSubtotals="1" fieldPosition="0">
        <references count="1">
          <reference field="1" count="1">
            <x v="64"/>
          </reference>
        </references>
      </pivotArea>
    </format>
    <format dxfId="294">
      <pivotArea collapsedLevelsAreSubtotals="1" fieldPosition="0">
        <references count="1">
          <reference field="1" count="1">
            <x v="65"/>
          </reference>
        </references>
      </pivotArea>
    </format>
    <format dxfId="293">
      <pivotArea collapsedLevelsAreSubtotals="1" fieldPosition="0">
        <references count="1">
          <reference field="1" count="1">
            <x v="66"/>
          </reference>
        </references>
      </pivotArea>
    </format>
    <format dxfId="292">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91">
      <pivotArea collapsedLevelsAreSubtotals="1" fieldPosition="0">
        <references count="2">
          <reference field="4294967294" count="2" selected="0">
            <x v="0"/>
            <x v="1"/>
          </reference>
          <reference field="1" count="1">
            <x v="130"/>
          </reference>
        </references>
      </pivotArea>
    </format>
    <format dxfId="290">
      <pivotArea collapsedLevelsAreSubtotals="1" fieldPosition="0">
        <references count="2">
          <reference field="4294967294" count="2" selected="0">
            <x v="0"/>
            <x v="1"/>
          </reference>
          <reference field="1" count="1">
            <x v="131"/>
          </reference>
        </references>
      </pivotArea>
    </format>
    <format dxfId="289">
      <pivotArea collapsedLevelsAreSubtotals="1" fieldPosition="0">
        <references count="2">
          <reference field="4294967294" count="2" selected="0">
            <x v="0"/>
            <x v="1"/>
          </reference>
          <reference field="1" count="1">
            <x v="134"/>
          </reference>
        </references>
      </pivotArea>
    </format>
    <format dxfId="288">
      <pivotArea collapsedLevelsAreSubtotals="1" fieldPosition="0">
        <references count="2">
          <reference field="4294967294" count="2" selected="0">
            <x v="0"/>
            <x v="1"/>
          </reference>
          <reference field="1" count="1">
            <x v="135"/>
          </reference>
        </references>
      </pivotArea>
    </format>
    <format dxfId="287">
      <pivotArea collapsedLevelsAreSubtotals="1" fieldPosition="0">
        <references count="2">
          <reference field="4294967294" count="2" selected="0">
            <x v="0"/>
            <x v="1"/>
          </reference>
          <reference field="1" count="1">
            <x v="136"/>
          </reference>
        </references>
      </pivotArea>
    </format>
    <format dxfId="286">
      <pivotArea collapsedLevelsAreSubtotals="1" fieldPosition="0">
        <references count="2">
          <reference field="4294967294" count="2" selected="0">
            <x v="0"/>
            <x v="1"/>
          </reference>
          <reference field="1" count="1">
            <x v="137"/>
          </reference>
        </references>
      </pivotArea>
    </format>
    <format dxfId="285">
      <pivotArea collapsedLevelsAreSubtotals="1" fieldPosition="0">
        <references count="2">
          <reference field="4294967294" count="2" selected="0">
            <x v="0"/>
            <x v="1"/>
          </reference>
          <reference field="1" count="1">
            <x v="138"/>
          </reference>
        </references>
      </pivotArea>
    </format>
    <format dxfId="284">
      <pivotArea collapsedLevelsAreSubtotals="1" fieldPosition="0">
        <references count="2">
          <reference field="4294967294" count="2" selected="0">
            <x v="0"/>
            <x v="1"/>
          </reference>
          <reference field="1" count="1">
            <x v="141"/>
          </reference>
        </references>
      </pivotArea>
    </format>
    <format dxfId="283">
      <pivotArea dataOnly="0" labelOnly="1" fieldPosition="0">
        <references count="1">
          <reference field="1" count="8">
            <x v="130"/>
            <x v="131"/>
            <x v="134"/>
            <x v="135"/>
            <x v="136"/>
            <x v="137"/>
            <x v="138"/>
            <x v="141"/>
          </reference>
        </references>
      </pivotArea>
    </format>
    <format dxfId="282">
      <pivotArea collapsedLevelsAreSubtotals="1" fieldPosition="0">
        <references count="2">
          <reference field="4294967294" count="1" selected="0">
            <x v="2"/>
          </reference>
          <reference field="1" count="1">
            <x v="130"/>
          </reference>
        </references>
      </pivotArea>
    </format>
    <format dxfId="281">
      <pivotArea collapsedLevelsAreSubtotals="1" fieldPosition="0">
        <references count="2">
          <reference field="4294967294" count="1" selected="0">
            <x v="2"/>
          </reference>
          <reference field="1" count="1">
            <x v="131"/>
          </reference>
        </references>
      </pivotArea>
    </format>
    <format dxfId="280">
      <pivotArea collapsedLevelsAreSubtotals="1" fieldPosition="0">
        <references count="2">
          <reference field="4294967294" count="1" selected="0">
            <x v="2"/>
          </reference>
          <reference field="1" count="1">
            <x v="134"/>
          </reference>
        </references>
      </pivotArea>
    </format>
    <format dxfId="279">
      <pivotArea collapsedLevelsAreSubtotals="1" fieldPosition="0">
        <references count="2">
          <reference field="4294967294" count="1" selected="0">
            <x v="2"/>
          </reference>
          <reference field="1" count="1">
            <x v="135"/>
          </reference>
        </references>
      </pivotArea>
    </format>
    <format dxfId="278">
      <pivotArea collapsedLevelsAreSubtotals="1" fieldPosition="0">
        <references count="2">
          <reference field="4294967294" count="1" selected="0">
            <x v="2"/>
          </reference>
          <reference field="1" count="1">
            <x v="136"/>
          </reference>
        </references>
      </pivotArea>
    </format>
    <format dxfId="277">
      <pivotArea collapsedLevelsAreSubtotals="1" fieldPosition="0">
        <references count="2">
          <reference field="4294967294" count="1" selected="0">
            <x v="2"/>
          </reference>
          <reference field="1" count="1">
            <x v="137"/>
          </reference>
        </references>
      </pivotArea>
    </format>
    <format dxfId="276">
      <pivotArea collapsedLevelsAreSubtotals="1" fieldPosition="0">
        <references count="2">
          <reference field="4294967294" count="1" selected="0">
            <x v="2"/>
          </reference>
          <reference field="1" count="1">
            <x v="138"/>
          </reference>
        </references>
      </pivotArea>
    </format>
    <format dxfId="275">
      <pivotArea collapsedLevelsAreSubtotals="1" fieldPosition="0">
        <references count="2">
          <reference field="4294967294" count="1" selected="0">
            <x v="2"/>
          </reference>
          <reference field="1" count="1">
            <x v="141"/>
          </reference>
        </references>
      </pivotArea>
    </format>
    <format dxfId="274">
      <pivotArea collapsedLevelsAreSubtotals="1" fieldPosition="0">
        <references count="2">
          <reference field="1" count="2">
            <x v="39"/>
            <x v="103"/>
          </reference>
          <reference field="2" count="1" selected="0">
            <x v="732"/>
          </reference>
        </references>
      </pivotArea>
    </format>
    <format dxfId="273">
      <pivotArea dataOnly="0" labelOnly="1" fieldPosition="0">
        <references count="2">
          <reference field="1" count="2">
            <x v="39"/>
            <x v="103"/>
          </reference>
          <reference field="2" count="1" selected="0">
            <x v="732"/>
          </reference>
        </references>
      </pivotArea>
    </format>
    <format dxfId="272">
      <pivotArea dataOnly="0" labelOnly="1" fieldPosition="0">
        <references count="2">
          <reference field="1" count="9">
            <x v="0"/>
            <x v="1"/>
            <x v="2"/>
            <x v="3"/>
            <x v="17"/>
            <x v="25"/>
            <x v="33"/>
            <x v="39"/>
            <x v="103"/>
          </reference>
          <reference field="2" count="1" selected="0">
            <x v="7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56">
        <item x="0"/>
        <item x="1"/>
        <item x="2"/>
        <item x="4"/>
        <item x="5"/>
        <item x="7"/>
        <item x="8"/>
        <item x="9"/>
        <item x="10"/>
        <item x="11"/>
        <item x="12"/>
        <item m="1" x="1211"/>
        <item x="13"/>
        <item x="14"/>
        <item x="15"/>
        <item x="17"/>
        <item x="19"/>
        <item x="3"/>
        <item x="6"/>
        <item x="18"/>
        <item x="16"/>
        <item m="1" x="1213"/>
        <item m="1" x="1212"/>
        <item x="22"/>
        <item x="20"/>
        <item x="24"/>
        <item m="1" x="1214"/>
        <item x="25"/>
        <item x="21"/>
        <item x="29"/>
        <item m="1" x="1215"/>
        <item x="23"/>
        <item x="40"/>
        <item x="26"/>
        <item x="30"/>
        <item x="36"/>
        <item x="27"/>
        <item x="28"/>
        <item x="39"/>
        <item x="31"/>
        <item x="32"/>
        <item x="33"/>
        <item m="1" x="1216"/>
        <item x="38"/>
        <item m="1" x="1217"/>
        <item m="1" x="1218"/>
        <item x="45"/>
        <item x="35"/>
        <item x="41"/>
        <item x="34"/>
        <item x="37"/>
        <item x="61"/>
        <item x="43"/>
        <item m="1" x="1220"/>
        <item x="42"/>
        <item x="48"/>
        <item x="44"/>
        <item m="1" x="1219"/>
        <item x="51"/>
        <item x="46"/>
        <item x="47"/>
        <item x="53"/>
        <item m="1" x="1221"/>
        <item x="54"/>
        <item x="57"/>
        <item x="50"/>
        <item x="49"/>
        <item m="1" x="1222"/>
        <item x="52"/>
        <item m="1" x="1223"/>
        <item x="55"/>
        <item x="56"/>
        <item x="63"/>
        <item x="58"/>
        <item x="59"/>
        <item x="60"/>
        <item x="62"/>
        <item x="64"/>
        <item x="65"/>
        <item x="66"/>
        <item x="67"/>
        <item x="68"/>
        <item x="69"/>
        <item m="1" x="1224"/>
        <item m="1" x="1225"/>
        <item x="70"/>
        <item x="71"/>
        <item x="77"/>
        <item m="1" x="1226"/>
        <item m="1" x="1227"/>
        <item m="1" x="1228"/>
        <item x="72"/>
        <item x="73"/>
        <item x="74"/>
        <item x="75"/>
        <item x="76"/>
        <item x="78"/>
        <item x="79"/>
        <item x="80"/>
        <item m="1" x="1229"/>
        <item x="88"/>
        <item x="81"/>
        <item m="1" x="1230"/>
        <item x="82"/>
        <item x="83"/>
        <item x="84"/>
        <item x="85"/>
        <item x="86"/>
        <item x="87"/>
        <item x="89"/>
        <item x="90"/>
        <item x="91"/>
        <item x="92"/>
        <item m="1" x="1231"/>
        <item x="93"/>
        <item x="94"/>
        <item x="95"/>
        <item x="96"/>
        <item m="1" x="1232"/>
        <item x="97"/>
        <item m="1" x="1233"/>
        <item x="98"/>
        <item x="105"/>
        <item x="99"/>
        <item x="110"/>
        <item x="100"/>
        <item x="101"/>
        <item x="102"/>
        <item x="103"/>
        <item x="104"/>
        <item x="106"/>
        <item x="107"/>
        <item x="108"/>
        <item x="109"/>
        <item x="111"/>
        <item x="112"/>
        <item m="1" x="123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5"/>
        <item m="1" x="1236"/>
        <item x="141"/>
        <item x="167"/>
        <item x="146"/>
        <item x="143"/>
        <item x="191"/>
        <item x="144"/>
        <item m="1" x="123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8"/>
        <item x="179"/>
        <item x="180"/>
        <item x="181"/>
        <item x="182"/>
        <item x="142"/>
        <item x="155"/>
        <item x="169"/>
        <item x="183"/>
        <item x="185"/>
        <item x="217"/>
        <item m="1" x="1239"/>
        <item x="187"/>
        <item x="186"/>
        <item x="188"/>
        <item x="189"/>
        <item x="192"/>
        <item x="193"/>
        <item x="194"/>
        <item x="195"/>
        <item x="196"/>
        <item x="197"/>
        <item x="198"/>
        <item x="200"/>
        <item x="201"/>
        <item x="202"/>
        <item m="1" x="1319"/>
        <item m="1" x="1320"/>
        <item m="1" x="1344"/>
        <item m="1" x="1273"/>
        <item x="205"/>
        <item x="203"/>
        <item x="204"/>
        <item x="206"/>
        <item x="207"/>
        <item x="184"/>
        <item x="208"/>
        <item x="209"/>
        <item x="210"/>
        <item x="211"/>
        <item x="212"/>
        <item m="1" x="1274"/>
        <item m="1" x="1275"/>
        <item m="1" x="1276"/>
        <item m="1" x="1277"/>
        <item x="223"/>
        <item x="213"/>
        <item x="214"/>
        <item x="215"/>
        <item x="216"/>
        <item x="218"/>
        <item m="1" x="1345"/>
        <item x="219"/>
        <item x="220"/>
        <item x="221"/>
        <item m="1" x="1240"/>
        <item m="1" x="1241"/>
        <item x="222"/>
        <item x="224"/>
        <item x="225"/>
        <item x="229"/>
        <item x="230"/>
        <item x="231"/>
        <item x="232"/>
        <item x="233"/>
        <item x="234"/>
        <item x="235"/>
        <item x="236"/>
        <item x="242"/>
        <item x="237"/>
        <item x="238"/>
        <item x="239"/>
        <item x="240"/>
        <item x="241"/>
        <item x="243"/>
        <item x="244"/>
        <item m="1" x="1242"/>
        <item x="245"/>
        <item x="246"/>
        <item m="1" x="133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8"/>
        <item x="374"/>
        <item x="115"/>
        <item x="280"/>
        <item x="281"/>
        <item x="227"/>
        <item m="1" x="1243"/>
        <item x="282"/>
        <item x="283"/>
        <item m="1" x="1333"/>
        <item x="284"/>
        <item x="285"/>
        <item x="286"/>
        <item x="287"/>
        <item x="288"/>
        <item x="289"/>
        <item x="136"/>
        <item x="290"/>
        <item x="291"/>
        <item x="292"/>
        <item x="293"/>
        <item x="294"/>
        <item x="295"/>
        <item x="296"/>
        <item x="297"/>
        <item x="371"/>
        <item x="298"/>
        <item x="299"/>
        <item x="300"/>
        <item x="301"/>
        <item x="302"/>
        <item m="1" x="1338"/>
        <item x="304"/>
        <item x="303"/>
        <item x="305"/>
        <item m="1" x="1329"/>
        <item x="313"/>
        <item x="310"/>
        <item x="309"/>
        <item m="1" x="1351"/>
        <item x="306"/>
        <item x="312"/>
        <item x="307"/>
        <item x="308"/>
        <item x="228"/>
        <item x="311"/>
        <item x="314"/>
        <item x="315"/>
        <item x="316"/>
        <item x="317"/>
        <item x="322"/>
        <item x="318"/>
        <item x="319"/>
        <item x="321"/>
        <item x="320"/>
        <item x="323"/>
        <item x="324"/>
        <item x="325"/>
        <item x="326"/>
        <item x="327"/>
        <item x="328"/>
        <item x="329"/>
        <item m="1" x="1279"/>
        <item x="330"/>
        <item x="331"/>
        <item x="332"/>
        <item x="333"/>
        <item x="334"/>
        <item x="335"/>
        <item m="1" x="1269"/>
        <item m="1" x="1270"/>
        <item m="1" x="1271"/>
        <item m="1" x="1272"/>
        <item m="1" x="1332"/>
        <item x="337"/>
        <item x="336"/>
        <item x="338"/>
        <item x="339"/>
        <item x="340"/>
        <item x="352"/>
        <item x="341"/>
        <item x="342"/>
        <item x="343"/>
        <item m="1" x="1244"/>
        <item x="344"/>
        <item x="345"/>
        <item x="346"/>
        <item x="347"/>
        <item x="362"/>
        <item x="348"/>
        <item x="349"/>
        <item x="350"/>
        <item x="351"/>
        <item x="356"/>
        <item x="353"/>
        <item x="355"/>
        <item x="354"/>
        <item x="372"/>
        <item x="363"/>
        <item x="357"/>
        <item x="358"/>
        <item x="359"/>
        <item x="360"/>
        <item x="361"/>
        <item m="1" x="1245"/>
        <item x="364"/>
        <item x="365"/>
        <item x="366"/>
        <item x="367"/>
        <item x="368"/>
        <item x="369"/>
        <item x="370"/>
        <item m="1" x="1246"/>
        <item m="1" x="1339"/>
        <item m="1" x="1340"/>
        <item x="373"/>
        <item x="375"/>
        <item m="1" x="1247"/>
        <item x="379"/>
        <item x="382"/>
        <item x="376"/>
        <item x="377"/>
        <item x="378"/>
        <item m="1" x="1248"/>
        <item x="380"/>
        <item x="381"/>
        <item x="383"/>
        <item x="384"/>
        <item x="385"/>
        <item x="386"/>
        <item m="1" x="1346"/>
        <item m="1" x="1341"/>
        <item x="387"/>
        <item x="388"/>
        <item x="389"/>
        <item m="1" x="1249"/>
        <item m="1" x="1250"/>
        <item x="390"/>
        <item x="391"/>
        <item x="394"/>
        <item x="392"/>
        <item x="393"/>
        <item x="395"/>
        <item x="396"/>
        <item x="397"/>
        <item x="398"/>
        <item x="399"/>
        <item x="400"/>
        <item m="1" x="1251"/>
        <item x="401"/>
        <item x="402"/>
        <item x="403"/>
        <item x="404"/>
        <item x="405"/>
        <item x="406"/>
        <item m="1" x="1252"/>
        <item x="407"/>
        <item x="408"/>
        <item x="410"/>
        <item x="411"/>
        <item x="412"/>
        <item x="413"/>
        <item m="1" x="1280"/>
        <item x="414"/>
        <item x="415"/>
        <item x="416"/>
        <item x="409"/>
        <item x="417"/>
        <item m="1" x="1353"/>
        <item x="422"/>
        <item m="1" x="1324"/>
        <item x="418"/>
        <item x="419"/>
        <item x="421"/>
        <item m="1" x="1347"/>
        <item x="420"/>
        <item m="1" x="1281"/>
        <item x="423"/>
        <item x="424"/>
        <item x="425"/>
        <item x="426"/>
        <item x="427"/>
        <item x="428"/>
        <item x="429"/>
        <item x="430"/>
        <item x="431"/>
        <item x="432"/>
        <item x="433"/>
        <item x="434"/>
        <item x="435"/>
        <item x="436"/>
        <item x="437"/>
        <item x="438"/>
        <item x="439"/>
        <item x="440"/>
        <item x="441"/>
        <item x="442"/>
        <item x="443"/>
        <item x="444"/>
        <item m="1" x="1335"/>
        <item x="445"/>
        <item x="446"/>
        <item x="447"/>
        <item m="1" x="1334"/>
        <item x="448"/>
        <item m="1" x="1337"/>
        <item x="449"/>
        <item m="1" x="1349"/>
        <item x="450"/>
        <item x="451"/>
        <item m="1" x="1253"/>
        <item x="452"/>
        <item x="453"/>
        <item x="454"/>
        <item x="455"/>
        <item x="456"/>
        <item m="1" x="1282"/>
        <item x="457"/>
        <item x="458"/>
        <item x="459"/>
        <item x="460"/>
        <item x="461"/>
        <item x="462"/>
        <item x="463"/>
        <item m="1" x="1254"/>
        <item x="464"/>
        <item x="465"/>
        <item x="466"/>
        <item x="467"/>
        <item x="468"/>
        <item x="469"/>
        <item x="470"/>
        <item x="471"/>
        <item x="472"/>
        <item x="473"/>
        <item m="1" x="1303"/>
        <item x="474"/>
        <item x="475"/>
        <item x="476"/>
        <item x="477"/>
        <item x="478"/>
        <item m="1" x="1304"/>
        <item x="479"/>
        <item x="480"/>
        <item x="481"/>
        <item x="482"/>
        <item m="1" x="1283"/>
        <item x="483"/>
        <item x="484"/>
        <item x="485"/>
        <item x="486"/>
        <item x="487"/>
        <item x="488"/>
        <item x="489"/>
        <item x="490"/>
        <item x="491"/>
        <item x="492"/>
        <item x="493"/>
        <item x="494"/>
        <item x="495"/>
        <item x="496"/>
        <item x="497"/>
        <item m="1" x="1264"/>
        <item x="499"/>
        <item x="498"/>
        <item x="500"/>
        <item x="501"/>
        <item x="502"/>
        <item x="503"/>
        <item x="504"/>
        <item m="1" x="1265"/>
        <item x="506"/>
        <item x="507"/>
        <item x="508"/>
        <item x="509"/>
        <item x="510"/>
        <item x="511"/>
        <item x="512"/>
        <item m="1" x="1284"/>
        <item m="1" x="1285"/>
        <item m="1" x="1286"/>
        <item m="1" x="1287"/>
        <item m="1" x="1288"/>
        <item x="513"/>
        <item x="514"/>
        <item x="515"/>
        <item x="516"/>
        <item x="517"/>
        <item x="518"/>
        <item x="519"/>
        <item x="520"/>
        <item x="521"/>
        <item x="522"/>
        <item x="523"/>
        <item x="524"/>
        <item x="525"/>
        <item x="526"/>
        <item x="527"/>
        <item x="528"/>
        <item x="529"/>
        <item x="530"/>
        <item x="531"/>
        <item x="532"/>
        <item x="533"/>
        <item m="1" x="1289"/>
        <item x="539"/>
        <item x="534"/>
        <item x="535"/>
        <item x="536"/>
        <item x="537"/>
        <item x="538"/>
        <item x="543"/>
        <item x="540"/>
        <item x="541"/>
        <item x="542"/>
        <item x="544"/>
        <item x="545"/>
        <item x="546"/>
        <item x="547"/>
        <item x="548"/>
        <item x="550"/>
        <item x="551"/>
        <item x="552"/>
        <item x="553"/>
        <item x="554"/>
        <item x="555"/>
        <item x="556"/>
        <item m="1" x="130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6"/>
        <item x="608"/>
        <item x="612"/>
        <item x="613"/>
        <item x="614"/>
        <item x="615"/>
        <item x="609"/>
        <item x="610"/>
        <item x="611"/>
        <item x="616"/>
        <item x="617"/>
        <item m="1" x="1307"/>
        <item x="618"/>
        <item x="619"/>
        <item m="1" x="1308"/>
        <item x="620"/>
        <item x="621"/>
        <item x="622"/>
        <item m="1" x="1309"/>
        <item x="623"/>
        <item m="1" x="1310"/>
        <item x="625"/>
        <item x="624"/>
        <item x="626"/>
        <item x="628"/>
        <item x="630"/>
        <item x="631"/>
        <item x="632"/>
        <item x="633"/>
        <item x="634"/>
        <item x="635"/>
        <item m="1" x="1290"/>
        <item x="649"/>
        <item x="636"/>
        <item m="1" x="1266"/>
        <item m="1" x="1291"/>
        <item x="637"/>
        <item x="638"/>
        <item x="627"/>
        <item x="642"/>
        <item x="643"/>
        <item x="644"/>
        <item m="1" x="1292"/>
        <item x="629"/>
        <item x="645"/>
        <item x="646"/>
        <item x="647"/>
        <item m="1" x="1255"/>
        <item x="648"/>
        <item x="650"/>
        <item x="651"/>
        <item x="641"/>
        <item x="652"/>
        <item x="653"/>
        <item m="1" x="1343"/>
        <item x="654"/>
        <item m="1" x="1311"/>
        <item m="1" x="1312"/>
        <item m="1" x="1293"/>
        <item x="655"/>
        <item m="1" x="1294"/>
        <item x="656"/>
        <item x="657"/>
        <item x="658"/>
        <item x="659"/>
        <item x="660"/>
        <item x="640"/>
        <item x="661"/>
        <item x="663"/>
        <item x="666"/>
        <item x="664"/>
        <item x="665"/>
        <item x="639"/>
        <item x="662"/>
        <item x="667"/>
        <item x="668"/>
        <item x="669"/>
        <item x="670"/>
        <item x="671"/>
        <item x="672"/>
        <item x="673"/>
        <item x="674"/>
        <item x="675"/>
        <item m="1" x="1256"/>
        <item x="676"/>
        <item m="1" x="1257"/>
        <item x="680"/>
        <item x="677"/>
        <item x="678"/>
        <item x="679"/>
        <item x="681"/>
        <item m="1" x="1326"/>
        <item x="683"/>
        <item x="682"/>
        <item x="684"/>
        <item x="685"/>
        <item x="686"/>
        <item x="687"/>
        <item x="688"/>
        <item x="689"/>
        <item x="698"/>
        <item x="690"/>
        <item x="691"/>
        <item x="692"/>
        <item x="706"/>
        <item x="701"/>
        <item x="693"/>
        <item x="694"/>
        <item x="695"/>
        <item m="1" x="1328"/>
        <item x="696"/>
        <item x="697"/>
        <item x="699"/>
        <item x="700"/>
        <item x="702"/>
        <item m="1" x="1260"/>
        <item x="703"/>
        <item x="707"/>
        <item x="704"/>
        <item x="705"/>
        <item x="708"/>
        <item x="718"/>
        <item x="710"/>
        <item x="711"/>
        <item x="712"/>
        <item x="713"/>
        <item x="714"/>
        <item x="715"/>
        <item x="716"/>
        <item x="717"/>
        <item m="1" x="1295"/>
        <item x="719"/>
        <item x="720"/>
        <item x="721"/>
        <item m="1" x="1258"/>
        <item m="1" x="1259"/>
        <item m="1" x="1261"/>
        <item x="727"/>
        <item x="722"/>
        <item x="723"/>
        <item x="724"/>
        <item x="725"/>
        <item x="726"/>
        <item x="728"/>
        <item x="759"/>
        <item x="729"/>
        <item x="730"/>
        <item x="731"/>
        <item m="1" x="1342"/>
        <item m="1" x="1322"/>
        <item x="732"/>
        <item x="733"/>
        <item x="734"/>
        <item m="1" x="1331"/>
        <item x="735"/>
        <item x="736"/>
        <item x="737"/>
        <item x="738"/>
        <item x="739"/>
        <item x="740"/>
        <item x="741"/>
        <item x="742"/>
        <item x="743"/>
        <item x="766"/>
        <item x="744"/>
        <item x="745"/>
        <item x="746"/>
        <item x="747"/>
        <item x="754"/>
        <item x="748"/>
        <item m="1" x="1262"/>
        <item x="749"/>
        <item x="750"/>
        <item x="751"/>
        <item x="752"/>
        <item x="768"/>
        <item x="753"/>
        <item x="755"/>
        <item x="756"/>
        <item x="757"/>
        <item x="758"/>
        <item m="1" x="1296"/>
        <item x="760"/>
        <item m="1" x="1313"/>
        <item x="761"/>
        <item m="1" x="1297"/>
        <item x="762"/>
        <item x="763"/>
        <item m="1" x="1323"/>
        <item x="764"/>
        <item m="1" x="1321"/>
        <item x="765"/>
        <item x="767"/>
        <item x="769"/>
        <item m="1" x="1318"/>
        <item x="770"/>
        <item x="771"/>
        <item x="772"/>
        <item x="773"/>
        <item x="774"/>
        <item x="775"/>
        <item x="776"/>
        <item x="777"/>
        <item x="778"/>
        <item x="779"/>
        <item x="780"/>
        <item x="781"/>
        <item x="782"/>
        <item x="783"/>
        <item x="784"/>
        <item x="785"/>
        <item x="786"/>
        <item x="787"/>
        <item x="788"/>
        <item x="789"/>
        <item x="790"/>
        <item x="791"/>
        <item x="792"/>
        <item m="1" x="1298"/>
        <item x="793"/>
        <item m="1" x="1299"/>
        <item x="794"/>
        <item x="800"/>
        <item x="795"/>
        <item x="796"/>
        <item x="797"/>
        <item x="798"/>
        <item x="799"/>
        <item x="801"/>
        <item x="803"/>
        <item x="802"/>
        <item m="1" x="1300"/>
        <item x="804"/>
        <item x="805"/>
        <item x="806"/>
        <item x="810"/>
        <item x="812"/>
        <item x="811"/>
        <item m="1" x="1327"/>
        <item x="814"/>
        <item x="809"/>
        <item m="1" x="1325"/>
        <item x="821"/>
        <item m="1" x="1350"/>
        <item x="813"/>
        <item x="815"/>
        <item x="817"/>
        <item x="818"/>
        <item x="807"/>
        <item x="816"/>
        <item x="819"/>
        <item m="1" x="1267"/>
        <item x="823"/>
        <item x="824"/>
        <item m="1" x="1314"/>
        <item x="826"/>
        <item x="831"/>
        <item x="829"/>
        <item x="825"/>
        <item x="830"/>
        <item x="835"/>
        <item x="833"/>
        <item x="834"/>
        <item x="832"/>
        <item x="709"/>
        <item x="839"/>
        <item x="840"/>
        <item x="837"/>
        <item x="842"/>
        <item x="843"/>
        <item x="844"/>
        <item m="1" x="1348"/>
        <item x="836"/>
        <item m="1" x="1336"/>
        <item m="1" x="1268"/>
        <item x="822"/>
        <item x="838"/>
        <item x="841"/>
        <item x="848"/>
        <item x="847"/>
        <item x="849"/>
        <item x="846"/>
        <item m="1" x="1315"/>
        <item x="851"/>
        <item x="850"/>
        <item x="845"/>
        <item m="1" x="1352"/>
        <item x="852"/>
        <item x="854"/>
        <item x="855"/>
        <item x="856"/>
        <item x="858"/>
        <item x="859"/>
        <item x="853"/>
        <item x="860"/>
        <item x="861"/>
        <item x="808"/>
        <item x="820"/>
        <item x="857"/>
        <item x="828"/>
        <item x="862"/>
        <item x="864"/>
        <item x="863"/>
        <item x="865"/>
        <item x="866"/>
        <item x="867"/>
        <item x="870"/>
        <item x="868"/>
        <item x="869"/>
        <item x="872"/>
        <item x="873"/>
        <item x="874"/>
        <item x="876"/>
        <item m="1" x="1316"/>
        <item x="875"/>
        <item x="879"/>
        <item x="881"/>
        <item x="880"/>
        <item x="878"/>
        <item x="882"/>
        <item x="883"/>
        <item x="885"/>
        <item m="1" x="1317"/>
        <item x="877"/>
        <item x="884"/>
        <item x="886"/>
        <item x="888"/>
        <item x="889"/>
        <item x="887"/>
        <item x="827"/>
        <item x="890"/>
        <item x="891"/>
        <item x="892"/>
        <item x="893"/>
        <item m="1" x="1263"/>
        <item x="894"/>
        <item x="895"/>
        <item x="896"/>
        <item x="900"/>
        <item x="898"/>
        <item x="902"/>
        <item x="897"/>
        <item x="899"/>
        <item x="904"/>
        <item x="905"/>
        <item x="906"/>
        <item x="907"/>
        <item x="903"/>
        <item x="901"/>
        <item x="908"/>
        <item x="871"/>
        <item m="1" x="1301"/>
        <item x="910"/>
        <item x="909"/>
        <item x="911"/>
        <item m="1" x="130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6"/>
        <item x="1203"/>
        <item x="1207"/>
        <item x="1205"/>
        <item x="1208"/>
        <item x="1209"/>
        <item x="1210"/>
        <item t="default"/>
      </items>
    </pivotField>
    <pivotField axis="axisRow" showAll="0" sortType="descending">
      <items count="148">
        <item sd="0" x="48"/>
        <item sd="0" x="50"/>
        <item sd="0" x="40"/>
        <item sd="0" x="38"/>
        <item sd="0" x="41"/>
        <item sd="0" x="0"/>
        <item sd="0" x="25"/>
        <item sd="0" x="35"/>
        <item sd="0" x="32"/>
        <item sd="0" x="21"/>
        <item sd="0" x="26"/>
        <item sd="0" x="30"/>
        <item sd="0" x="17"/>
        <item sd="0" m="1" x="129"/>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1"/>
        <item sd="0" x="46"/>
        <item sd="0" x="43"/>
        <item sd="0" m="1" x="131"/>
        <item sd="0" x="45"/>
        <item sd="0" x="47"/>
        <item sd="0" x="49"/>
        <item sd="0" m="1" x="132"/>
        <item sd="0" x="28"/>
        <item sd="0" x="52"/>
        <item sd="0" x="51"/>
        <item sd="0" x="53"/>
        <item sd="0" x="54"/>
        <item sd="0" x="55"/>
        <item sd="0" x="56"/>
        <item sd="0" x="57"/>
        <item sd="0" x="58"/>
        <item sd="0" x="59"/>
        <item sd="0" x="60"/>
        <item sd="0" x="61"/>
        <item sd="0" x="62"/>
        <item sd="0" x="63"/>
        <item sd="0" x="64"/>
        <item sd="0" x="65"/>
        <item sd="0" x="66"/>
        <item sd="0" x="70"/>
        <item sd="0" m="1" x="135"/>
        <item sd="0" x="67"/>
        <item sd="0" x="69"/>
        <item sd="0" m="1" x="130"/>
        <item sd="0" x="71"/>
        <item sd="0" x="72"/>
        <item sd="0" x="73"/>
        <item sd="0" m="1" x="138"/>
        <item sd="0" m="1" x="146"/>
        <item sd="0" m="1" x="140"/>
        <item sd="0" x="77"/>
        <item sd="0" x="76"/>
        <item sd="0" x="82"/>
        <item sd="0" x="74"/>
        <item sd="0" x="75"/>
        <item sd="0" x="68"/>
        <item sd="0" x="78"/>
        <item sd="0" x="79"/>
        <item sd="0" m="1" x="137"/>
        <item sd="0" x="80"/>
        <item sd="0" x="81"/>
        <item sd="0" m="1" x="139"/>
        <item sd="0" x="83"/>
        <item sd="0" x="86"/>
        <item sd="0" x="84"/>
        <item sd="0" x="85"/>
        <item sd="0" x="87"/>
        <item sd="0" x="89"/>
        <item sd="0" x="90"/>
        <item sd="0" x="91"/>
        <item sd="0" x="92"/>
        <item sd="0" x="93"/>
        <item sd="0" x="94"/>
        <item sd="0" x="95"/>
        <item sd="0" x="96"/>
        <item sd="0" m="1" x="143"/>
        <item sd="0" m="1" x="144"/>
        <item sd="0" m="1" x="134"/>
        <item sd="0" x="97"/>
        <item sd="0" x="100"/>
        <item sd="0" m="1" x="142"/>
        <item sd="0" x="101"/>
        <item sd="0" x="110"/>
        <item sd="0" x="106"/>
        <item sd="0" x="88"/>
        <item sd="0" x="102"/>
        <item sd="0" x="112"/>
        <item sd="0" x="113"/>
        <item sd="0" m="1" x="145"/>
        <item sd="0" x="108"/>
        <item sd="0" x="115"/>
        <item sd="0" m="1" x="136"/>
        <item sd="0" x="116"/>
        <item sd="0" x="98"/>
        <item sd="0" x="99"/>
        <item sd="0" x="103"/>
        <item sd="0" x="114"/>
        <item sd="0" x="107"/>
        <item sd="0" x="117"/>
        <item sd="0" x="118"/>
        <item sd="0" x="119"/>
        <item sd="0" x="120"/>
        <item m="1" x="133"/>
        <item sd="0" x="121"/>
        <item sd="0" x="104"/>
        <item sd="0" x="122"/>
        <item sd="0" x="105"/>
        <item sd="0" x="111"/>
        <item sd="0" x="109"/>
        <item sd="0" m="1" x="128"/>
        <item sd="0" x="123"/>
        <item m="1" x="127"/>
        <item x="124"/>
        <item x="125"/>
        <item x="126"/>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42"/>
    </i>
    <i>
      <x v="129"/>
    </i>
    <i>
      <x v="117"/>
    </i>
    <i>
      <x v="101"/>
    </i>
    <i>
      <x v="118"/>
    </i>
    <i>
      <x v="127"/>
    </i>
    <i>
      <x v="122"/>
    </i>
    <i>
      <x v="121"/>
    </i>
    <i>
      <x v="103"/>
    </i>
    <i>
      <x v="104"/>
    </i>
    <i>
      <x v="145"/>
    </i>
    <i r="1">
      <x v="52"/>
    </i>
    <i r="1">
      <x v="9"/>
    </i>
    <i r="1">
      <x v="4"/>
    </i>
    <i r="1">
      <x v="30"/>
    </i>
    <i>
      <x v="132"/>
    </i>
    <i>
      <x v="111"/>
    </i>
    <i>
      <x v="125"/>
    </i>
    <i>
      <x v="56"/>
    </i>
    <i>
      <x v="6"/>
    </i>
    <i>
      <x v="136"/>
    </i>
    <i>
      <x v="113"/>
    </i>
    <i>
      <x v="115"/>
    </i>
    <i>
      <x v="105"/>
    </i>
    <i>
      <x v="146"/>
    </i>
    <i r="1">
      <x v="33"/>
    </i>
    <i>
      <x v="69"/>
    </i>
    <i>
      <x v="137"/>
    </i>
    <i>
      <x v="144"/>
    </i>
    <i r="1">
      <x v="33"/>
    </i>
    <i>
      <x v="140"/>
    </i>
    <i>
      <x v="22"/>
    </i>
    <i>
      <x v="100"/>
    </i>
    <i>
      <x v="114"/>
    </i>
    <i>
      <x v="126"/>
    </i>
    <i>
      <x v="135"/>
    </i>
    <i>
      <x v="119"/>
    </i>
    <i>
      <x v="71"/>
    </i>
    <i>
      <x v="10"/>
    </i>
    <i>
      <x v="92"/>
    </i>
    <i>
      <x v="34"/>
    </i>
    <i>
      <x v="37"/>
    </i>
    <i>
      <x v="4"/>
    </i>
    <i>
      <x v="38"/>
    </i>
    <i>
      <x v="17"/>
    </i>
    <i>
      <x v="39"/>
    </i>
    <i>
      <x v="87"/>
    </i>
    <i>
      <x v="40"/>
    </i>
    <i>
      <x v="97"/>
    </i>
    <i>
      <x v="41"/>
    </i>
    <i>
      <x v="8"/>
    </i>
    <i>
      <x v="42"/>
    </i>
    <i>
      <x v="12"/>
    </i>
    <i>
      <x v="43"/>
    </i>
    <i>
      <x v="19"/>
    </i>
    <i>
      <x v="44"/>
    </i>
    <i>
      <x v="85"/>
    </i>
    <i>
      <x v="45"/>
    </i>
    <i>
      <x v="89"/>
    </i>
    <i>
      <x v="47"/>
    </i>
    <i>
      <x v="95"/>
    </i>
    <i>
      <x v="48"/>
    </i>
    <i>
      <x v="99"/>
    </i>
    <i>
      <x v="50"/>
    </i>
    <i>
      <x v="1"/>
    </i>
    <i>
      <x v="51"/>
    </i>
    <i>
      <x v="110"/>
    </i>
    <i>
      <x v="52"/>
    </i>
    <i>
      <x v="11"/>
    </i>
    <i>
      <x v="54"/>
    </i>
    <i>
      <x v="16"/>
    </i>
    <i>
      <x v="55"/>
    </i>
    <i>
      <x v="18"/>
    </i>
    <i>
      <x v="2"/>
    </i>
    <i>
      <x v="131"/>
    </i>
    <i>
      <x v="57"/>
    </i>
    <i>
      <x v="84"/>
    </i>
    <i>
      <x v="58"/>
    </i>
    <i>
      <x v="86"/>
    </i>
    <i>
      <x v="59"/>
    </i>
    <i>
      <x v="88"/>
    </i>
    <i>
      <x v="60"/>
    </i>
    <i>
      <x v="91"/>
    </i>
    <i>
      <x v="61"/>
    </i>
    <i>
      <x v="94"/>
    </i>
    <i>
      <x v="62"/>
    </i>
    <i>
      <x v="96"/>
    </i>
    <i>
      <x v="63"/>
    </i>
    <i>
      <x v="98"/>
    </i>
    <i>
      <x v="64"/>
    </i>
    <i>
      <x v="31"/>
    </i>
    <i>
      <x v="65"/>
    </i>
    <i>
      <x v="102"/>
    </i>
    <i>
      <x v="66"/>
    </i>
    <i>
      <x v="7"/>
    </i>
    <i>
      <x v="3"/>
    </i>
    <i>
      <x v="106"/>
    </i>
    <i>
      <x v="68"/>
    </i>
    <i>
      <x v="9"/>
    </i>
    <i>
      <x v="25"/>
    </i>
    <i>
      <x v="32"/>
    </i>
    <i>
      <x v="70"/>
    </i>
    <i>
      <x v="116"/>
    </i>
    <i>
      <x v="14"/>
    </i>
    <i>
      <x v="36"/>
    </i>
    <i>
      <x v="35"/>
    </i>
    <i>
      <x v="15"/>
    </i>
    <i>
      <x v="73"/>
    </i>
    <i>
      <x v="124"/>
    </i>
    <i>
      <x v="74"/>
    </i>
    <i>
      <x v="33"/>
    </i>
    <i>
      <x v="76"/>
    </i>
    <i>
      <x v="128"/>
    </i>
    <i>
      <x v="133"/>
    </i>
    <i>
      <x v="130"/>
    </i>
    <i>
      <x v="21"/>
    </i>
    <i>
      <x v="20"/>
    </i>
    <i>
      <x v="29"/>
    </i>
    <i>
      <x v="30"/>
    </i>
    <i>
      <x v="77"/>
    </i>
    <i>
      <x v="26"/>
    </i>
    <i>
      <x v="78"/>
    </i>
    <i>
      <x v="139"/>
    </i>
    <i>
      <x v="23"/>
    </i>
    <i>
      <x v="28"/>
    </i>
    <i>
      <x v="24"/>
    </i>
    <i>
      <x v="82"/>
    </i>
    <i>
      <x v="83"/>
    </i>
    <i>
      <x/>
    </i>
    <i>
      <x v="67"/>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71">
      <pivotArea collapsedLevelsAreSubtotals="1" fieldPosition="0">
        <references count="1">
          <reference field="2" count="1">
            <x v="9"/>
          </reference>
        </references>
      </pivotArea>
    </format>
    <format dxfId="270">
      <pivotArea collapsedLevelsAreSubtotals="1" fieldPosition="0">
        <references count="1">
          <reference field="2" count="1">
            <x v="4"/>
          </reference>
        </references>
      </pivotArea>
    </format>
    <format dxfId="269">
      <pivotArea grandRow="1" outline="0" collapsedLevelsAreSubtotals="1" fieldPosition="0"/>
    </format>
    <format dxfId="268">
      <pivotArea dataOnly="0" labelOnly="1" grandRow="1" outline="0" fieldPosition="0"/>
    </format>
    <format dxfId="267">
      <pivotArea grandRow="1" outline="0" collapsedLevelsAreSubtotals="1" fieldPosition="0"/>
    </format>
    <format dxfId="266">
      <pivotArea dataOnly="0" labelOnly="1" grandRow="1" outline="0" fieldPosition="0"/>
    </format>
    <format dxfId="265">
      <pivotArea grandRow="1" outline="0" collapsedLevelsAreSubtotals="1" fieldPosition="0"/>
    </format>
    <format dxfId="264">
      <pivotArea dataOnly="0" labelOnly="1" grandRow="1" outline="0" fieldPosition="0"/>
    </format>
    <format dxfId="263">
      <pivotArea outline="0" collapsedLevelsAreSubtotals="1" fieldPosition="0">
        <references count="1">
          <reference field="4294967294" count="1" selected="0">
            <x v="0"/>
          </reference>
        </references>
      </pivotArea>
    </format>
    <format dxfId="262">
      <pivotArea dataOnly="0" labelOnly="1" outline="0" fieldPosition="0">
        <references count="1">
          <reference field="0" count="0"/>
        </references>
      </pivotArea>
    </format>
    <format dxfId="261">
      <pivotArea dataOnly="0" labelOnly="1" outline="0" fieldPosition="0">
        <references count="1">
          <reference field="4294967294" count="1">
            <x v="0"/>
          </reference>
        </references>
      </pivotArea>
    </format>
    <format dxfId="260">
      <pivotArea outline="0" collapsedLevelsAreSubtotals="1" fieldPosition="0">
        <references count="1">
          <reference field="4294967294" count="1" selected="0">
            <x v="1"/>
          </reference>
        </references>
      </pivotArea>
    </format>
    <format dxfId="259">
      <pivotArea dataOnly="0" labelOnly="1" outline="0" fieldPosition="0">
        <references count="1">
          <reference field="4294967294" count="1">
            <x v="1"/>
          </reference>
        </references>
      </pivotArea>
    </format>
    <format dxfId="258">
      <pivotArea outline="0" collapsedLevelsAreSubtotals="1" fieldPosition="0">
        <references count="1">
          <reference field="4294967294" count="1" selected="0">
            <x v="2"/>
          </reference>
        </references>
      </pivotArea>
    </format>
    <format dxfId="257">
      <pivotArea dataOnly="0" labelOnly="1" outline="0" fieldPosition="0">
        <references count="1">
          <reference field="4294967294" count="1">
            <x v="2"/>
          </reference>
        </references>
      </pivotArea>
    </format>
    <format dxfId="256">
      <pivotArea grandRow="1" outline="0" collapsedLevelsAreSubtotals="1" fieldPosition="0"/>
    </format>
    <format dxfId="255">
      <pivotArea dataOnly="0" labelOnly="1" grandRow="1" outline="0" fieldPosition="0"/>
    </format>
    <format dxfId="254">
      <pivotArea type="all" dataOnly="0" outline="0" fieldPosition="0"/>
    </format>
    <format dxfId="253">
      <pivotArea grandRow="1" outline="0" collapsedLevelsAreSubtotals="1" fieldPosition="0"/>
    </format>
    <format dxfId="252">
      <pivotArea dataOnly="0" labelOnly="1" grandRow="1" outline="0" fieldPosition="0"/>
    </format>
    <format dxfId="251">
      <pivotArea collapsedLevelsAreSubtotals="1" fieldPosition="0">
        <references count="2">
          <reference field="4294967294" count="1" selected="0">
            <x v="2"/>
          </reference>
          <reference field="1" count="1">
            <x v="22"/>
          </reference>
        </references>
      </pivotArea>
    </format>
    <format dxfId="250">
      <pivotArea collapsedLevelsAreSubtotals="1" fieldPosition="0">
        <references count="3">
          <reference field="4294967294" count="1" selected="0">
            <x v="2"/>
          </reference>
          <reference field="1" count="1">
            <x v="22"/>
          </reference>
          <reference field="2" count="1" selected="0">
            <x v="7"/>
          </reference>
        </references>
      </pivotArea>
    </format>
    <format dxfId="249">
      <pivotArea dataOnly="0" labelOnly="1" outline="0" fieldPosition="0">
        <references count="1">
          <reference field="4294967294" count="3">
            <x v="0"/>
            <x v="1"/>
            <x v="2"/>
          </reference>
        </references>
      </pivotArea>
    </format>
    <format dxfId="248">
      <pivotArea dataOnly="0" labelOnly="1" outline="0" fieldPosition="0">
        <references count="1">
          <reference field="4294967294" count="1">
            <x v="0"/>
          </reference>
        </references>
      </pivotArea>
    </format>
    <format dxfId="247">
      <pivotArea dataOnly="0" labelOnly="1" outline="0" fieldPosition="0">
        <references count="1">
          <reference field="4294967294" count="1">
            <x v="1"/>
          </reference>
        </references>
      </pivotArea>
    </format>
    <format dxfId="246">
      <pivotArea dataOnly="0" labelOnly="1" outline="0" fieldPosition="0">
        <references count="1">
          <reference field="4294967294" count="1">
            <x v="1"/>
          </reference>
        </references>
      </pivotArea>
    </format>
    <format dxfId="245">
      <pivotArea dataOnly="0" labelOnly="1" outline="0" fieldPosition="0">
        <references count="1">
          <reference field="4294967294" count="1">
            <x v="2"/>
          </reference>
        </references>
      </pivotArea>
    </format>
    <format dxfId="244">
      <pivotArea dataOnly="0" labelOnly="1" fieldPosition="0">
        <references count="1">
          <reference field="2" count="0"/>
        </references>
      </pivotArea>
    </format>
    <format dxfId="243">
      <pivotArea collapsedLevelsAreSubtotals="1" fieldPosition="0">
        <references count="2">
          <reference field="4294967294" count="1" selected="0">
            <x v="2"/>
          </reference>
          <reference field="2" count="1">
            <x v="4"/>
          </reference>
        </references>
      </pivotArea>
    </format>
    <format dxfId="242">
      <pivotArea collapsedLevelsAreSubtotals="1" fieldPosition="0">
        <references count="2">
          <reference field="4294967294" count="1" selected="0">
            <x v="2"/>
          </reference>
          <reference field="2" count="1">
            <x v="9"/>
          </reference>
        </references>
      </pivotArea>
    </format>
    <format dxfId="241">
      <pivotArea collapsedLevelsAreSubtotals="1" fieldPosition="0">
        <references count="2">
          <reference field="4294967294" count="1" selected="0">
            <x v="2"/>
          </reference>
          <reference field="2" count="1">
            <x v="14"/>
          </reference>
        </references>
      </pivotArea>
    </format>
    <format dxfId="240">
      <pivotArea collapsedLevelsAreSubtotals="1" fieldPosition="0">
        <references count="3">
          <reference field="4294967294" count="1" selected="0">
            <x v="2"/>
          </reference>
          <reference field="1" count="3">
            <x v="3"/>
            <x v="37"/>
            <x v="41"/>
          </reference>
          <reference field="2" count="1" selected="0">
            <x v="14"/>
          </reference>
        </references>
      </pivotArea>
    </format>
    <format dxfId="239">
      <pivotArea collapsedLevelsAreSubtotals="1" fieldPosition="0">
        <references count="3">
          <reference field="4294967294" count="1" selected="0">
            <x v="2"/>
          </reference>
          <reference field="1" count="1">
            <x v="6"/>
          </reference>
          <reference field="2" count="1" selected="0">
            <x v="14"/>
          </reference>
        </references>
      </pivotArea>
    </format>
    <format dxfId="238">
      <pivotArea collapsedLevelsAreSubtotals="1" fieldPosition="0">
        <references count="3">
          <reference field="4294967294" count="1" selected="0">
            <x v="2"/>
          </reference>
          <reference field="1" count="1">
            <x v="27"/>
          </reference>
          <reference field="2" count="1" selected="0">
            <x v="14"/>
          </reference>
        </references>
      </pivotArea>
    </format>
    <format dxfId="237">
      <pivotArea collapsedLevelsAreSubtotals="1" fieldPosition="0">
        <references count="1">
          <reference field="2" count="1">
            <x v="0"/>
          </reference>
        </references>
      </pivotArea>
    </format>
    <format dxfId="236">
      <pivotArea collapsedLevelsAreSubtotals="1" fieldPosition="0">
        <references count="1">
          <reference field="2" count="1">
            <x v="14"/>
          </reference>
        </references>
      </pivotArea>
    </format>
    <format dxfId="235">
      <pivotArea collapsedLevelsAreSubtotals="1" fieldPosition="0">
        <references count="1">
          <reference field="2" count="1">
            <x v="9"/>
          </reference>
        </references>
      </pivotArea>
    </format>
    <format dxfId="234">
      <pivotArea collapsedLevelsAreSubtotals="1" fieldPosition="0">
        <references count="1">
          <reference field="2" count="1">
            <x v="5"/>
          </reference>
        </references>
      </pivotArea>
    </format>
    <format dxfId="233">
      <pivotArea collapsedLevelsAreSubtotals="1" fieldPosition="0">
        <references count="1">
          <reference field="2" count="1">
            <x v="17"/>
          </reference>
        </references>
      </pivotArea>
    </format>
    <format dxfId="232">
      <pivotArea collapsedLevelsAreSubtotals="1" fieldPosition="0">
        <references count="1">
          <reference field="2" count="1">
            <x v="2"/>
          </reference>
        </references>
      </pivotArea>
    </format>
    <format dxfId="231">
      <pivotArea collapsedLevelsAreSubtotals="1" fieldPosition="0">
        <references count="1">
          <reference field="2" count="1">
            <x v="10"/>
          </reference>
        </references>
      </pivotArea>
    </format>
    <format dxfId="230">
      <pivotArea collapsedLevelsAreSubtotals="1" fieldPosition="0">
        <references count="1">
          <reference field="2" count="1">
            <x v="1"/>
          </reference>
        </references>
      </pivotArea>
    </format>
    <format dxfId="229">
      <pivotArea collapsedLevelsAreSubtotals="1" fieldPosition="0">
        <references count="1">
          <reference field="2" count="1">
            <x v="13"/>
          </reference>
        </references>
      </pivotArea>
    </format>
    <format dxfId="228">
      <pivotArea collapsedLevelsAreSubtotals="1" fieldPosition="0">
        <references count="1">
          <reference field="2" count="1">
            <x v="4"/>
          </reference>
        </references>
      </pivotArea>
    </format>
    <format dxfId="227">
      <pivotArea collapsedLevelsAreSubtotals="1" fieldPosition="0">
        <references count="1">
          <reference field="2" count="1">
            <x v="8"/>
          </reference>
        </references>
      </pivotArea>
    </format>
    <format dxfId="226">
      <pivotArea collapsedLevelsAreSubtotals="1" fieldPosition="0">
        <references count="1">
          <reference field="2" count="1">
            <x v="3"/>
          </reference>
        </references>
      </pivotArea>
    </format>
    <format dxfId="225">
      <pivotArea collapsedLevelsAreSubtotals="1" fieldPosition="0">
        <references count="1">
          <reference field="2" count="1">
            <x v="12"/>
          </reference>
        </references>
      </pivotArea>
    </format>
    <format dxfId="224">
      <pivotArea collapsedLevelsAreSubtotals="1" fieldPosition="0">
        <references count="1">
          <reference field="2" count="1">
            <x v="6"/>
          </reference>
        </references>
      </pivotArea>
    </format>
    <format dxfId="223">
      <pivotArea collapsedLevelsAreSubtotals="1" fieldPosition="0">
        <references count="1">
          <reference field="2" count="1">
            <x v="11"/>
          </reference>
        </references>
      </pivotArea>
    </format>
    <format dxfId="222">
      <pivotArea collapsedLevelsAreSubtotals="1" fieldPosition="0">
        <references count="1">
          <reference field="2" count="1">
            <x v="20"/>
          </reference>
        </references>
      </pivotArea>
    </format>
    <format dxfId="221">
      <pivotArea collapsedLevelsAreSubtotals="1" fieldPosition="0">
        <references count="2">
          <reference field="1" count="1">
            <x v="6"/>
          </reference>
          <reference field="2" count="1" selected="0">
            <x v="20"/>
          </reference>
        </references>
      </pivotArea>
    </format>
    <format dxfId="220">
      <pivotArea collapsedLevelsAreSubtotals="1" fieldPosition="0">
        <references count="1">
          <reference field="2" count="1">
            <x v="7"/>
          </reference>
        </references>
      </pivotArea>
    </format>
    <format dxfId="219">
      <pivotArea collapsedLevelsAreSubtotals="1" fieldPosition="0">
        <references count="1">
          <reference field="2" count="1">
            <x v="16"/>
          </reference>
        </references>
      </pivotArea>
    </format>
    <format dxfId="218">
      <pivotArea collapsedLevelsAreSubtotals="1" fieldPosition="0">
        <references count="1">
          <reference field="2" count="1">
            <x v="19"/>
          </reference>
        </references>
      </pivotArea>
    </format>
    <format dxfId="217">
      <pivotArea collapsedLevelsAreSubtotals="1" fieldPosition="0">
        <references count="1">
          <reference field="2" count="1">
            <x v="18"/>
          </reference>
        </references>
      </pivotArea>
    </format>
    <format dxfId="216">
      <pivotArea collapsedLevelsAreSubtotals="1" fieldPosition="0">
        <references count="1">
          <reference field="2" count="1">
            <x v="15"/>
          </reference>
        </references>
      </pivotArea>
    </format>
    <format dxfId="215">
      <pivotArea collapsedLevelsAreSubtotals="1" fieldPosition="0">
        <references count="1">
          <reference field="2" count="1">
            <x v="21"/>
          </reference>
        </references>
      </pivotArea>
    </format>
    <format dxfId="214">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3">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2">
      <pivotArea dataOnly="0" labelOnly="1" fieldPosition="0">
        <references count="1">
          <reference field="1" count="1">
            <x v="79"/>
          </reference>
        </references>
      </pivotArea>
    </format>
    <format dxfId="211">
      <pivotArea dataOnly="0" labelOnly="1" fieldPosition="0">
        <references count="1">
          <reference field="1" count="1">
            <x v="79"/>
          </reference>
        </references>
      </pivotArea>
    </format>
    <format dxfId="210">
      <pivotArea type="all" dataOnly="0" outline="0" fieldPosition="0"/>
    </format>
    <format dxfId="209">
      <pivotArea outline="0" collapsedLevelsAreSubtotals="1" fieldPosition="0"/>
    </format>
    <format dxfId="208">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07">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6">
      <pivotArea dataOnly="0" labelOnly="1" fieldPosition="0">
        <references count="1">
          <reference field="1" count="16">
            <x v="0"/>
            <x v="12"/>
            <x v="14"/>
            <x v="15"/>
            <x v="17"/>
            <x v="19"/>
            <x v="27"/>
            <x v="47"/>
            <x v="58"/>
            <x v="59"/>
            <x v="62"/>
            <x v="63"/>
            <x v="64"/>
            <x v="65"/>
            <x v="66"/>
            <x v="67"/>
          </reference>
        </references>
      </pivotArea>
    </format>
    <format dxfId="205">
      <pivotArea dataOnly="0" labelOnly="1" grandRow="1" outline="0" fieldPosition="0"/>
    </format>
    <format dxfId="204">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45404</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180"/>
  <sheetViews>
    <sheetView tabSelected="1" zoomScale="140" zoomScaleNormal="140" workbookViewId="0">
      <pane ySplit="1" topLeftCell="A19169" activePane="bottomLeft" state="frozen"/>
      <selection pane="bottomLeft" activeCell="E19180" sqref="E19180"/>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12808</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11897</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12812</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7"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12849</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4"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392</v>
      </c>
      <c r="D18891" s="183" t="s">
        <v>12874</v>
      </c>
      <c r="E18891" s="126">
        <v>32800</v>
      </c>
      <c r="F18891" s="126"/>
      <c r="G18891" s="126">
        <f t="shared" si="390"/>
        <v>-32800</v>
      </c>
      <c r="H18891" s="705" t="s">
        <v>12659</v>
      </c>
      <c r="J18891" s="40"/>
    </row>
    <row r="18892" spans="1:10" ht="15" x14ac:dyDescent="0.2">
      <c r="A18892" s="734">
        <v>45365</v>
      </c>
      <c r="B18892" s="63" t="s">
        <v>25</v>
      </c>
      <c r="C18892" s="63" t="s">
        <v>7595</v>
      </c>
      <c r="D18892" s="183" t="s">
        <v>11376</v>
      </c>
      <c r="E18892" s="126">
        <v>85000</v>
      </c>
      <c r="F18892" s="126"/>
      <c r="G18892" s="126">
        <f t="shared" si="390"/>
        <v>-85000</v>
      </c>
      <c r="H18892" s="705" t="s">
        <v>12659</v>
      </c>
      <c r="J18892" s="40"/>
    </row>
    <row r="18893" spans="1:10" ht="15" x14ac:dyDescent="0.2">
      <c r="A18893" s="734">
        <v>45366</v>
      </c>
      <c r="B18893" s="63" t="s">
        <v>12532</v>
      </c>
      <c r="C18893" s="63" t="s">
        <v>10993</v>
      </c>
      <c r="D18893" s="183" t="s">
        <v>4966</v>
      </c>
      <c r="E18893" s="126">
        <v>193890</v>
      </c>
      <c r="F18893" s="126"/>
      <c r="G18893" s="126">
        <f t="shared" si="390"/>
        <v>-193890</v>
      </c>
      <c r="H18893" s="705" t="s">
        <v>12659</v>
      </c>
      <c r="J18893" s="40"/>
    </row>
    <row r="18894" spans="1:10" ht="15" x14ac:dyDescent="0.2">
      <c r="A18894" s="734">
        <v>45366</v>
      </c>
      <c r="B18894" s="63" t="s">
        <v>12532</v>
      </c>
      <c r="C18894" s="63" t="s">
        <v>10993</v>
      </c>
      <c r="D18894" s="183" t="s">
        <v>4966</v>
      </c>
      <c r="E18894" s="126">
        <v>116460</v>
      </c>
      <c r="F18894" s="126"/>
      <c r="G18894" s="126">
        <f t="shared" si="390"/>
        <v>-116460</v>
      </c>
      <c r="H18894" s="705" t="s">
        <v>12659</v>
      </c>
      <c r="J18894" s="40"/>
    </row>
    <row r="18895" spans="1:10" ht="15" x14ac:dyDescent="0.2">
      <c r="A18895" s="734">
        <v>45366</v>
      </c>
      <c r="B18895" s="63" t="s">
        <v>12532</v>
      </c>
      <c r="C18895" s="63" t="s">
        <v>10993</v>
      </c>
      <c r="D18895" s="183" t="s">
        <v>4966</v>
      </c>
      <c r="E18895" s="126">
        <v>11790</v>
      </c>
      <c r="F18895" s="126"/>
      <c r="G18895" s="126">
        <f t="shared" ref="G18895:G18896" si="391">F18895-E18895</f>
        <v>-11790</v>
      </c>
      <c r="H18895" s="705" t="s">
        <v>12659</v>
      </c>
      <c r="J18895" s="40"/>
    </row>
    <row r="18896" spans="1:10" ht="15" x14ac:dyDescent="0.2">
      <c r="A18896" s="734">
        <v>45366</v>
      </c>
      <c r="B18896" s="63" t="s">
        <v>12532</v>
      </c>
      <c r="C18896" s="63" t="s">
        <v>10993</v>
      </c>
      <c r="D18896" s="183" t="s">
        <v>4966</v>
      </c>
      <c r="E18896" s="126">
        <v>2300</v>
      </c>
      <c r="F18896" s="126"/>
      <c r="G18896" s="126">
        <f t="shared" si="391"/>
        <v>-2300</v>
      </c>
      <c r="H18896" s="705" t="s">
        <v>12659</v>
      </c>
      <c r="J18896" s="40"/>
    </row>
    <row r="18897" spans="1:10" ht="15" x14ac:dyDescent="0.2">
      <c r="A18897" s="734">
        <v>45366</v>
      </c>
      <c r="B18897" s="63" t="s">
        <v>11897</v>
      </c>
      <c r="C18897" s="63" t="s">
        <v>10993</v>
      </c>
      <c r="D18897" s="183" t="s">
        <v>12752</v>
      </c>
      <c r="E18897" s="126">
        <v>15600</v>
      </c>
      <c r="F18897" s="126"/>
      <c r="G18897" s="126">
        <f t="shared" ref="G18897:G18902" si="392">F18897-E18897</f>
        <v>-15600</v>
      </c>
      <c r="H18897" s="705" t="s">
        <v>12659</v>
      </c>
      <c r="J18897" s="40"/>
    </row>
    <row r="18898" spans="1:10" ht="15" x14ac:dyDescent="0.2">
      <c r="A18898" s="734">
        <v>45366</v>
      </c>
      <c r="B18898" s="63" t="s">
        <v>10908</v>
      </c>
      <c r="C18898" s="63" t="s">
        <v>10993</v>
      </c>
      <c r="D18898" s="183" t="s">
        <v>12753</v>
      </c>
      <c r="E18898" s="126">
        <v>1000</v>
      </c>
      <c r="F18898" s="126"/>
      <c r="G18898" s="126">
        <f t="shared" si="392"/>
        <v>-1000</v>
      </c>
      <c r="H18898" s="705" t="s">
        <v>12659</v>
      </c>
      <c r="J18898" s="40"/>
    </row>
    <row r="18899" spans="1:10" ht="15" x14ac:dyDescent="0.2">
      <c r="A18899" s="734">
        <v>45366</v>
      </c>
      <c r="B18899" s="63" t="s">
        <v>11897</v>
      </c>
      <c r="C18899" s="63" t="s">
        <v>10993</v>
      </c>
      <c r="D18899" s="183" t="s">
        <v>12754</v>
      </c>
      <c r="E18899" s="126">
        <v>7500</v>
      </c>
      <c r="F18899" s="126"/>
      <c r="G18899" s="126">
        <f t="shared" si="392"/>
        <v>-7500</v>
      </c>
      <c r="H18899" s="705" t="s">
        <v>12659</v>
      </c>
      <c r="J18899" s="40"/>
    </row>
    <row r="18900" spans="1:10" ht="15" x14ac:dyDescent="0.2">
      <c r="A18900" s="734">
        <v>45366</v>
      </c>
      <c r="B18900" s="63" t="s">
        <v>11897</v>
      </c>
      <c r="C18900" s="63" t="s">
        <v>10993</v>
      </c>
      <c r="D18900" s="183" t="s">
        <v>12755</v>
      </c>
      <c r="E18900" s="126">
        <v>540</v>
      </c>
      <c r="F18900" s="126"/>
      <c r="G18900" s="126">
        <f t="shared" si="392"/>
        <v>-540</v>
      </c>
      <c r="H18900" s="705" t="s">
        <v>12659</v>
      </c>
      <c r="J18900" s="40"/>
    </row>
    <row r="18901" spans="1:10" ht="24" x14ac:dyDescent="0.2">
      <c r="A18901" s="734">
        <v>45366</v>
      </c>
      <c r="B18901" s="63" t="s">
        <v>11089</v>
      </c>
      <c r="C18901" s="63" t="s">
        <v>10484</v>
      </c>
      <c r="D18901" s="183" t="s">
        <v>12757</v>
      </c>
      <c r="E18901" s="126">
        <v>500000</v>
      </c>
      <c r="F18901" s="126"/>
      <c r="G18901" s="126">
        <f t="shared" si="392"/>
        <v>-500000</v>
      </c>
      <c r="H18901" s="705" t="s">
        <v>12659</v>
      </c>
      <c r="J18901" s="40"/>
    </row>
    <row r="18902" spans="1:10" ht="15" x14ac:dyDescent="0.2">
      <c r="A18902" s="734">
        <v>45366</v>
      </c>
      <c r="B18902" s="63" t="s">
        <v>11897</v>
      </c>
      <c r="C18902" s="63" t="s">
        <v>12759</v>
      </c>
      <c r="D18902" s="183" t="s">
        <v>12224</v>
      </c>
      <c r="E18902" s="126">
        <v>250000</v>
      </c>
      <c r="F18902" s="126"/>
      <c r="G18902" s="126">
        <f t="shared" si="392"/>
        <v>-250000</v>
      </c>
      <c r="H18902" s="705" t="s">
        <v>12659</v>
      </c>
      <c r="J18902" s="40"/>
    </row>
    <row r="18903" spans="1:10" ht="15" x14ac:dyDescent="0.2">
      <c r="A18903" s="734">
        <v>45366</v>
      </c>
      <c r="B18903" s="63" t="s">
        <v>9356</v>
      </c>
      <c r="C18903" s="63" t="s">
        <v>392</v>
      </c>
      <c r="D18903" s="183" t="s">
        <v>12469</v>
      </c>
      <c r="E18903" s="126">
        <v>1500</v>
      </c>
      <c r="F18903" s="126"/>
      <c r="G18903" s="126">
        <f t="shared" ref="G18903:G18916" si="393">F18903-E18903</f>
        <v>-1500</v>
      </c>
      <c r="H18903" s="705" t="s">
        <v>12659</v>
      </c>
      <c r="J18903" s="40"/>
    </row>
    <row r="18904" spans="1:10" ht="15" x14ac:dyDescent="0.2">
      <c r="A18904" s="734">
        <v>45367</v>
      </c>
      <c r="B18904" s="63" t="s">
        <v>11897</v>
      </c>
      <c r="C18904" s="63" t="s">
        <v>10993</v>
      </c>
      <c r="D18904" s="183" t="s">
        <v>11268</v>
      </c>
      <c r="E18904" s="126">
        <v>5560</v>
      </c>
      <c r="F18904" s="126"/>
      <c r="G18904" s="126">
        <f t="shared" si="393"/>
        <v>-5560</v>
      </c>
      <c r="H18904" s="705" t="s">
        <v>12659</v>
      </c>
      <c r="J18904" s="40"/>
    </row>
    <row r="18905" spans="1:10" ht="15" x14ac:dyDescent="0.2">
      <c r="A18905" s="734">
        <v>45367</v>
      </c>
      <c r="B18905" s="63" t="s">
        <v>11897</v>
      </c>
      <c r="C18905" s="63" t="s">
        <v>5741</v>
      </c>
      <c r="D18905" s="183" t="s">
        <v>370</v>
      </c>
      <c r="E18905" s="126">
        <v>350</v>
      </c>
      <c r="F18905" s="126"/>
      <c r="G18905" s="126">
        <f t="shared" si="393"/>
        <v>-350</v>
      </c>
      <c r="H18905" s="705" t="s">
        <v>12659</v>
      </c>
      <c r="J18905" s="40"/>
    </row>
    <row r="18906" spans="1:10" ht="15" x14ac:dyDescent="0.2">
      <c r="A18906" s="734">
        <v>45367</v>
      </c>
      <c r="B18906" s="63" t="s">
        <v>11738</v>
      </c>
      <c r="C18906" s="63" t="s">
        <v>7838</v>
      </c>
      <c r="D18906" s="183" t="s">
        <v>12760</v>
      </c>
      <c r="E18906" s="126">
        <v>12400</v>
      </c>
      <c r="F18906" s="126"/>
      <c r="G18906" s="126">
        <f t="shared" si="393"/>
        <v>-12400</v>
      </c>
      <c r="H18906" s="705" t="s">
        <v>12659</v>
      </c>
      <c r="J18906" s="40"/>
    </row>
    <row r="18907" spans="1:10" ht="15" x14ac:dyDescent="0.2">
      <c r="A18907" s="734">
        <v>45367</v>
      </c>
      <c r="B18907" s="63" t="s">
        <v>10908</v>
      </c>
      <c r="C18907" s="63" t="s">
        <v>10993</v>
      </c>
      <c r="D18907" s="183" t="s">
        <v>12761</v>
      </c>
      <c r="E18907" s="126">
        <v>950</v>
      </c>
      <c r="F18907" s="126"/>
      <c r="G18907" s="126">
        <f t="shared" si="393"/>
        <v>-950</v>
      </c>
      <c r="H18907" s="705" t="s">
        <v>12659</v>
      </c>
      <c r="J18907" s="40"/>
    </row>
    <row r="18908" spans="1:10" ht="15" x14ac:dyDescent="0.2">
      <c r="A18908" s="734">
        <v>45367</v>
      </c>
      <c r="B18908" s="63" t="s">
        <v>10363</v>
      </c>
      <c r="C18908" s="63" t="s">
        <v>2190</v>
      </c>
      <c r="D18908" s="183" t="s">
        <v>12762</v>
      </c>
      <c r="E18908" s="126">
        <v>9500</v>
      </c>
      <c r="F18908" s="126"/>
      <c r="G18908" s="126">
        <f t="shared" si="393"/>
        <v>-9500</v>
      </c>
      <c r="H18908" s="705" t="s">
        <v>12659</v>
      </c>
      <c r="J18908" s="40"/>
    </row>
    <row r="18909" spans="1:10" ht="15" x14ac:dyDescent="0.2">
      <c r="A18909" s="734">
        <v>45367</v>
      </c>
      <c r="B18909" s="63" t="s">
        <v>10908</v>
      </c>
      <c r="C18909" s="63" t="s">
        <v>5741</v>
      </c>
      <c r="D18909" s="183" t="s">
        <v>370</v>
      </c>
      <c r="E18909" s="126">
        <v>500</v>
      </c>
      <c r="F18909" s="126"/>
      <c r="G18909" s="126">
        <f t="shared" si="393"/>
        <v>-500</v>
      </c>
      <c r="H18909" s="705" t="s">
        <v>12659</v>
      </c>
      <c r="J18909" s="40"/>
    </row>
    <row r="18910" spans="1:10" ht="15" x14ac:dyDescent="0.2">
      <c r="A18910" s="734">
        <v>45367</v>
      </c>
      <c r="B18910" s="63" t="s">
        <v>11897</v>
      </c>
      <c r="C18910" s="63" t="s">
        <v>12763</v>
      </c>
      <c r="D18910" s="183" t="s">
        <v>12461</v>
      </c>
      <c r="E18910" s="126">
        <v>58470</v>
      </c>
      <c r="F18910" s="126"/>
      <c r="G18910" s="126">
        <f t="shared" si="393"/>
        <v>-58470</v>
      </c>
      <c r="H18910" s="705" t="s">
        <v>12659</v>
      </c>
      <c r="J18910" s="40"/>
    </row>
    <row r="18911" spans="1:10" ht="15" x14ac:dyDescent="0.2">
      <c r="A18911" s="734">
        <v>45367</v>
      </c>
      <c r="B18911" s="63" t="s">
        <v>11135</v>
      </c>
      <c r="C18911" s="63" t="s">
        <v>392</v>
      </c>
      <c r="D18911" s="183" t="s">
        <v>5384</v>
      </c>
      <c r="E18911" s="126">
        <v>5000</v>
      </c>
      <c r="F18911" s="126"/>
      <c r="G18911" s="126">
        <f t="shared" ref="G18911:G18915" si="394">F18911-E18911</f>
        <v>-5000</v>
      </c>
      <c r="H18911" s="705" t="s">
        <v>12659</v>
      </c>
      <c r="J18911" s="40"/>
    </row>
    <row r="18912" spans="1:10" ht="15" x14ac:dyDescent="0.2">
      <c r="A18912" s="734">
        <v>45367</v>
      </c>
      <c r="B18912" s="63" t="s">
        <v>12634</v>
      </c>
      <c r="C18912" s="63" t="s">
        <v>392</v>
      </c>
      <c r="D18912" s="183" t="s">
        <v>5384</v>
      </c>
      <c r="E18912" s="126">
        <v>6340</v>
      </c>
      <c r="F18912" s="126"/>
      <c r="G18912" s="126">
        <f t="shared" si="394"/>
        <v>-6340</v>
      </c>
      <c r="H18912" s="705" t="s">
        <v>12659</v>
      </c>
      <c r="J18912" s="40"/>
    </row>
    <row r="18913" spans="1:10" ht="15" x14ac:dyDescent="0.2">
      <c r="A18913" s="734">
        <v>45367</v>
      </c>
      <c r="B18913" s="63" t="s">
        <v>10151</v>
      </c>
      <c r="C18913" s="63" t="s">
        <v>392</v>
      </c>
      <c r="D18913" s="183" t="s">
        <v>5384</v>
      </c>
      <c r="E18913" s="126">
        <v>2100</v>
      </c>
      <c r="F18913" s="126"/>
      <c r="G18913" s="126">
        <f t="shared" si="394"/>
        <v>-2100</v>
      </c>
      <c r="H18913" s="705" t="s">
        <v>12659</v>
      </c>
      <c r="J18913" s="40"/>
    </row>
    <row r="18914" spans="1:10" ht="15" x14ac:dyDescent="0.2">
      <c r="A18914" s="734">
        <v>45367</v>
      </c>
      <c r="B18914" s="63" t="s">
        <v>37</v>
      </c>
      <c r="C18914" s="63" t="s">
        <v>392</v>
      </c>
      <c r="D18914" s="183" t="s">
        <v>5384</v>
      </c>
      <c r="E18914" s="126">
        <v>3000</v>
      </c>
      <c r="F18914" s="126"/>
      <c r="G18914" s="126">
        <f t="shared" si="394"/>
        <v>-3000</v>
      </c>
      <c r="H18914" s="705" t="s">
        <v>12659</v>
      </c>
      <c r="J18914" s="40"/>
    </row>
    <row r="18915" spans="1:10" ht="15" x14ac:dyDescent="0.2">
      <c r="A18915" s="734">
        <v>45367</v>
      </c>
      <c r="B18915" s="63" t="s">
        <v>25</v>
      </c>
      <c r="C18915" s="63" t="s">
        <v>392</v>
      </c>
      <c r="D18915" s="183" t="s">
        <v>12773</v>
      </c>
      <c r="E18915" s="126">
        <v>10900</v>
      </c>
      <c r="F18915" s="126"/>
      <c r="G18915" s="126">
        <f t="shared" si="394"/>
        <v>-10900</v>
      </c>
      <c r="H18915" s="705" t="s">
        <v>12659</v>
      </c>
      <c r="J18915" s="40"/>
    </row>
    <row r="18916" spans="1:10" ht="15" x14ac:dyDescent="0.2">
      <c r="A18916" s="734">
        <v>45367</v>
      </c>
      <c r="B18916" s="63" t="s">
        <v>11897</v>
      </c>
      <c r="C18916" s="63" t="s">
        <v>7467</v>
      </c>
      <c r="D18916" s="183" t="s">
        <v>12764</v>
      </c>
      <c r="E18916" s="126">
        <v>2000000</v>
      </c>
      <c r="F18916" s="126"/>
      <c r="G18916" s="126">
        <f t="shared" si="393"/>
        <v>-2000000</v>
      </c>
      <c r="H18916" s="705" t="s">
        <v>12659</v>
      </c>
      <c r="J18916" s="40"/>
    </row>
    <row r="18917" spans="1:10" ht="15" x14ac:dyDescent="0.2">
      <c r="A18917" s="734">
        <v>45369</v>
      </c>
      <c r="B18917" s="63" t="s">
        <v>37</v>
      </c>
      <c r="C18917" s="63" t="s">
        <v>3003</v>
      </c>
      <c r="D18917" s="183" t="s">
        <v>12766</v>
      </c>
      <c r="E18917" s="126">
        <v>1557</v>
      </c>
      <c r="F18917" s="126"/>
      <c r="G18917" s="126">
        <f t="shared" ref="G18917:G18924" si="395">F18917-E18917</f>
        <v>-1557</v>
      </c>
      <c r="H18917" s="705" t="s">
        <v>12659</v>
      </c>
      <c r="J18917" s="40"/>
    </row>
    <row r="18918" spans="1:10" ht="15" x14ac:dyDescent="0.2">
      <c r="A18918" s="734">
        <v>45369</v>
      </c>
      <c r="B18918" s="736"/>
      <c r="C18918" s="63" t="s">
        <v>8394</v>
      </c>
      <c r="D18918" s="183" t="s">
        <v>12767</v>
      </c>
      <c r="E18918" s="126">
        <v>1000000</v>
      </c>
      <c r="F18918" s="126"/>
      <c r="G18918" s="126">
        <f t="shared" si="395"/>
        <v>-1000000</v>
      </c>
      <c r="H18918" s="705" t="s">
        <v>12659</v>
      </c>
      <c r="J18918" s="40"/>
    </row>
    <row r="18919" spans="1:10" ht="24" x14ac:dyDescent="0.2">
      <c r="A18919" s="734">
        <v>45369</v>
      </c>
      <c r="B18919" s="63" t="s">
        <v>11089</v>
      </c>
      <c r="C18919" s="63" t="s">
        <v>10484</v>
      </c>
      <c r="D18919" s="183" t="s">
        <v>12768</v>
      </c>
      <c r="E18919" s="126">
        <v>791000</v>
      </c>
      <c r="F18919" s="126"/>
      <c r="G18919" s="126">
        <f t="shared" si="395"/>
        <v>-791000</v>
      </c>
      <c r="H18919" s="705" t="s">
        <v>12659</v>
      </c>
      <c r="J18919" s="40"/>
    </row>
    <row r="18920" spans="1:10" ht="15" x14ac:dyDescent="0.2">
      <c r="A18920" s="734">
        <v>45369</v>
      </c>
      <c r="B18920" s="63" t="s">
        <v>11089</v>
      </c>
      <c r="C18920" s="63" t="s">
        <v>10993</v>
      </c>
      <c r="D18920" s="183" t="s">
        <v>12769</v>
      </c>
      <c r="E18920" s="126">
        <v>38000</v>
      </c>
      <c r="F18920" s="126"/>
      <c r="G18920" s="126">
        <f t="shared" si="395"/>
        <v>-38000</v>
      </c>
      <c r="H18920" s="705" t="s">
        <v>12659</v>
      </c>
      <c r="J18920" s="40"/>
    </row>
    <row r="18921" spans="1:10" ht="15" x14ac:dyDescent="0.2">
      <c r="A18921" s="734">
        <v>45370</v>
      </c>
      <c r="B18921" s="63" t="s">
        <v>12366</v>
      </c>
      <c r="C18921" s="566" t="s">
        <v>12104</v>
      </c>
      <c r="D18921" s="875" t="s">
        <v>12770</v>
      </c>
      <c r="E18921" s="567">
        <f>300000-81000</f>
        <v>219000</v>
      </c>
      <c r="F18921" s="126"/>
      <c r="G18921" s="126">
        <f t="shared" si="395"/>
        <v>-219000</v>
      </c>
      <c r="H18921" s="705" t="s">
        <v>12659</v>
      </c>
      <c r="J18921" s="40"/>
    </row>
    <row r="18922" spans="1:10" ht="15" x14ac:dyDescent="0.2">
      <c r="A18922" s="734">
        <v>45370</v>
      </c>
      <c r="B18922" s="63" t="s">
        <v>12510</v>
      </c>
      <c r="C18922" s="566" t="s">
        <v>12104</v>
      </c>
      <c r="D18922" s="875" t="s">
        <v>12770</v>
      </c>
      <c r="E18922" s="567">
        <v>81000</v>
      </c>
      <c r="F18922" s="126"/>
      <c r="G18922" s="126">
        <f t="shared" si="395"/>
        <v>-81000</v>
      </c>
      <c r="H18922" s="705" t="s">
        <v>12659</v>
      </c>
      <c r="J18922" s="40"/>
    </row>
    <row r="18923" spans="1:10" ht="15" x14ac:dyDescent="0.2">
      <c r="A18923" s="734">
        <v>45370</v>
      </c>
      <c r="B18923" s="63" t="s">
        <v>11897</v>
      </c>
      <c r="C18923" s="63" t="s">
        <v>8390</v>
      </c>
      <c r="D18923" s="183" t="s">
        <v>12771</v>
      </c>
      <c r="E18923" s="126">
        <v>30000</v>
      </c>
      <c r="F18923" s="126"/>
      <c r="G18923" s="126">
        <f t="shared" si="395"/>
        <v>-30000</v>
      </c>
      <c r="H18923" s="705" t="s">
        <v>12659</v>
      </c>
      <c r="J18923" s="40"/>
    </row>
    <row r="18924" spans="1:10" ht="24" x14ac:dyDescent="0.2">
      <c r="A18924" s="734">
        <v>45370</v>
      </c>
      <c r="B18924" s="63" t="s">
        <v>8559</v>
      </c>
      <c r="C18924" s="63" t="s">
        <v>10993</v>
      </c>
      <c r="D18924" s="183" t="s">
        <v>12772</v>
      </c>
      <c r="E18924" s="126">
        <v>43500</v>
      </c>
      <c r="F18924" s="126"/>
      <c r="G18924" s="126">
        <f t="shared" si="395"/>
        <v>-43500</v>
      </c>
      <c r="H18924" s="705" t="s">
        <v>12659</v>
      </c>
      <c r="J18924" s="40"/>
    </row>
    <row r="18925" spans="1:10" ht="15" x14ac:dyDescent="0.2">
      <c r="A18925" s="734">
        <v>45370</v>
      </c>
      <c r="B18925" s="63" t="s">
        <v>8559</v>
      </c>
      <c r="C18925" s="63" t="s">
        <v>12780</v>
      </c>
      <c r="D18925" s="183" t="s">
        <v>12781</v>
      </c>
      <c r="E18925" s="126">
        <v>5000</v>
      </c>
      <c r="F18925" s="126"/>
      <c r="G18925" s="126">
        <f t="shared" ref="G18925:G18940" si="396">F18925-E18925</f>
        <v>-5000</v>
      </c>
      <c r="H18925" s="705" t="s">
        <v>12659</v>
      </c>
      <c r="J18925" s="40"/>
    </row>
    <row r="18926" spans="1:10" ht="15" x14ac:dyDescent="0.2">
      <c r="A18926" s="734">
        <v>45370</v>
      </c>
      <c r="B18926" s="63" t="s">
        <v>8559</v>
      </c>
      <c r="C18926" s="63" t="s">
        <v>5741</v>
      </c>
      <c r="D18926" s="183" t="s">
        <v>370</v>
      </c>
      <c r="E18926" s="126">
        <v>200</v>
      </c>
      <c r="F18926" s="126"/>
      <c r="G18926" s="126">
        <f t="shared" si="396"/>
        <v>-200</v>
      </c>
      <c r="H18926" s="705" t="s">
        <v>12659</v>
      </c>
      <c r="J18926" s="40"/>
    </row>
    <row r="18927" spans="1:10" ht="15" x14ac:dyDescent="0.2">
      <c r="A18927" s="734">
        <v>45371</v>
      </c>
      <c r="B18927" s="63" t="s">
        <v>11738</v>
      </c>
      <c r="C18927" s="63" t="s">
        <v>10993</v>
      </c>
      <c r="D18927" s="183" t="s">
        <v>12782</v>
      </c>
      <c r="E18927" s="126">
        <v>11435</v>
      </c>
      <c r="F18927" s="126"/>
      <c r="G18927" s="126">
        <f t="shared" si="396"/>
        <v>-11435</v>
      </c>
      <c r="H18927" s="705" t="s">
        <v>12659</v>
      </c>
      <c r="J18927" s="40"/>
    </row>
    <row r="18928" spans="1:10" ht="15" x14ac:dyDescent="0.2">
      <c r="A18928" s="734">
        <v>45371</v>
      </c>
      <c r="B18928" s="63" t="s">
        <v>8559</v>
      </c>
      <c r="C18928" s="63" t="s">
        <v>3104</v>
      </c>
      <c r="D18928" s="183" t="s">
        <v>6927</v>
      </c>
      <c r="E18928" s="126">
        <v>20000</v>
      </c>
      <c r="F18928" s="126"/>
      <c r="G18928" s="126">
        <f t="shared" si="396"/>
        <v>-20000</v>
      </c>
      <c r="H18928" s="705" t="s">
        <v>12659</v>
      </c>
      <c r="J18928" s="40"/>
    </row>
    <row r="18929" spans="1:10" ht="15" x14ac:dyDescent="0.2">
      <c r="A18929" s="734">
        <v>45371</v>
      </c>
      <c r="B18929" s="63" t="s">
        <v>11897</v>
      </c>
      <c r="C18929" s="63" t="s">
        <v>286</v>
      </c>
      <c r="D18929" s="183" t="s">
        <v>8663</v>
      </c>
      <c r="E18929" s="126">
        <v>1000</v>
      </c>
      <c r="F18929" s="126"/>
      <c r="G18929" s="126">
        <f t="shared" si="396"/>
        <v>-1000</v>
      </c>
      <c r="H18929" s="705" t="s">
        <v>12659</v>
      </c>
      <c r="J18929" s="40"/>
    </row>
    <row r="18930" spans="1:10" ht="15" x14ac:dyDescent="0.2">
      <c r="A18930" s="734">
        <v>45371</v>
      </c>
      <c r="B18930" s="63" t="s">
        <v>11738</v>
      </c>
      <c r="C18930" s="63" t="s">
        <v>5741</v>
      </c>
      <c r="D18930" s="183" t="s">
        <v>370</v>
      </c>
      <c r="E18930" s="126">
        <v>1400</v>
      </c>
      <c r="F18930" s="126"/>
      <c r="G18930" s="126">
        <f t="shared" si="396"/>
        <v>-1400</v>
      </c>
      <c r="H18930" s="705" t="s">
        <v>12659</v>
      </c>
      <c r="J18930" s="40"/>
    </row>
    <row r="18931" spans="1:10" ht="15" x14ac:dyDescent="0.2">
      <c r="A18931" s="734">
        <v>45371</v>
      </c>
      <c r="B18931" s="63" t="s">
        <v>11089</v>
      </c>
      <c r="C18931" s="63" t="s">
        <v>5741</v>
      </c>
      <c r="D18931" s="183" t="s">
        <v>370</v>
      </c>
      <c r="E18931" s="126">
        <v>700</v>
      </c>
      <c r="F18931" s="126"/>
      <c r="G18931" s="126">
        <f t="shared" si="396"/>
        <v>-700</v>
      </c>
      <c r="H18931" s="705" t="s">
        <v>12659</v>
      </c>
      <c r="J18931" s="40"/>
    </row>
    <row r="18932" spans="1:10" ht="15" x14ac:dyDescent="0.2">
      <c r="A18932" s="734">
        <v>45371</v>
      </c>
      <c r="B18932" s="63" t="s">
        <v>9356</v>
      </c>
      <c r="C18932" s="63" t="s">
        <v>10993</v>
      </c>
      <c r="D18932" s="183" t="s">
        <v>12783</v>
      </c>
      <c r="E18932" s="126">
        <v>1000</v>
      </c>
      <c r="F18932" s="126"/>
      <c r="G18932" s="126">
        <f t="shared" si="396"/>
        <v>-1000</v>
      </c>
      <c r="H18932" s="705" t="s">
        <v>12659</v>
      </c>
      <c r="J18932" s="40"/>
    </row>
    <row r="18933" spans="1:10" ht="15" x14ac:dyDescent="0.2">
      <c r="A18933" s="734">
        <v>45371</v>
      </c>
      <c r="B18933" s="63" t="s">
        <v>9356</v>
      </c>
      <c r="C18933" s="63" t="s">
        <v>5741</v>
      </c>
      <c r="D18933" s="183" t="s">
        <v>370</v>
      </c>
      <c r="E18933" s="126">
        <v>700</v>
      </c>
      <c r="F18933" s="126"/>
      <c r="G18933" s="126">
        <f t="shared" si="396"/>
        <v>-700</v>
      </c>
      <c r="H18933" s="705" t="s">
        <v>12659</v>
      </c>
      <c r="J18933" s="40"/>
    </row>
    <row r="18934" spans="1:10" ht="15" x14ac:dyDescent="0.2">
      <c r="A18934" s="734">
        <v>45371</v>
      </c>
      <c r="B18934" s="63" t="s">
        <v>11897</v>
      </c>
      <c r="C18934" s="63" t="s">
        <v>10344</v>
      </c>
      <c r="D18934" s="183" t="s">
        <v>12784</v>
      </c>
      <c r="E18934" s="126">
        <v>540</v>
      </c>
      <c r="F18934" s="126"/>
      <c r="G18934" s="126">
        <f t="shared" si="396"/>
        <v>-540</v>
      </c>
      <c r="H18934" s="705" t="s">
        <v>12659</v>
      </c>
      <c r="J18934" s="40"/>
    </row>
    <row r="18935" spans="1:10" ht="15" x14ac:dyDescent="0.2">
      <c r="A18935" s="734">
        <v>45371</v>
      </c>
      <c r="B18935" s="63" t="s">
        <v>11089</v>
      </c>
      <c r="C18935" s="63" t="s">
        <v>5741</v>
      </c>
      <c r="D18935" s="183" t="s">
        <v>370</v>
      </c>
      <c r="E18935" s="126">
        <v>400</v>
      </c>
      <c r="F18935" s="126"/>
      <c r="G18935" s="126">
        <f t="shared" si="396"/>
        <v>-400</v>
      </c>
      <c r="H18935" s="705" t="s">
        <v>12659</v>
      </c>
      <c r="J18935" s="40"/>
    </row>
    <row r="18936" spans="1:10" ht="15" x14ac:dyDescent="0.2">
      <c r="A18936" s="734">
        <v>45371</v>
      </c>
      <c r="B18936" s="63" t="s">
        <v>10232</v>
      </c>
      <c r="C18936" s="63" t="s">
        <v>11748</v>
      </c>
      <c r="D18936" s="183" t="s">
        <v>12785</v>
      </c>
      <c r="E18936" s="126">
        <v>288000</v>
      </c>
      <c r="F18936" s="126"/>
      <c r="G18936" s="126">
        <f t="shared" si="396"/>
        <v>-288000</v>
      </c>
      <c r="H18936" s="705" t="s">
        <v>12659</v>
      </c>
      <c r="J18936" s="40"/>
    </row>
    <row r="18937" spans="1:10" ht="15" x14ac:dyDescent="0.2">
      <c r="A18937" s="734">
        <v>45371</v>
      </c>
      <c r="B18937" s="63" t="s">
        <v>11089</v>
      </c>
      <c r="C18937" s="63" t="s">
        <v>12472</v>
      </c>
      <c r="D18937" s="183" t="s">
        <v>12470</v>
      </c>
      <c r="E18937" s="126">
        <v>50000</v>
      </c>
      <c r="F18937" s="126"/>
      <c r="G18937" s="126">
        <f t="shared" si="396"/>
        <v>-50000</v>
      </c>
      <c r="H18937" s="705" t="s">
        <v>12659</v>
      </c>
      <c r="J18937" s="40"/>
    </row>
    <row r="18938" spans="1:10" ht="28.5" customHeight="1" x14ac:dyDescent="0.2">
      <c r="A18938" s="734">
        <v>45371</v>
      </c>
      <c r="B18938" s="63" t="s">
        <v>10908</v>
      </c>
      <c r="C18938" s="670" t="s">
        <v>12787</v>
      </c>
      <c r="D18938" s="907" t="s">
        <v>12788</v>
      </c>
      <c r="E18938" s="672">
        <v>75000</v>
      </c>
      <c r="F18938" s="126"/>
      <c r="G18938" s="126">
        <f t="shared" si="396"/>
        <v>-75000</v>
      </c>
      <c r="H18938" s="705" t="s">
        <v>12659</v>
      </c>
      <c r="J18938" s="40"/>
    </row>
    <row r="18939" spans="1:10" ht="33.75" customHeight="1" x14ac:dyDescent="0.2">
      <c r="A18939" s="734">
        <v>45371</v>
      </c>
      <c r="B18939" s="63" t="s">
        <v>12786</v>
      </c>
      <c r="C18939" s="670" t="s">
        <v>12787</v>
      </c>
      <c r="D18939" s="907" t="s">
        <v>12788</v>
      </c>
      <c r="E18939" s="672">
        <v>75000</v>
      </c>
      <c r="F18939" s="126"/>
      <c r="G18939" s="126">
        <f t="shared" si="396"/>
        <v>-75000</v>
      </c>
      <c r="H18939" s="705" t="s">
        <v>12659</v>
      </c>
      <c r="J18939" s="40"/>
    </row>
    <row r="18940" spans="1:10" ht="15" x14ac:dyDescent="0.2">
      <c r="A18940" s="734">
        <v>45371</v>
      </c>
      <c r="B18940" s="63" t="s">
        <v>12532</v>
      </c>
      <c r="C18940" s="63" t="s">
        <v>6423</v>
      </c>
      <c r="D18940" s="183" t="s">
        <v>12302</v>
      </c>
      <c r="E18940" s="126">
        <v>60000</v>
      </c>
      <c r="F18940" s="126"/>
      <c r="G18940" s="126">
        <f t="shared" si="396"/>
        <v>-60000</v>
      </c>
      <c r="H18940" s="705" t="s">
        <v>12659</v>
      </c>
      <c r="J18940" s="40"/>
    </row>
    <row r="18941" spans="1:10" ht="15" x14ac:dyDescent="0.2">
      <c r="A18941" s="734">
        <v>45371</v>
      </c>
      <c r="B18941" s="63" t="s">
        <v>103</v>
      </c>
      <c r="C18941" s="63" t="s">
        <v>794</v>
      </c>
      <c r="D18941" s="183" t="s">
        <v>12793</v>
      </c>
      <c r="E18941" s="126">
        <v>6000</v>
      </c>
      <c r="F18941" s="126"/>
      <c r="G18941" s="126">
        <f t="shared" ref="G18941:G18945" si="397">F18941-E18941</f>
        <v>-6000</v>
      </c>
      <c r="H18941" s="705" t="s">
        <v>12659</v>
      </c>
      <c r="J18941" s="40"/>
    </row>
    <row r="18942" spans="1:10" ht="15" x14ac:dyDescent="0.2">
      <c r="A18942" s="734">
        <v>45371</v>
      </c>
      <c r="B18942" s="63" t="s">
        <v>11089</v>
      </c>
      <c r="C18942" s="63" t="s">
        <v>5741</v>
      </c>
      <c r="D18942" s="183" t="s">
        <v>370</v>
      </c>
      <c r="E18942" s="126">
        <v>600</v>
      </c>
      <c r="F18942" s="126"/>
      <c r="G18942" s="126">
        <f t="shared" si="397"/>
        <v>-600</v>
      </c>
      <c r="H18942" s="705" t="s">
        <v>12659</v>
      </c>
      <c r="J18942" s="40"/>
    </row>
    <row r="18943" spans="1:10" ht="15" x14ac:dyDescent="0.2">
      <c r="A18943" s="734">
        <v>45371</v>
      </c>
      <c r="B18943" s="63" t="s">
        <v>103</v>
      </c>
      <c r="C18943" s="63" t="s">
        <v>103</v>
      </c>
      <c r="D18943" s="183" t="s">
        <v>12794</v>
      </c>
      <c r="E18943" s="126">
        <v>1000</v>
      </c>
      <c r="F18943" s="126"/>
      <c r="G18943" s="126">
        <f t="shared" si="397"/>
        <v>-1000</v>
      </c>
      <c r="H18943" s="705" t="s">
        <v>12659</v>
      </c>
      <c r="J18943" s="40"/>
    </row>
    <row r="18944" spans="1:10" ht="15" x14ac:dyDescent="0.2">
      <c r="A18944" s="734">
        <v>45371</v>
      </c>
      <c r="B18944" s="63" t="s">
        <v>103</v>
      </c>
      <c r="C18944" s="63" t="s">
        <v>103</v>
      </c>
      <c r="D18944" s="183" t="s">
        <v>6333</v>
      </c>
      <c r="E18944" s="126">
        <v>1000</v>
      </c>
      <c r="F18944" s="126"/>
      <c r="G18944" s="126">
        <f t="shared" si="397"/>
        <v>-1000</v>
      </c>
      <c r="H18944" s="705" t="s">
        <v>12659</v>
      </c>
      <c r="J18944" s="40"/>
    </row>
    <row r="18945" spans="1:10" ht="15" x14ac:dyDescent="0.2">
      <c r="A18945" s="734">
        <v>45372</v>
      </c>
      <c r="B18945" s="63" t="s">
        <v>11897</v>
      </c>
      <c r="C18945" s="63" t="s">
        <v>10993</v>
      </c>
      <c r="D18945" s="183" t="s">
        <v>12795</v>
      </c>
      <c r="E18945" s="126">
        <v>3000</v>
      </c>
      <c r="F18945" s="126"/>
      <c r="G18945" s="126">
        <f t="shared" si="397"/>
        <v>-3000</v>
      </c>
      <c r="H18945" s="705" t="s">
        <v>12659</v>
      </c>
      <c r="J18945" s="40"/>
    </row>
    <row r="18946" spans="1:10" ht="15" x14ac:dyDescent="0.2">
      <c r="A18946" s="734">
        <v>45372</v>
      </c>
      <c r="B18946" s="63" t="s">
        <v>11897</v>
      </c>
      <c r="C18946" s="63" t="s">
        <v>8372</v>
      </c>
      <c r="D18946" s="183" t="s">
        <v>9420</v>
      </c>
      <c r="E18946" s="126">
        <v>2000</v>
      </c>
      <c r="F18946" s="126"/>
      <c r="G18946" s="126">
        <f t="shared" ref="G18946:G18949" si="398">F18946-E18946</f>
        <v>-2000</v>
      </c>
      <c r="H18946" s="705" t="s">
        <v>12659</v>
      </c>
      <c r="J18946" s="40"/>
    </row>
    <row r="18947" spans="1:10" ht="15" x14ac:dyDescent="0.2">
      <c r="A18947" s="734">
        <v>45372</v>
      </c>
      <c r="B18947" s="63" t="s">
        <v>10232</v>
      </c>
      <c r="C18947" s="63" t="s">
        <v>10993</v>
      </c>
      <c r="D18947" s="183" t="s">
        <v>12796</v>
      </c>
      <c r="E18947" s="126">
        <v>8000</v>
      </c>
      <c r="F18947" s="126"/>
      <c r="G18947" s="126">
        <f t="shared" si="398"/>
        <v>-8000</v>
      </c>
      <c r="H18947" s="705" t="s">
        <v>12659</v>
      </c>
      <c r="J18947" s="40"/>
    </row>
    <row r="18948" spans="1:10" ht="15" x14ac:dyDescent="0.2">
      <c r="A18948" s="734">
        <v>45373</v>
      </c>
      <c r="B18948" s="63" t="s">
        <v>8559</v>
      </c>
      <c r="C18948" s="63" t="s">
        <v>11975</v>
      </c>
      <c r="D18948" s="183" t="s">
        <v>6927</v>
      </c>
      <c r="E18948" s="126">
        <v>10000</v>
      </c>
      <c r="F18948" s="126"/>
      <c r="G18948" s="126">
        <f t="shared" si="398"/>
        <v>-10000</v>
      </c>
      <c r="H18948" s="705" t="s">
        <v>12659</v>
      </c>
      <c r="J18948" s="40"/>
    </row>
    <row r="18949" spans="1:10" ht="15" x14ac:dyDescent="0.2">
      <c r="A18949" s="734">
        <v>45376</v>
      </c>
      <c r="B18949" s="63" t="s">
        <v>11897</v>
      </c>
      <c r="C18949" s="63" t="s">
        <v>392</v>
      </c>
      <c r="D18949" s="183" t="s">
        <v>12797</v>
      </c>
      <c r="E18949" s="126">
        <v>1500</v>
      </c>
      <c r="F18949" s="126"/>
      <c r="G18949" s="126">
        <f t="shared" si="398"/>
        <v>-1500</v>
      </c>
      <c r="H18949" s="705" t="s">
        <v>12659</v>
      </c>
      <c r="J18949" s="40"/>
    </row>
    <row r="18950" spans="1:10" ht="15" x14ac:dyDescent="0.2">
      <c r="A18950" s="734">
        <v>45376</v>
      </c>
      <c r="B18950" s="63" t="s">
        <v>11089</v>
      </c>
      <c r="C18950" s="63" t="s">
        <v>392</v>
      </c>
      <c r="D18950" s="183" t="s">
        <v>6702</v>
      </c>
      <c r="E18950" s="126">
        <v>5000</v>
      </c>
      <c r="F18950" s="126"/>
      <c r="G18950" s="126">
        <f t="shared" ref="G18950:G18975" si="399">F18950-E18950</f>
        <v>-5000</v>
      </c>
      <c r="H18950" s="705" t="s">
        <v>12659</v>
      </c>
      <c r="J18950" s="40"/>
    </row>
    <row r="18951" spans="1:10" ht="15" x14ac:dyDescent="0.2">
      <c r="A18951" s="734">
        <v>45376</v>
      </c>
      <c r="B18951" s="63" t="s">
        <v>8559</v>
      </c>
      <c r="C18951" s="63" t="s">
        <v>12595</v>
      </c>
      <c r="D18951" s="183" t="s">
        <v>12798</v>
      </c>
      <c r="E18951" s="126">
        <v>15000</v>
      </c>
      <c r="F18951" s="126"/>
      <c r="G18951" s="126">
        <f t="shared" si="399"/>
        <v>-15000</v>
      </c>
      <c r="H18951" s="705" t="s">
        <v>12659</v>
      </c>
      <c r="J18951" s="40"/>
    </row>
    <row r="18952" spans="1:10" ht="15" x14ac:dyDescent="0.2">
      <c r="A18952" s="734">
        <v>45376</v>
      </c>
      <c r="B18952" s="63" t="s">
        <v>12634</v>
      </c>
      <c r="C18952" s="63" t="s">
        <v>11398</v>
      </c>
      <c r="D18952" s="183" t="s">
        <v>12798</v>
      </c>
      <c r="E18952" s="126">
        <v>200000</v>
      </c>
      <c r="F18952" s="126"/>
      <c r="G18952" s="126">
        <f t="shared" si="399"/>
        <v>-200000</v>
      </c>
      <c r="H18952" s="705" t="s">
        <v>12659</v>
      </c>
      <c r="J18952" s="40"/>
    </row>
    <row r="18953" spans="1:10" ht="15" x14ac:dyDescent="0.2">
      <c r="A18953" s="734">
        <v>45376</v>
      </c>
      <c r="B18953" s="63" t="s">
        <v>10232</v>
      </c>
      <c r="C18953" s="63" t="s">
        <v>11748</v>
      </c>
      <c r="D18953" s="183" t="s">
        <v>12817</v>
      </c>
      <c r="E18953" s="126">
        <v>369095</v>
      </c>
      <c r="F18953" s="126"/>
      <c r="G18953" s="126">
        <f>F18953-E18953</f>
        <v>-369095</v>
      </c>
      <c r="H18953" s="705" t="s">
        <v>12659</v>
      </c>
    </row>
    <row r="18954" spans="1:10" ht="24" x14ac:dyDescent="0.2">
      <c r="A18954" s="734">
        <v>45376</v>
      </c>
      <c r="B18954" s="63" t="s">
        <v>11089</v>
      </c>
      <c r="C18954" s="566" t="s">
        <v>10993</v>
      </c>
      <c r="D18954" s="875" t="s">
        <v>12799</v>
      </c>
      <c r="E18954" s="567">
        <v>63000</v>
      </c>
      <c r="F18954" s="126"/>
      <c r="G18954" s="126">
        <f t="shared" si="399"/>
        <v>-63000</v>
      </c>
      <c r="H18954" s="705" t="s">
        <v>12659</v>
      </c>
      <c r="J18954" s="40"/>
    </row>
    <row r="18955" spans="1:10" ht="24" x14ac:dyDescent="0.2">
      <c r="A18955" s="734">
        <v>45376</v>
      </c>
      <c r="B18955" s="63" t="s">
        <v>11897</v>
      </c>
      <c r="C18955" s="566" t="s">
        <v>10993</v>
      </c>
      <c r="D18955" s="875" t="s">
        <v>12799</v>
      </c>
      <c r="E18955" s="567">
        <v>68000</v>
      </c>
      <c r="F18955" s="126"/>
      <c r="G18955" s="126">
        <f t="shared" si="399"/>
        <v>-68000</v>
      </c>
      <c r="H18955" s="705" t="s">
        <v>12659</v>
      </c>
      <c r="J18955" s="40"/>
    </row>
    <row r="18956" spans="1:10" ht="24" x14ac:dyDescent="0.2">
      <c r="A18956" s="734">
        <v>45376</v>
      </c>
      <c r="B18956" s="63" t="s">
        <v>9986</v>
      </c>
      <c r="C18956" s="566" t="s">
        <v>10993</v>
      </c>
      <c r="D18956" s="875" t="s">
        <v>12799</v>
      </c>
      <c r="E18956" s="567">
        <v>20240</v>
      </c>
      <c r="F18956" s="126"/>
      <c r="G18956" s="126">
        <f t="shared" si="399"/>
        <v>-20240</v>
      </c>
      <c r="H18956" s="705" t="s">
        <v>12659</v>
      </c>
      <c r="J18956" s="40"/>
    </row>
    <row r="18957" spans="1:10" ht="15" x14ac:dyDescent="0.2">
      <c r="A18957" s="734">
        <v>45376</v>
      </c>
      <c r="B18957" s="63" t="s">
        <v>11897</v>
      </c>
      <c r="C18957" s="63" t="s">
        <v>10993</v>
      </c>
      <c r="D18957" s="183" t="s">
        <v>12800</v>
      </c>
      <c r="E18957" s="126">
        <v>46370</v>
      </c>
      <c r="F18957" s="126"/>
      <c r="G18957" s="126">
        <f t="shared" si="399"/>
        <v>-46370</v>
      </c>
      <c r="H18957" s="705" t="s">
        <v>12659</v>
      </c>
      <c r="J18957" s="40"/>
    </row>
    <row r="18958" spans="1:10" ht="15" x14ac:dyDescent="0.2">
      <c r="A18958" s="734">
        <v>45376</v>
      </c>
      <c r="B18958" s="63" t="s">
        <v>8876</v>
      </c>
      <c r="C18958" s="566" t="s">
        <v>10993</v>
      </c>
      <c r="D18958" s="875" t="s">
        <v>12801</v>
      </c>
      <c r="E18958" s="567">
        <v>38087</v>
      </c>
      <c r="F18958" s="126"/>
      <c r="G18958" s="126">
        <f t="shared" si="399"/>
        <v>-38087</v>
      </c>
      <c r="H18958" s="705" t="s">
        <v>12659</v>
      </c>
      <c r="J18958" s="40"/>
    </row>
    <row r="18959" spans="1:10" ht="15" x14ac:dyDescent="0.2">
      <c r="A18959" s="734">
        <v>45376</v>
      </c>
      <c r="B18959" s="63" t="s">
        <v>11897</v>
      </c>
      <c r="C18959" s="566" t="s">
        <v>10993</v>
      </c>
      <c r="D18959" s="875" t="s">
        <v>12801</v>
      </c>
      <c r="E18959" s="567">
        <v>267086</v>
      </c>
      <c r="F18959" s="126"/>
      <c r="G18959" s="126">
        <f t="shared" si="399"/>
        <v>-267086</v>
      </c>
      <c r="H18959" s="705" t="s">
        <v>12659</v>
      </c>
      <c r="J18959" s="40"/>
    </row>
    <row r="18960" spans="1:10" ht="15" x14ac:dyDescent="0.2">
      <c r="A18960" s="734">
        <v>45376</v>
      </c>
      <c r="B18960" s="63" t="s">
        <v>11093</v>
      </c>
      <c r="C18960" s="566" t="s">
        <v>10993</v>
      </c>
      <c r="D18960" s="875" t="s">
        <v>12801</v>
      </c>
      <c r="E18960" s="567">
        <v>19680</v>
      </c>
      <c r="F18960" s="126"/>
      <c r="G18960" s="126">
        <f t="shared" si="399"/>
        <v>-19680</v>
      </c>
      <c r="H18960" s="705" t="s">
        <v>12659</v>
      </c>
      <c r="J18960" s="40"/>
    </row>
    <row r="18961" spans="1:10" ht="15" x14ac:dyDescent="0.2">
      <c r="A18961" s="734">
        <v>45376</v>
      </c>
      <c r="B18961" s="63" t="s">
        <v>11089</v>
      </c>
      <c r="C18961" s="566" t="s">
        <v>10993</v>
      </c>
      <c r="D18961" s="875" t="s">
        <v>12801</v>
      </c>
      <c r="E18961" s="567">
        <v>44000</v>
      </c>
      <c r="F18961" s="126"/>
      <c r="G18961" s="126">
        <f t="shared" si="399"/>
        <v>-44000</v>
      </c>
      <c r="H18961" s="705" t="s">
        <v>12659</v>
      </c>
      <c r="J18961" s="40"/>
    </row>
    <row r="18962" spans="1:10" ht="15" x14ac:dyDescent="0.2">
      <c r="A18962" s="734">
        <v>45377</v>
      </c>
      <c r="B18962" s="63" t="s">
        <v>10908</v>
      </c>
      <c r="C18962" s="63" t="s">
        <v>10853</v>
      </c>
      <c r="D18962" s="183" t="s">
        <v>12802</v>
      </c>
      <c r="E18962" s="126">
        <v>100000</v>
      </c>
      <c r="F18962" s="126"/>
      <c r="G18962" s="126">
        <f t="shared" si="399"/>
        <v>-100000</v>
      </c>
      <c r="H18962" s="705" t="s">
        <v>12659</v>
      </c>
      <c r="J18962" s="40"/>
    </row>
    <row r="18963" spans="1:10" ht="15" x14ac:dyDescent="0.2">
      <c r="A18963" s="734">
        <v>45377</v>
      </c>
      <c r="B18963" s="63" t="s">
        <v>10908</v>
      </c>
      <c r="C18963" s="63" t="s">
        <v>11110</v>
      </c>
      <c r="D18963" s="183" t="s">
        <v>12804</v>
      </c>
      <c r="E18963" s="126">
        <v>200000</v>
      </c>
      <c r="F18963" s="126"/>
      <c r="G18963" s="126">
        <f t="shared" si="399"/>
        <v>-200000</v>
      </c>
      <c r="H18963" s="705" t="s">
        <v>12659</v>
      </c>
      <c r="J18963" s="40"/>
    </row>
    <row r="18964" spans="1:10" ht="15" x14ac:dyDescent="0.2">
      <c r="A18964" s="734">
        <v>45377</v>
      </c>
      <c r="B18964" s="63" t="s">
        <v>10908</v>
      </c>
      <c r="C18964" s="63" t="s">
        <v>11110</v>
      </c>
      <c r="D18964" s="183" t="s">
        <v>12804</v>
      </c>
      <c r="E18964" s="126">
        <v>100000</v>
      </c>
      <c r="F18964" s="126"/>
      <c r="G18964" s="126">
        <f t="shared" ref="G18964" si="400">F18964-E18964</f>
        <v>-100000</v>
      </c>
      <c r="H18964" s="705" t="s">
        <v>12659</v>
      </c>
      <c r="J18964" s="40"/>
    </row>
    <row r="18965" spans="1:10" ht="15" x14ac:dyDescent="0.2">
      <c r="A18965" s="734">
        <v>45377</v>
      </c>
      <c r="B18965" s="63" t="s">
        <v>12366</v>
      </c>
      <c r="C18965" s="63" t="s">
        <v>11428</v>
      </c>
      <c r="D18965" s="183" t="s">
        <v>12805</v>
      </c>
      <c r="E18965" s="126">
        <v>150000</v>
      </c>
      <c r="F18965" s="126"/>
      <c r="G18965" s="126">
        <f t="shared" si="399"/>
        <v>-150000</v>
      </c>
      <c r="H18965" s="705" t="s">
        <v>12659</v>
      </c>
      <c r="J18965" s="40"/>
    </row>
    <row r="18966" spans="1:10" ht="15" x14ac:dyDescent="0.2">
      <c r="A18966" s="734">
        <v>45377</v>
      </c>
      <c r="B18966" s="63" t="s">
        <v>12634</v>
      </c>
      <c r="C18966" s="63" t="s">
        <v>11398</v>
      </c>
      <c r="D18966" s="183" t="s">
        <v>12824</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1">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1"/>
        <v>-1300</v>
      </c>
      <c r="H18968" s="705" t="s">
        <v>12659</v>
      </c>
      <c r="J18968" s="40"/>
    </row>
    <row r="18969" spans="1:10" ht="15" x14ac:dyDescent="0.2">
      <c r="A18969" s="734">
        <v>45377</v>
      </c>
      <c r="B18969" s="63" t="s">
        <v>10908</v>
      </c>
      <c r="C18969" s="63" t="s">
        <v>5741</v>
      </c>
      <c r="D18969" s="183" t="s">
        <v>370</v>
      </c>
      <c r="E18969" s="126">
        <v>350</v>
      </c>
      <c r="F18969" s="126"/>
      <c r="G18969" s="126">
        <f t="shared" si="401"/>
        <v>-350</v>
      </c>
      <c r="H18969" s="705" t="s">
        <v>12659</v>
      </c>
      <c r="J18969" s="40"/>
    </row>
    <row r="18970" spans="1:10" ht="15" x14ac:dyDescent="0.2">
      <c r="A18970" s="734">
        <v>45377</v>
      </c>
      <c r="B18970" s="63" t="s">
        <v>10908</v>
      </c>
      <c r="C18970" s="63" t="s">
        <v>5741</v>
      </c>
      <c r="D18970" s="183" t="s">
        <v>370</v>
      </c>
      <c r="E18970" s="126">
        <v>350</v>
      </c>
      <c r="F18970" s="126"/>
      <c r="G18970" s="126">
        <f t="shared" si="401"/>
        <v>-350</v>
      </c>
      <c r="H18970" s="705" t="s">
        <v>12659</v>
      </c>
      <c r="J18970" s="40"/>
    </row>
    <row r="18971" spans="1:10" ht="15" x14ac:dyDescent="0.2">
      <c r="A18971" s="734">
        <v>45377</v>
      </c>
      <c r="B18971" s="63" t="s">
        <v>12818</v>
      </c>
      <c r="C18971" s="63" t="s">
        <v>5741</v>
      </c>
      <c r="D18971" s="183" t="s">
        <v>370</v>
      </c>
      <c r="E18971" s="126">
        <v>1000</v>
      </c>
      <c r="F18971" s="126"/>
      <c r="G18971" s="126">
        <f t="shared" si="401"/>
        <v>-1000</v>
      </c>
      <c r="H18971" s="705" t="s">
        <v>12659</v>
      </c>
      <c r="J18971" s="40"/>
    </row>
    <row r="18972" spans="1:10" ht="24" x14ac:dyDescent="0.2">
      <c r="A18972" s="734">
        <v>45379</v>
      </c>
      <c r="B18972" s="63" t="s">
        <v>12634</v>
      </c>
      <c r="C18972" s="63" t="s">
        <v>12806</v>
      </c>
      <c r="D18972" s="183" t="s">
        <v>12807</v>
      </c>
      <c r="E18972" s="126">
        <v>1000000</v>
      </c>
      <c r="F18972" s="126"/>
      <c r="G18972" s="126">
        <f t="shared" si="399"/>
        <v>-1000000</v>
      </c>
      <c r="H18972" s="705" t="s">
        <v>12659</v>
      </c>
      <c r="J18972" s="40"/>
    </row>
    <row r="18973" spans="1:10" ht="15" x14ac:dyDescent="0.2">
      <c r="A18973" s="734">
        <v>45379</v>
      </c>
      <c r="B18973" s="63" t="s">
        <v>12532</v>
      </c>
      <c r="C18973" s="63" t="s">
        <v>438</v>
      </c>
      <c r="D18973" s="183" t="s">
        <v>12809</v>
      </c>
      <c r="E18973" s="126">
        <v>225000</v>
      </c>
      <c r="F18973" s="126"/>
      <c r="G18973" s="126">
        <f t="shared" si="399"/>
        <v>-225000</v>
      </c>
      <c r="H18973" s="705" t="s">
        <v>12659</v>
      </c>
      <c r="J18973" s="40"/>
    </row>
    <row r="18974" spans="1:10" ht="15" x14ac:dyDescent="0.2">
      <c r="A18974" s="734">
        <v>45379</v>
      </c>
      <c r="B18974" s="63" t="s">
        <v>12532</v>
      </c>
      <c r="C18974" s="63" t="s">
        <v>12641</v>
      </c>
      <c r="D18974" s="183" t="s">
        <v>12810</v>
      </c>
      <c r="E18974" s="126">
        <v>35000</v>
      </c>
      <c r="F18974" s="126"/>
      <c r="G18974" s="126">
        <f t="shared" si="399"/>
        <v>-35000</v>
      </c>
      <c r="H18974" s="705" t="s">
        <v>12659</v>
      </c>
      <c r="J18974" s="40"/>
    </row>
    <row r="18975" spans="1:10" ht="15" x14ac:dyDescent="0.2">
      <c r="A18975" s="734">
        <v>45380</v>
      </c>
      <c r="B18975" s="63" t="s">
        <v>11135</v>
      </c>
      <c r="C18975" s="63" t="s">
        <v>12517</v>
      </c>
      <c r="D18975" s="183" t="s">
        <v>11171</v>
      </c>
      <c r="E18975" s="126">
        <v>500000</v>
      </c>
      <c r="F18975" s="126"/>
      <c r="G18975" s="126">
        <f t="shared" si="399"/>
        <v>-500000</v>
      </c>
      <c r="H18975" s="705" t="s">
        <v>12659</v>
      </c>
      <c r="J18975" s="40"/>
    </row>
    <row r="18976" spans="1:10" ht="15" x14ac:dyDescent="0.2">
      <c r="A18976" s="734">
        <v>45380</v>
      </c>
      <c r="B18976" s="63" t="s">
        <v>11897</v>
      </c>
      <c r="C18976" s="63" t="s">
        <v>5410</v>
      </c>
      <c r="D18976" s="183" t="s">
        <v>12813</v>
      </c>
      <c r="E18976" s="126">
        <v>18000</v>
      </c>
      <c r="F18976" s="126"/>
      <c r="G18976" s="126">
        <f t="shared" ref="G18976:G18978" si="402">F18976-E18976</f>
        <v>-18000</v>
      </c>
      <c r="H18976" s="705" t="s">
        <v>12659</v>
      </c>
      <c r="J18976" s="40"/>
    </row>
    <row r="18977" spans="1:10" ht="15" x14ac:dyDescent="0.2">
      <c r="A18977" s="734">
        <v>45380</v>
      </c>
      <c r="B18977" s="63" t="s">
        <v>11897</v>
      </c>
      <c r="C18977" s="63" t="s">
        <v>5410</v>
      </c>
      <c r="D18977" s="183" t="s">
        <v>12814</v>
      </c>
      <c r="E18977" s="126">
        <v>20000</v>
      </c>
      <c r="F18977" s="126"/>
      <c r="G18977" s="126">
        <f t="shared" si="402"/>
        <v>-20000</v>
      </c>
      <c r="H18977" s="705" t="s">
        <v>12659</v>
      </c>
      <c r="J18977" s="40"/>
    </row>
    <row r="18978" spans="1:10" ht="15" x14ac:dyDescent="0.2">
      <c r="A18978" s="734">
        <v>45380</v>
      </c>
      <c r="B18978" s="63" t="s">
        <v>11897</v>
      </c>
      <c r="C18978" s="63" t="s">
        <v>5410</v>
      </c>
      <c r="D18978" s="183" t="s">
        <v>12815</v>
      </c>
      <c r="E18978" s="126">
        <v>18000</v>
      </c>
      <c r="F18978" s="126"/>
      <c r="G18978" s="126">
        <f t="shared" si="402"/>
        <v>-18000</v>
      </c>
      <c r="H18978" s="705" t="s">
        <v>12659</v>
      </c>
      <c r="J18978" s="40"/>
    </row>
    <row r="18979" spans="1:10" ht="15" x14ac:dyDescent="0.2">
      <c r="A18979" s="734">
        <v>45380</v>
      </c>
      <c r="B18979" s="63" t="s">
        <v>103</v>
      </c>
      <c r="C18979" s="551" t="s">
        <v>8150</v>
      </c>
      <c r="D18979" s="740" t="s">
        <v>6337</v>
      </c>
      <c r="E18979" s="552">
        <v>18965</v>
      </c>
      <c r="F18979" s="126"/>
      <c r="G18979" s="126">
        <f t="shared" ref="G18979:G18987" si="403">F18979-E18979</f>
        <v>-18965</v>
      </c>
      <c r="H18979" s="705" t="s">
        <v>12659</v>
      </c>
      <c r="J18979" s="40"/>
    </row>
    <row r="18980" spans="1:10" ht="15" x14ac:dyDescent="0.2">
      <c r="A18980" s="734">
        <v>45380</v>
      </c>
      <c r="B18980" s="63" t="s">
        <v>25</v>
      </c>
      <c r="C18980" s="551" t="s">
        <v>8150</v>
      </c>
      <c r="D18980" s="740" t="s">
        <v>6337</v>
      </c>
      <c r="E18980" s="552">
        <v>44854</v>
      </c>
      <c r="F18980" s="126"/>
      <c r="G18980" s="126">
        <f t="shared" si="403"/>
        <v>-44854</v>
      </c>
      <c r="H18980" s="705" t="s">
        <v>12659</v>
      </c>
      <c r="J18980" s="40"/>
    </row>
    <row r="18981" spans="1:10" ht="15" x14ac:dyDescent="0.2">
      <c r="A18981" s="734">
        <v>45380</v>
      </c>
      <c r="B18981" s="63" t="s">
        <v>12818</v>
      </c>
      <c r="C18981" s="63" t="s">
        <v>10993</v>
      </c>
      <c r="D18981" s="183" t="s">
        <v>12819</v>
      </c>
      <c r="E18981" s="126">
        <v>13540</v>
      </c>
      <c r="F18981" s="126"/>
      <c r="G18981" s="126">
        <f t="shared" si="403"/>
        <v>-13540</v>
      </c>
      <c r="H18981" s="705" t="s">
        <v>12659</v>
      </c>
      <c r="J18981" s="40"/>
    </row>
    <row r="18982" spans="1:10" ht="15" x14ac:dyDescent="0.2">
      <c r="A18982" s="734">
        <v>45380</v>
      </c>
      <c r="B18982" s="63" t="s">
        <v>10908</v>
      </c>
      <c r="C18982" s="63" t="s">
        <v>10993</v>
      </c>
      <c r="D18982" s="183" t="s">
        <v>12821</v>
      </c>
      <c r="E18982" s="126">
        <v>3000</v>
      </c>
      <c r="F18982" s="126"/>
      <c r="G18982" s="126">
        <f t="shared" si="403"/>
        <v>-3000</v>
      </c>
      <c r="H18982" s="705" t="s">
        <v>12659</v>
      </c>
      <c r="J18982" s="40"/>
    </row>
    <row r="18983" spans="1:10" ht="15" x14ac:dyDescent="0.2">
      <c r="A18983" s="734">
        <v>45380</v>
      </c>
      <c r="B18983" s="63" t="s">
        <v>12818</v>
      </c>
      <c r="C18983" s="63" t="s">
        <v>10993</v>
      </c>
      <c r="D18983" s="183" t="s">
        <v>12820</v>
      </c>
      <c r="E18983" s="126">
        <v>280</v>
      </c>
      <c r="F18983" s="126"/>
      <c r="G18983" s="126">
        <f t="shared" si="403"/>
        <v>-280</v>
      </c>
      <c r="H18983" s="705" t="s">
        <v>12659</v>
      </c>
      <c r="J18983" s="40"/>
    </row>
    <row r="18984" spans="1:10" ht="15" x14ac:dyDescent="0.2">
      <c r="A18984" s="734">
        <v>45380</v>
      </c>
      <c r="B18984" s="63" t="s">
        <v>12818</v>
      </c>
      <c r="C18984" s="63" t="s">
        <v>10993</v>
      </c>
      <c r="D18984" s="183" t="s">
        <v>12822</v>
      </c>
      <c r="E18984" s="126">
        <v>15660</v>
      </c>
      <c r="F18984" s="126"/>
      <c r="G18984" s="126">
        <f t="shared" si="403"/>
        <v>-15660</v>
      </c>
      <c r="H18984" s="705" t="s">
        <v>12659</v>
      </c>
      <c r="J18984" s="40"/>
    </row>
    <row r="18985" spans="1:10" ht="15" x14ac:dyDescent="0.2">
      <c r="A18985" s="734">
        <v>45380</v>
      </c>
      <c r="B18985" s="63" t="s">
        <v>10908</v>
      </c>
      <c r="C18985" s="63" t="s">
        <v>392</v>
      </c>
      <c r="D18985" s="183" t="s">
        <v>10556</v>
      </c>
      <c r="E18985" s="126">
        <v>12000</v>
      </c>
      <c r="F18985" s="126"/>
      <c r="G18985" s="126">
        <f t="shared" si="403"/>
        <v>-12000</v>
      </c>
      <c r="H18985" s="705" t="s">
        <v>12659</v>
      </c>
      <c r="J18985" s="40"/>
    </row>
    <row r="18986" spans="1:10" ht="15" x14ac:dyDescent="0.2">
      <c r="A18986" s="734">
        <v>45380</v>
      </c>
      <c r="B18986" s="63" t="s">
        <v>10908</v>
      </c>
      <c r="C18986" s="63" t="s">
        <v>286</v>
      </c>
      <c r="D18986" s="183" t="s">
        <v>10887</v>
      </c>
      <c r="E18986" s="126">
        <v>1000</v>
      </c>
      <c r="F18986" s="126"/>
      <c r="G18986" s="126">
        <f t="shared" si="403"/>
        <v>-1000</v>
      </c>
      <c r="H18986" s="705" t="s">
        <v>12659</v>
      </c>
      <c r="J18986" s="40"/>
    </row>
    <row r="18987" spans="1:10" ht="15" x14ac:dyDescent="0.2">
      <c r="A18987" s="734">
        <v>45380</v>
      </c>
      <c r="B18987" s="63" t="s">
        <v>10908</v>
      </c>
      <c r="C18987" s="63" t="s">
        <v>5741</v>
      </c>
      <c r="D18987" s="183" t="s">
        <v>158</v>
      </c>
      <c r="E18987" s="126">
        <v>2650</v>
      </c>
      <c r="F18987" s="126"/>
      <c r="G18987" s="126">
        <f t="shared" si="403"/>
        <v>-2650</v>
      </c>
      <c r="H18987" s="705" t="s">
        <v>12659</v>
      </c>
      <c r="J18987" s="40"/>
    </row>
    <row r="18988" spans="1:10" ht="15" x14ac:dyDescent="0.2">
      <c r="A18988" s="733">
        <v>45355</v>
      </c>
      <c r="B18988" s="174" t="s">
        <v>11635</v>
      </c>
      <c r="C18988" s="174" t="s">
        <v>11291</v>
      </c>
      <c r="D18988" s="228" t="s">
        <v>12660</v>
      </c>
      <c r="E18988" s="236">
        <v>65000</v>
      </c>
      <c r="F18988" s="236"/>
      <c r="G18988" s="236">
        <f t="shared" si="382"/>
        <v>-65000</v>
      </c>
      <c r="H18988" s="709" t="s">
        <v>12659</v>
      </c>
    </row>
    <row r="18989" spans="1:10" ht="24" x14ac:dyDescent="0.2">
      <c r="A18989" s="733">
        <v>45355</v>
      </c>
      <c r="B18989" s="174" t="s">
        <v>11897</v>
      </c>
      <c r="C18989" s="174" t="s">
        <v>11291</v>
      </c>
      <c r="D18989" s="228" t="s">
        <v>12661</v>
      </c>
      <c r="E18989" s="236">
        <v>135000</v>
      </c>
      <c r="F18989" s="236"/>
      <c r="G18989" s="236">
        <f t="shared" si="382"/>
        <v>-135000</v>
      </c>
      <c r="H18989" s="709" t="s">
        <v>12659</v>
      </c>
    </row>
    <row r="18990" spans="1:10" ht="15" x14ac:dyDescent="0.2">
      <c r="A18990" s="733">
        <v>45356</v>
      </c>
      <c r="B18990" s="174" t="s">
        <v>12366</v>
      </c>
      <c r="C18990" s="174" t="s">
        <v>12104</v>
      </c>
      <c r="D18990" s="228" t="s">
        <v>12662</v>
      </c>
      <c r="E18990" s="236">
        <v>186000</v>
      </c>
      <c r="F18990" s="236"/>
      <c r="G18990" s="236">
        <f t="shared" si="382"/>
        <v>-186000</v>
      </c>
      <c r="H18990" s="709" t="s">
        <v>12659</v>
      </c>
    </row>
    <row r="18991" spans="1:10" ht="15" x14ac:dyDescent="0.2">
      <c r="A18991" s="733">
        <v>45359</v>
      </c>
      <c r="B18991" s="174" t="s">
        <v>9356</v>
      </c>
      <c r="C18991" s="174" t="s">
        <v>1198</v>
      </c>
      <c r="D18991" s="228" t="s">
        <v>12665</v>
      </c>
      <c r="E18991" s="236">
        <v>412181</v>
      </c>
      <c r="F18991" s="236"/>
      <c r="G18991" s="236">
        <f t="shared" si="382"/>
        <v>-412181</v>
      </c>
      <c r="H18991" s="709" t="s">
        <v>12659</v>
      </c>
    </row>
    <row r="18992" spans="1:10" ht="18.75" customHeight="1" x14ac:dyDescent="0.2">
      <c r="A18992" s="733">
        <v>45362</v>
      </c>
      <c r="B18992" s="174" t="s">
        <v>12710</v>
      </c>
      <c r="C18992" s="174" t="s">
        <v>12711</v>
      </c>
      <c r="D18992" s="228" t="s">
        <v>12712</v>
      </c>
      <c r="E18992" s="236">
        <v>1071000</v>
      </c>
      <c r="F18992" s="236"/>
      <c r="G18992" s="236">
        <f t="shared" si="382"/>
        <v>-1071000</v>
      </c>
      <c r="H18992" s="709" t="s">
        <v>12659</v>
      </c>
    </row>
    <row r="18993" spans="1:8" ht="15" x14ac:dyDescent="0.2">
      <c r="A18993" s="733">
        <v>45364</v>
      </c>
      <c r="B18993" s="174" t="s">
        <v>37</v>
      </c>
      <c r="C18993" s="551" t="s">
        <v>3003</v>
      </c>
      <c r="D18993" s="740" t="s">
        <v>12733</v>
      </c>
      <c r="E18993" s="552">
        <v>27362</v>
      </c>
      <c r="F18993" s="236"/>
      <c r="G18993" s="236">
        <f t="shared" si="382"/>
        <v>-27362</v>
      </c>
      <c r="H18993" s="709" t="s">
        <v>12659</v>
      </c>
    </row>
    <row r="18994" spans="1:8" ht="15" x14ac:dyDescent="0.2">
      <c r="A18994" s="733">
        <v>45364</v>
      </c>
      <c r="B18994" s="174" t="s">
        <v>3945</v>
      </c>
      <c r="C18994" s="551" t="s">
        <v>3003</v>
      </c>
      <c r="D18994" s="740" t="s">
        <v>12733</v>
      </c>
      <c r="E18994" s="552">
        <v>35367</v>
      </c>
      <c r="F18994" s="236"/>
      <c r="G18994" s="236">
        <f t="shared" si="382"/>
        <v>-35367</v>
      </c>
      <c r="H18994" s="709" t="s">
        <v>12659</v>
      </c>
    </row>
    <row r="18995" spans="1:8" ht="15" x14ac:dyDescent="0.2">
      <c r="A18995" s="733">
        <v>45364</v>
      </c>
      <c r="B18995" s="174" t="s">
        <v>3946</v>
      </c>
      <c r="C18995" s="551" t="s">
        <v>3003</v>
      </c>
      <c r="D18995" s="740" t="s">
        <v>12733</v>
      </c>
      <c r="E18995" s="552">
        <v>32760</v>
      </c>
      <c r="F18995" s="236"/>
      <c r="G18995" s="236">
        <f t="shared" si="382"/>
        <v>-32760</v>
      </c>
      <c r="H18995" s="709" t="s">
        <v>12659</v>
      </c>
    </row>
    <row r="18996" spans="1:8" ht="15" x14ac:dyDescent="0.2">
      <c r="A18996" s="733">
        <v>45372</v>
      </c>
      <c r="B18996" s="174" t="s">
        <v>12366</v>
      </c>
      <c r="C18996" s="174" t="s">
        <v>256</v>
      </c>
      <c r="D18996" s="228" t="s">
        <v>12790</v>
      </c>
      <c r="E18996" s="236">
        <v>712701</v>
      </c>
      <c r="F18996" s="236"/>
      <c r="G18996" s="236">
        <f t="shared" ref="G18996" si="404">F18996-E18996</f>
        <v>-712701</v>
      </c>
      <c r="H18996" s="709" t="s">
        <v>12659</v>
      </c>
    </row>
    <row r="18997" spans="1:8" ht="24" x14ac:dyDescent="0.2">
      <c r="A18997" s="730">
        <v>45359</v>
      </c>
      <c r="B18997" s="94" t="s">
        <v>9356</v>
      </c>
      <c r="C18997" s="94" t="s">
        <v>559</v>
      </c>
      <c r="D18997" s="802" t="s">
        <v>12664</v>
      </c>
      <c r="E18997" s="176"/>
      <c r="F18997" s="176">
        <v>412181</v>
      </c>
      <c r="G18997" s="176">
        <f t="shared" si="382"/>
        <v>412181</v>
      </c>
      <c r="H18997" s="702" t="s">
        <v>12659</v>
      </c>
    </row>
    <row r="18998" spans="1:8" ht="15" x14ac:dyDescent="0.2">
      <c r="A18998" s="730">
        <v>45359</v>
      </c>
      <c r="B18998" s="94" t="s">
        <v>12532</v>
      </c>
      <c r="C18998" s="94" t="s">
        <v>559</v>
      </c>
      <c r="D18998" s="802" t="s">
        <v>12683</v>
      </c>
      <c r="E18998" s="176"/>
      <c r="F18998" s="176">
        <v>8053923</v>
      </c>
      <c r="G18998" s="176">
        <f t="shared" ref="G18998" si="405">F18998-E18998</f>
        <v>8053923</v>
      </c>
      <c r="H18998" s="702" t="s">
        <v>12659</v>
      </c>
    </row>
    <row r="18999" spans="1:8" ht="15" x14ac:dyDescent="0.2">
      <c r="A18999" s="730">
        <v>45359</v>
      </c>
      <c r="B18999" s="94" t="s">
        <v>3946</v>
      </c>
      <c r="C18999" s="94" t="s">
        <v>559</v>
      </c>
      <c r="D18999" s="892" t="s">
        <v>12792</v>
      </c>
      <c r="E18999" s="176"/>
      <c r="F18999" s="176">
        <v>359992</v>
      </c>
      <c r="G18999" s="92">
        <f>F18999-E18999</f>
        <v>359992</v>
      </c>
      <c r="H18999" s="702" t="s">
        <v>12659</v>
      </c>
    </row>
    <row r="19000" spans="1:8" ht="15" x14ac:dyDescent="0.2">
      <c r="A19000" s="730">
        <v>45362</v>
      </c>
      <c r="B19000" s="94" t="s">
        <v>12366</v>
      </c>
      <c r="C19000" s="94" t="s">
        <v>559</v>
      </c>
      <c r="D19000" s="802" t="s">
        <v>12698</v>
      </c>
      <c r="E19000" s="176"/>
      <c r="F19000" s="176">
        <v>4658436</v>
      </c>
      <c r="G19000" s="176">
        <f t="shared" ref="G19000:G19005" si="406">F19000-E19000</f>
        <v>4658436</v>
      </c>
      <c r="H19000" s="702" t="s">
        <v>12659</v>
      </c>
    </row>
    <row r="19001" spans="1:8" ht="15" x14ac:dyDescent="0.2">
      <c r="A19001" s="730">
        <v>45362</v>
      </c>
      <c r="B19001" s="91" t="s">
        <v>11897</v>
      </c>
      <c r="C19001" s="94" t="s">
        <v>559</v>
      </c>
      <c r="D19001" s="801" t="s">
        <v>12707</v>
      </c>
      <c r="E19001" s="92"/>
      <c r="F19001" s="92">
        <v>6010680</v>
      </c>
      <c r="G19001" s="92">
        <f t="shared" si="406"/>
        <v>6010680</v>
      </c>
      <c r="H19001" s="702" t="s">
        <v>12659</v>
      </c>
    </row>
    <row r="19002" spans="1:8" ht="15" x14ac:dyDescent="0.2">
      <c r="A19002" s="730">
        <v>45362</v>
      </c>
      <c r="B19002" s="91" t="s">
        <v>11897</v>
      </c>
      <c r="C19002" s="94" t="s">
        <v>559</v>
      </c>
      <c r="D19002" s="801" t="s">
        <v>12707</v>
      </c>
      <c r="E19002" s="92"/>
      <c r="F19002" s="92">
        <v>5060000</v>
      </c>
      <c r="G19002" s="92">
        <f t="shared" si="406"/>
        <v>5060000</v>
      </c>
      <c r="H19002" s="702" t="s">
        <v>12659</v>
      </c>
    </row>
    <row r="19003" spans="1:8" ht="15" x14ac:dyDescent="0.2">
      <c r="A19003" s="730">
        <v>45362</v>
      </c>
      <c r="B19003" s="94" t="s">
        <v>11897</v>
      </c>
      <c r="C19003" s="94" t="s">
        <v>559</v>
      </c>
      <c r="D19003" s="898" t="s">
        <v>12040</v>
      </c>
      <c r="E19003" s="643">
        <v>110000</v>
      </c>
      <c r="F19003" s="92"/>
      <c r="G19003" s="92">
        <f t="shared" si="406"/>
        <v>-110000</v>
      </c>
      <c r="H19003" s="702" t="s">
        <v>12659</v>
      </c>
    </row>
    <row r="19004" spans="1:8" ht="15" x14ac:dyDescent="0.2">
      <c r="A19004" s="730">
        <v>45362</v>
      </c>
      <c r="B19004" s="91" t="s">
        <v>11897</v>
      </c>
      <c r="C19004" s="94" t="s">
        <v>559</v>
      </c>
      <c r="D19004" s="801" t="s">
        <v>12708</v>
      </c>
      <c r="E19004" s="92"/>
      <c r="F19004" s="92">
        <v>10000000</v>
      </c>
      <c r="G19004" s="92">
        <f t="shared" si="406"/>
        <v>10000000</v>
      </c>
      <c r="H19004" s="702" t="s">
        <v>12659</v>
      </c>
    </row>
    <row r="19005" spans="1:8" ht="15" x14ac:dyDescent="0.2">
      <c r="A19005" s="730">
        <v>45362</v>
      </c>
      <c r="B19005" s="91" t="s">
        <v>11897</v>
      </c>
      <c r="C19005" s="94" t="s">
        <v>559</v>
      </c>
      <c r="D19005" s="801" t="s">
        <v>12709</v>
      </c>
      <c r="E19005" s="92"/>
      <c r="F19005" s="92">
        <v>1071000</v>
      </c>
      <c r="G19005" s="92">
        <f t="shared" si="406"/>
        <v>1071000</v>
      </c>
      <c r="H19005" s="702" t="s">
        <v>12659</v>
      </c>
    </row>
    <row r="19006" spans="1:8" ht="15" x14ac:dyDescent="0.2">
      <c r="A19006" s="730">
        <v>45366</v>
      </c>
      <c r="B19006" s="91" t="s">
        <v>12372</v>
      </c>
      <c r="C19006" s="94" t="s">
        <v>559</v>
      </c>
      <c r="D19006" s="801" t="s">
        <v>12756</v>
      </c>
      <c r="E19006" s="92"/>
      <c r="F19006" s="92">
        <v>500000</v>
      </c>
      <c r="G19006" s="92">
        <f t="shared" ref="G19006" si="407">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8">F19007-E19007</f>
        <v>712701</v>
      </c>
      <c r="H19007" s="702" t="s">
        <v>12659</v>
      </c>
    </row>
    <row r="19008" spans="1:8" ht="15" x14ac:dyDescent="0.2">
      <c r="A19008" s="730">
        <v>45373</v>
      </c>
      <c r="B19008" s="91" t="s">
        <v>9356</v>
      </c>
      <c r="C19008" s="94" t="s">
        <v>559</v>
      </c>
      <c r="D19008" s="801" t="s">
        <v>12816</v>
      </c>
      <c r="E19008" s="92"/>
      <c r="F19008" s="92">
        <v>369095</v>
      </c>
      <c r="G19008" s="92">
        <f t="shared" si="408"/>
        <v>369095</v>
      </c>
      <c r="H19008" s="702" t="s">
        <v>12659</v>
      </c>
    </row>
    <row r="19009" spans="1:8" ht="15" x14ac:dyDescent="0.2">
      <c r="A19009" s="730">
        <v>45381</v>
      </c>
      <c r="B19009" s="91" t="s">
        <v>11738</v>
      </c>
      <c r="C19009" s="94" t="s">
        <v>559</v>
      </c>
      <c r="D19009" s="801" t="s">
        <v>12811</v>
      </c>
      <c r="E19009" s="92"/>
      <c r="F19009" s="92">
        <v>3840424</v>
      </c>
      <c r="G19009" s="92">
        <f t="shared" ref="G19009" si="409">F19009-E19009</f>
        <v>3840424</v>
      </c>
      <c r="H19009" s="702" t="s">
        <v>12659</v>
      </c>
    </row>
    <row r="19010" spans="1:8" ht="15" x14ac:dyDescent="0.2">
      <c r="A19010" s="734">
        <v>45384</v>
      </c>
      <c r="B19010" s="1126" t="s">
        <v>11897</v>
      </c>
      <c r="C19010" s="1099" t="s">
        <v>794</v>
      </c>
      <c r="D19010" s="1127" t="s">
        <v>12834</v>
      </c>
      <c r="E19010" s="1128">
        <v>50000</v>
      </c>
      <c r="F19010" s="58"/>
      <c r="G19010" s="58">
        <f t="shared" ref="G19010:G19162" si="410">F19010-E19010</f>
        <v>-50000</v>
      </c>
      <c r="H19010" s="705" t="s">
        <v>12833</v>
      </c>
    </row>
    <row r="19011" spans="1:8" ht="15" x14ac:dyDescent="0.2">
      <c r="A19011" s="734">
        <v>45384</v>
      </c>
      <c r="B19011" s="1126" t="s">
        <v>10179</v>
      </c>
      <c r="C19011" s="1099" t="s">
        <v>794</v>
      </c>
      <c r="D19011" s="1127" t="s">
        <v>8431</v>
      </c>
      <c r="E19011" s="1128">
        <v>5000</v>
      </c>
      <c r="F19011" s="58"/>
      <c r="G19011" s="58">
        <f t="shared" si="410"/>
        <v>-5000</v>
      </c>
      <c r="H19011" s="705" t="s">
        <v>12833</v>
      </c>
    </row>
    <row r="19012" spans="1:8" ht="15" x14ac:dyDescent="0.2">
      <c r="A19012" s="734">
        <v>45384</v>
      </c>
      <c r="B19012" s="1126" t="s">
        <v>10908</v>
      </c>
      <c r="C19012" s="1099" t="s">
        <v>794</v>
      </c>
      <c r="D19012" s="1127" t="s">
        <v>12219</v>
      </c>
      <c r="E19012" s="1128">
        <v>50000</v>
      </c>
      <c r="F19012" s="58"/>
      <c r="G19012" s="58">
        <f t="shared" si="410"/>
        <v>-50000</v>
      </c>
      <c r="H19012" s="705" t="s">
        <v>12833</v>
      </c>
    </row>
    <row r="19013" spans="1:8" ht="15" x14ac:dyDescent="0.2">
      <c r="A19013" s="734">
        <v>45384</v>
      </c>
      <c r="B19013" s="1126" t="s">
        <v>103</v>
      </c>
      <c r="C19013" s="1099" t="s">
        <v>794</v>
      </c>
      <c r="D19013" s="1127" t="s">
        <v>12835</v>
      </c>
      <c r="E19013" s="1128">
        <v>105000</v>
      </c>
      <c r="F19013" s="58"/>
      <c r="G19013" s="58">
        <f t="shared" si="410"/>
        <v>-105000</v>
      </c>
      <c r="H19013" s="705" t="s">
        <v>12833</v>
      </c>
    </row>
    <row r="19014" spans="1:8" ht="15" x14ac:dyDescent="0.2">
      <c r="A19014" s="734">
        <v>45384</v>
      </c>
      <c r="B19014" s="1126" t="s">
        <v>11897</v>
      </c>
      <c r="C19014" s="1099" t="s">
        <v>794</v>
      </c>
      <c r="D19014" s="1127" t="s">
        <v>12825</v>
      </c>
      <c r="E19014" s="1128">
        <v>80160</v>
      </c>
      <c r="F19014" s="58"/>
      <c r="G19014" s="58">
        <f t="shared" ref="G19014:G19054" si="411">F19014-E19014</f>
        <v>-80160</v>
      </c>
      <c r="H19014" s="705" t="s">
        <v>12833</v>
      </c>
    </row>
    <row r="19015" spans="1:8" ht="15" x14ac:dyDescent="0.2">
      <c r="A19015" s="734">
        <v>45384</v>
      </c>
      <c r="B19015" s="1126" t="s">
        <v>12818</v>
      </c>
      <c r="C19015" s="1099" t="s">
        <v>794</v>
      </c>
      <c r="D19015" s="1127" t="s">
        <v>11846</v>
      </c>
      <c r="E19015" s="1128">
        <v>23130</v>
      </c>
      <c r="F19015" s="58"/>
      <c r="G19015" s="58">
        <f t="shared" si="411"/>
        <v>-23130</v>
      </c>
      <c r="H19015" s="705" t="s">
        <v>12833</v>
      </c>
    </row>
    <row r="19016" spans="1:8" ht="15" x14ac:dyDescent="0.2">
      <c r="A19016" s="734">
        <v>45384</v>
      </c>
      <c r="B19016" s="1126" t="s">
        <v>103</v>
      </c>
      <c r="C19016" s="1099" t="s">
        <v>794</v>
      </c>
      <c r="D19016" s="1127" t="s">
        <v>10137</v>
      </c>
      <c r="E19016" s="1128">
        <v>219500</v>
      </c>
      <c r="F19016" s="58"/>
      <c r="G19016" s="58">
        <f t="shared" ref="G19016:G19022" si="412">F19016-E19016</f>
        <v>-219500</v>
      </c>
      <c r="H19016" s="705" t="s">
        <v>12833</v>
      </c>
    </row>
    <row r="19017" spans="1:8" ht="15" x14ac:dyDescent="0.2">
      <c r="A19017" s="734">
        <v>45384</v>
      </c>
      <c r="B19017" s="1126" t="s">
        <v>11089</v>
      </c>
      <c r="C19017" s="1099" t="s">
        <v>794</v>
      </c>
      <c r="D19017" s="1127" t="s">
        <v>11847</v>
      </c>
      <c r="E19017" s="1128">
        <v>44050</v>
      </c>
      <c r="F19017" s="58"/>
      <c r="G19017" s="58">
        <f t="shared" si="412"/>
        <v>-44050</v>
      </c>
      <c r="H19017" s="705" t="s">
        <v>12833</v>
      </c>
    </row>
    <row r="19018" spans="1:8" ht="15" x14ac:dyDescent="0.2">
      <c r="A19018" s="734">
        <v>45385</v>
      </c>
      <c r="B19018" s="1126" t="s">
        <v>37</v>
      </c>
      <c r="C19018" s="1099" t="s">
        <v>794</v>
      </c>
      <c r="D19018" s="1127" t="s">
        <v>11845</v>
      </c>
      <c r="E19018" s="1128">
        <v>186200</v>
      </c>
      <c r="F19018" s="58"/>
      <c r="G19018" s="58">
        <f t="shared" si="412"/>
        <v>-186200</v>
      </c>
      <c r="H19018" s="705" t="s">
        <v>12833</v>
      </c>
    </row>
    <row r="19019" spans="1:8" ht="15" x14ac:dyDescent="0.2">
      <c r="A19019" s="734">
        <v>45385</v>
      </c>
      <c r="B19019" s="1126" t="s">
        <v>12634</v>
      </c>
      <c r="C19019" s="1099" t="s">
        <v>794</v>
      </c>
      <c r="D19019" s="1127" t="s">
        <v>12846</v>
      </c>
      <c r="E19019" s="1128">
        <v>266282</v>
      </c>
      <c r="F19019" s="58"/>
      <c r="G19019" s="58">
        <f t="shared" si="412"/>
        <v>-266282</v>
      </c>
      <c r="H19019" s="705" t="s">
        <v>12833</v>
      </c>
    </row>
    <row r="19020" spans="1:8" ht="15" x14ac:dyDescent="0.2">
      <c r="A19020" s="734">
        <v>45385</v>
      </c>
      <c r="B19020" s="1126" t="s">
        <v>8559</v>
      </c>
      <c r="C19020" s="1099" t="s">
        <v>794</v>
      </c>
      <c r="D19020" s="1127" t="s">
        <v>12847</v>
      </c>
      <c r="E19020" s="1128">
        <v>129000</v>
      </c>
      <c r="F19020" s="58"/>
      <c r="G19020" s="58">
        <f t="shared" si="412"/>
        <v>-129000</v>
      </c>
      <c r="H19020" s="705" t="s">
        <v>12833</v>
      </c>
    </row>
    <row r="19021" spans="1:8" ht="15" x14ac:dyDescent="0.2">
      <c r="A19021" s="734">
        <v>45386</v>
      </c>
      <c r="B19021" s="1099" t="s">
        <v>11738</v>
      </c>
      <c r="C19021" s="1099" t="s">
        <v>794</v>
      </c>
      <c r="D19021" s="1102" t="s">
        <v>12411</v>
      </c>
      <c r="E19021" s="1101">
        <v>535700</v>
      </c>
      <c r="F19021" s="126"/>
      <c r="G19021" s="126">
        <f t="shared" si="412"/>
        <v>-535700</v>
      </c>
      <c r="H19021" s="705" t="s">
        <v>12833</v>
      </c>
    </row>
    <row r="19022" spans="1:8" ht="15" x14ac:dyDescent="0.2">
      <c r="A19022" s="734">
        <v>45386</v>
      </c>
      <c r="B19022" s="1099" t="s">
        <v>11738</v>
      </c>
      <c r="C19022" s="1099" t="s">
        <v>794</v>
      </c>
      <c r="D19022" s="1102" t="s">
        <v>12860</v>
      </c>
      <c r="E19022" s="1101">
        <v>220000</v>
      </c>
      <c r="F19022" s="126"/>
      <c r="G19022" s="126">
        <f t="shared" si="412"/>
        <v>-220000</v>
      </c>
      <c r="H19022" s="705" t="s">
        <v>12833</v>
      </c>
    </row>
    <row r="19023" spans="1:8" ht="15" x14ac:dyDescent="0.2">
      <c r="A19023" s="734">
        <v>45386</v>
      </c>
      <c r="B19023" s="1099" t="s">
        <v>10908</v>
      </c>
      <c r="C19023" s="1099" t="s">
        <v>794</v>
      </c>
      <c r="D19023" s="1102" t="s">
        <v>12861</v>
      </c>
      <c r="E19023" s="1101">
        <v>75970</v>
      </c>
      <c r="F19023" s="126"/>
      <c r="G19023" s="126">
        <f t="shared" ref="G19023:G19025" si="413">F19023-E19023</f>
        <v>-75970</v>
      </c>
      <c r="H19023" s="705" t="s">
        <v>12833</v>
      </c>
    </row>
    <row r="19024" spans="1:8" ht="15" x14ac:dyDescent="0.2">
      <c r="A19024" s="734">
        <v>45386</v>
      </c>
      <c r="B19024" s="1099" t="s">
        <v>11897</v>
      </c>
      <c r="C19024" s="1099" t="s">
        <v>794</v>
      </c>
      <c r="D19024" s="1102" t="s">
        <v>12862</v>
      </c>
      <c r="E19024" s="1101">
        <v>75000</v>
      </c>
      <c r="F19024" s="126"/>
      <c r="G19024" s="126">
        <f t="shared" si="413"/>
        <v>-75000</v>
      </c>
      <c r="H19024" s="705" t="s">
        <v>12833</v>
      </c>
    </row>
    <row r="19025" spans="1:8" ht="15" x14ac:dyDescent="0.2">
      <c r="A19025" s="734">
        <v>45386</v>
      </c>
      <c r="B19025" s="1099" t="s">
        <v>11897</v>
      </c>
      <c r="C19025" s="1099" t="s">
        <v>794</v>
      </c>
      <c r="D19025" s="1102" t="s">
        <v>12863</v>
      </c>
      <c r="E19025" s="1101">
        <v>57260</v>
      </c>
      <c r="F19025" s="126"/>
      <c r="G19025" s="126">
        <f t="shared" si="413"/>
        <v>-57260</v>
      </c>
      <c r="H19025" s="705" t="s">
        <v>12833</v>
      </c>
    </row>
    <row r="19026" spans="1:8" ht="15" x14ac:dyDescent="0.2">
      <c r="A19026" s="734">
        <v>45386</v>
      </c>
      <c r="B19026" s="1099" t="s">
        <v>12827</v>
      </c>
      <c r="C19026" s="1099" t="s">
        <v>794</v>
      </c>
      <c r="D19026" s="1102" t="s">
        <v>12851</v>
      </c>
      <c r="E19026" s="1101">
        <v>43016</v>
      </c>
      <c r="F19026" s="126"/>
      <c r="G19026" s="126">
        <f>F19026-E19026</f>
        <v>-43016</v>
      </c>
      <c r="H19026" s="705" t="s">
        <v>12833</v>
      </c>
    </row>
    <row r="19027" spans="1:8" ht="15" x14ac:dyDescent="0.2">
      <c r="A19027" s="734">
        <v>45386</v>
      </c>
      <c r="B19027" s="1099" t="s">
        <v>11897</v>
      </c>
      <c r="C19027" s="1099" t="s">
        <v>794</v>
      </c>
      <c r="D19027" s="1102" t="s">
        <v>12852</v>
      </c>
      <c r="E19027" s="1101">
        <v>65000</v>
      </c>
      <c r="F19027" s="126"/>
      <c r="G19027" s="126">
        <f>F19027-E19027</f>
        <v>-65000</v>
      </c>
      <c r="H19027" s="705" t="s">
        <v>12833</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12833</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12833</v>
      </c>
    </row>
    <row r="19030" spans="1:8" ht="15" x14ac:dyDescent="0.2">
      <c r="A19030" s="734">
        <v>45386</v>
      </c>
      <c r="B19030" s="1099" t="s">
        <v>3946</v>
      </c>
      <c r="C19030" s="1099" t="s">
        <v>794</v>
      </c>
      <c r="D19030" s="1102" t="s">
        <v>12690</v>
      </c>
      <c r="E19030" s="1101">
        <v>28000</v>
      </c>
      <c r="F19030" s="126"/>
      <c r="G19030" s="126">
        <f>F19030-E19030</f>
        <v>-28000</v>
      </c>
      <c r="H19030" s="705" t="s">
        <v>12833</v>
      </c>
    </row>
    <row r="19031" spans="1:8" ht="15" x14ac:dyDescent="0.2">
      <c r="A19031" s="734">
        <v>45384</v>
      </c>
      <c r="B19031" s="41" t="s">
        <v>12366</v>
      </c>
      <c r="C19031" s="63" t="s">
        <v>10993</v>
      </c>
      <c r="D19031" s="108" t="s">
        <v>12837</v>
      </c>
      <c r="E19031" s="58">
        <v>100000</v>
      </c>
      <c r="F19031" s="58"/>
      <c r="G19031" s="58">
        <f t="shared" si="411"/>
        <v>-100000</v>
      </c>
      <c r="H19031" s="705" t="s">
        <v>12833</v>
      </c>
    </row>
    <row r="19032" spans="1:8" ht="15" x14ac:dyDescent="0.2">
      <c r="A19032" s="734">
        <v>45384</v>
      </c>
      <c r="B19032" s="41" t="s">
        <v>3946</v>
      </c>
      <c r="C19032" s="63" t="s">
        <v>10993</v>
      </c>
      <c r="D19032" s="108" t="s">
        <v>12826</v>
      </c>
      <c r="E19032" s="58">
        <v>1700</v>
      </c>
      <c r="F19032" s="58"/>
      <c r="G19032" s="58">
        <f t="shared" si="411"/>
        <v>-1700</v>
      </c>
      <c r="H19032" s="705" t="s">
        <v>12833</v>
      </c>
    </row>
    <row r="19033" spans="1:8" ht="15" x14ac:dyDescent="0.2">
      <c r="A19033" s="734">
        <v>45384</v>
      </c>
      <c r="B19033" s="1129" t="s">
        <v>103</v>
      </c>
      <c r="C19033" s="1130" t="s">
        <v>9731</v>
      </c>
      <c r="D19033" s="1131" t="s">
        <v>12843</v>
      </c>
      <c r="E19033" s="1132">
        <v>874250</v>
      </c>
      <c r="F19033" s="58"/>
      <c r="G19033" s="58">
        <f t="shared" ref="G19033" si="414">F19033-E19033</f>
        <v>-874250</v>
      </c>
      <c r="H19033" s="705" t="s">
        <v>12833</v>
      </c>
    </row>
    <row r="19034" spans="1:8" ht="15" x14ac:dyDescent="0.2">
      <c r="A19034" s="734">
        <v>45384</v>
      </c>
      <c r="B19034" s="41" t="s">
        <v>103</v>
      </c>
      <c r="C19034" s="63" t="s">
        <v>103</v>
      </c>
      <c r="D19034" s="108" t="s">
        <v>12557</v>
      </c>
      <c r="E19034" s="58">
        <v>3000</v>
      </c>
      <c r="F19034" s="58"/>
      <c r="G19034" s="58">
        <f t="shared" si="411"/>
        <v>-3000</v>
      </c>
      <c r="H19034" s="705" t="s">
        <v>12833</v>
      </c>
    </row>
    <row r="19035" spans="1:8" ht="15" x14ac:dyDescent="0.2">
      <c r="A19035" s="734">
        <v>45384</v>
      </c>
      <c r="B19035" s="41" t="s">
        <v>12827</v>
      </c>
      <c r="C19035" s="63" t="s">
        <v>5410</v>
      </c>
      <c r="D19035" s="108" t="s">
        <v>12424</v>
      </c>
      <c r="E19035" s="58">
        <v>5000</v>
      </c>
      <c r="F19035" s="58"/>
      <c r="G19035" s="58">
        <f t="shared" si="411"/>
        <v>-5000</v>
      </c>
      <c r="H19035" s="705" t="s">
        <v>12833</v>
      </c>
    </row>
    <row r="19036" spans="1:8" ht="15" x14ac:dyDescent="0.2">
      <c r="A19036" s="734">
        <v>45384</v>
      </c>
      <c r="B19036" s="41" t="s">
        <v>25</v>
      </c>
      <c r="C19036" s="63" t="s">
        <v>8150</v>
      </c>
      <c r="D19036" s="108" t="s">
        <v>6310</v>
      </c>
      <c r="E19036" s="58">
        <v>1330</v>
      </c>
      <c r="F19036" s="58"/>
      <c r="G19036" s="58">
        <f t="shared" si="411"/>
        <v>-1330</v>
      </c>
      <c r="H19036" s="705" t="s">
        <v>12833</v>
      </c>
    </row>
    <row r="19037" spans="1:8" ht="15" x14ac:dyDescent="0.2">
      <c r="A19037" s="734">
        <v>45384</v>
      </c>
      <c r="B19037" s="41" t="s">
        <v>11897</v>
      </c>
      <c r="C19037" s="63" t="s">
        <v>12828</v>
      </c>
      <c r="D19037" s="108" t="s">
        <v>12829</v>
      </c>
      <c r="E19037" s="58">
        <v>35000</v>
      </c>
      <c r="F19037" s="58"/>
      <c r="G19037" s="58">
        <f t="shared" si="411"/>
        <v>-35000</v>
      </c>
      <c r="H19037" s="705" t="s">
        <v>12833</v>
      </c>
    </row>
    <row r="19038" spans="1:8" ht="15" x14ac:dyDescent="0.2">
      <c r="A19038" s="734">
        <v>45384</v>
      </c>
      <c r="B19038" s="41" t="s">
        <v>11897</v>
      </c>
      <c r="C19038" s="63" t="s">
        <v>5741</v>
      </c>
      <c r="D19038" s="108" t="s">
        <v>12830</v>
      </c>
      <c r="E19038" s="58">
        <v>4500</v>
      </c>
      <c r="F19038" s="58"/>
      <c r="G19038" s="58">
        <f t="shared" si="411"/>
        <v>-4500</v>
      </c>
      <c r="H19038" s="705" t="s">
        <v>12833</v>
      </c>
    </row>
    <row r="19039" spans="1:8" ht="15" x14ac:dyDescent="0.2">
      <c r="A19039" s="734">
        <v>45384</v>
      </c>
      <c r="B19039" s="41" t="s">
        <v>12818</v>
      </c>
      <c r="C19039" s="63" t="s">
        <v>10993</v>
      </c>
      <c r="D19039" s="108" t="s">
        <v>11724</v>
      </c>
      <c r="E19039" s="58">
        <v>1250</v>
      </c>
      <c r="F19039" s="58"/>
      <c r="G19039" s="58">
        <f t="shared" si="411"/>
        <v>-1250</v>
      </c>
      <c r="H19039" s="705" t="s">
        <v>12833</v>
      </c>
    </row>
    <row r="19040" spans="1:8" ht="15" x14ac:dyDescent="0.2">
      <c r="A19040" s="734">
        <v>45384</v>
      </c>
      <c r="B19040" s="41" t="s">
        <v>103</v>
      </c>
      <c r="C19040" s="63" t="s">
        <v>8150</v>
      </c>
      <c r="D19040" s="108" t="s">
        <v>6310</v>
      </c>
      <c r="E19040" s="58">
        <v>1200</v>
      </c>
      <c r="F19040" s="58"/>
      <c r="G19040" s="58">
        <f t="shared" si="411"/>
        <v>-1200</v>
      </c>
      <c r="H19040" s="705" t="s">
        <v>12833</v>
      </c>
    </row>
    <row r="19041" spans="1:8" ht="15" x14ac:dyDescent="0.2">
      <c r="A19041" s="734">
        <v>45384</v>
      </c>
      <c r="B19041" s="41" t="s">
        <v>12818</v>
      </c>
      <c r="C19041" s="63" t="s">
        <v>5741</v>
      </c>
      <c r="D19041" s="108" t="s">
        <v>370</v>
      </c>
      <c r="E19041" s="58">
        <v>1000</v>
      </c>
      <c r="F19041" s="58"/>
      <c r="G19041" s="58">
        <f t="shared" si="411"/>
        <v>-1000</v>
      </c>
      <c r="H19041" s="705" t="s">
        <v>12833</v>
      </c>
    </row>
    <row r="19042" spans="1:8" ht="15" x14ac:dyDescent="0.2">
      <c r="A19042" s="734">
        <v>45384</v>
      </c>
      <c r="B19042" s="41" t="s">
        <v>11897</v>
      </c>
      <c r="C19042" s="63" t="s">
        <v>5741</v>
      </c>
      <c r="D19042" s="108" t="s">
        <v>370</v>
      </c>
      <c r="E19042" s="58">
        <v>900</v>
      </c>
      <c r="F19042" s="58"/>
      <c r="G19042" s="58">
        <f t="shared" si="411"/>
        <v>-900</v>
      </c>
      <c r="H19042" s="705" t="s">
        <v>12833</v>
      </c>
    </row>
    <row r="19043" spans="1:8" ht="15" x14ac:dyDescent="0.2">
      <c r="A19043" s="734">
        <v>45384</v>
      </c>
      <c r="B19043" s="41" t="s">
        <v>11738</v>
      </c>
      <c r="C19043" s="63" t="s">
        <v>12831</v>
      </c>
      <c r="D19043" s="108" t="s">
        <v>12832</v>
      </c>
      <c r="E19043" s="58">
        <v>15000</v>
      </c>
      <c r="F19043" s="58"/>
      <c r="G19043" s="58">
        <f t="shared" si="411"/>
        <v>-15000</v>
      </c>
      <c r="H19043" s="705" t="s">
        <v>12833</v>
      </c>
    </row>
    <row r="19044" spans="1:8" ht="15" x14ac:dyDescent="0.2">
      <c r="A19044" s="734">
        <v>45384</v>
      </c>
      <c r="B19044" s="41" t="s">
        <v>12532</v>
      </c>
      <c r="C19044" s="63" t="s">
        <v>392</v>
      </c>
      <c r="D19044" s="108" t="s">
        <v>5384</v>
      </c>
      <c r="E19044" s="58">
        <v>2000</v>
      </c>
      <c r="F19044" s="58"/>
      <c r="G19044" s="58">
        <f t="shared" si="411"/>
        <v>-2000</v>
      </c>
      <c r="H19044" s="705" t="s">
        <v>12833</v>
      </c>
    </row>
    <row r="19045" spans="1:8" ht="15" x14ac:dyDescent="0.2">
      <c r="A19045" s="734">
        <v>45384</v>
      </c>
      <c r="B19045" s="41" t="s">
        <v>12827</v>
      </c>
      <c r="C19045" s="63" t="s">
        <v>392</v>
      </c>
      <c r="D19045" s="108" t="s">
        <v>5384</v>
      </c>
      <c r="E19045" s="58">
        <v>4000</v>
      </c>
      <c r="F19045" s="58"/>
      <c r="G19045" s="58">
        <f t="shared" si="411"/>
        <v>-4000</v>
      </c>
      <c r="H19045" s="705" t="s">
        <v>12833</v>
      </c>
    </row>
    <row r="19046" spans="1:8" ht="15" x14ac:dyDescent="0.2">
      <c r="A19046" s="734">
        <v>45384</v>
      </c>
      <c r="B19046" s="41" t="s">
        <v>37</v>
      </c>
      <c r="C19046" s="63" t="s">
        <v>392</v>
      </c>
      <c r="D19046" s="108" t="s">
        <v>5384</v>
      </c>
      <c r="E19046" s="58">
        <v>2000</v>
      </c>
      <c r="F19046" s="58"/>
      <c r="G19046" s="58">
        <f t="shared" si="411"/>
        <v>-2000</v>
      </c>
      <c r="H19046" s="705" t="s">
        <v>12833</v>
      </c>
    </row>
    <row r="19047" spans="1:8" ht="15" x14ac:dyDescent="0.2">
      <c r="A19047" s="734">
        <v>45384</v>
      </c>
      <c r="B19047" s="41" t="s">
        <v>11089</v>
      </c>
      <c r="C19047" s="63" t="s">
        <v>392</v>
      </c>
      <c r="D19047" s="108" t="s">
        <v>5384</v>
      </c>
      <c r="E19047" s="58">
        <v>5250</v>
      </c>
      <c r="F19047" s="58"/>
      <c r="G19047" s="58">
        <f t="shared" si="411"/>
        <v>-5250</v>
      </c>
      <c r="H19047" s="705" t="s">
        <v>12833</v>
      </c>
    </row>
    <row r="19048" spans="1:8" ht="15" x14ac:dyDescent="0.2">
      <c r="A19048" s="734">
        <v>45384</v>
      </c>
      <c r="B19048" s="41" t="s">
        <v>10776</v>
      </c>
      <c r="C19048" s="63" t="s">
        <v>10993</v>
      </c>
      <c r="D19048" s="108" t="s">
        <v>4966</v>
      </c>
      <c r="E19048" s="58">
        <v>13040</v>
      </c>
      <c r="F19048" s="58"/>
      <c r="G19048" s="58">
        <f t="shared" si="411"/>
        <v>-13040</v>
      </c>
      <c r="H19048" s="705" t="s">
        <v>12833</v>
      </c>
    </row>
    <row r="19049" spans="1:8" ht="15" x14ac:dyDescent="0.2">
      <c r="A19049" s="734">
        <v>45384</v>
      </c>
      <c r="B19049" s="41" t="s">
        <v>8559</v>
      </c>
      <c r="C19049" s="63" t="s">
        <v>10993</v>
      </c>
      <c r="D19049" s="108" t="s">
        <v>4966</v>
      </c>
      <c r="E19049" s="58">
        <v>12700</v>
      </c>
      <c r="F19049" s="58"/>
      <c r="G19049" s="58">
        <f t="shared" si="411"/>
        <v>-12700</v>
      </c>
      <c r="H19049" s="705" t="s">
        <v>12833</v>
      </c>
    </row>
    <row r="19050" spans="1:8" ht="15" x14ac:dyDescent="0.2">
      <c r="A19050" s="734">
        <v>45384</v>
      </c>
      <c r="B19050" s="41" t="s">
        <v>8559</v>
      </c>
      <c r="C19050" s="63" t="s">
        <v>10993</v>
      </c>
      <c r="D19050" s="108" t="s">
        <v>4966</v>
      </c>
      <c r="E19050" s="58">
        <v>3718</v>
      </c>
      <c r="F19050" s="58"/>
      <c r="G19050" s="58">
        <f t="shared" si="411"/>
        <v>-3718</v>
      </c>
      <c r="H19050" s="705" t="s">
        <v>12833</v>
      </c>
    </row>
    <row r="19051" spans="1:8" ht="15" x14ac:dyDescent="0.2">
      <c r="A19051" s="734">
        <v>45384</v>
      </c>
      <c r="B19051" s="41" t="s">
        <v>12532</v>
      </c>
      <c r="C19051" s="63" t="s">
        <v>10993</v>
      </c>
      <c r="D19051" s="108" t="s">
        <v>4966</v>
      </c>
      <c r="E19051" s="58">
        <v>95726</v>
      </c>
      <c r="F19051" s="58"/>
      <c r="G19051" s="58">
        <f t="shared" si="411"/>
        <v>-95726</v>
      </c>
      <c r="H19051" s="705" t="s">
        <v>12833</v>
      </c>
    </row>
    <row r="19052" spans="1:8" ht="15" x14ac:dyDescent="0.2">
      <c r="A19052" s="734">
        <v>45384</v>
      </c>
      <c r="B19052" s="41" t="s">
        <v>103</v>
      </c>
      <c r="C19052" s="63" t="s">
        <v>392</v>
      </c>
      <c r="D19052" s="108" t="s">
        <v>12836</v>
      </c>
      <c r="E19052" s="58">
        <v>50000</v>
      </c>
      <c r="F19052" s="58"/>
      <c r="G19052" s="58">
        <f t="shared" si="411"/>
        <v>-50000</v>
      </c>
      <c r="H19052" s="705" t="s">
        <v>12833</v>
      </c>
    </row>
    <row r="19053" spans="1:8" ht="15" x14ac:dyDescent="0.2">
      <c r="A19053" s="734">
        <v>45384</v>
      </c>
      <c r="B19053" s="41" t="s">
        <v>12827</v>
      </c>
      <c r="C19053" s="63" t="s">
        <v>5410</v>
      </c>
      <c r="D19053" s="108" t="s">
        <v>12424</v>
      </c>
      <c r="E19053" s="58">
        <v>5000</v>
      </c>
      <c r="F19053" s="58"/>
      <c r="G19053" s="58">
        <f t="shared" ref="G19053" si="415">F19053-E19053</f>
        <v>-5000</v>
      </c>
      <c r="H19053" s="705" t="s">
        <v>12833</v>
      </c>
    </row>
    <row r="19054" spans="1:8" ht="15" x14ac:dyDescent="0.2">
      <c r="A19054" s="734">
        <v>45384</v>
      </c>
      <c r="B19054" s="45"/>
      <c r="C19054" s="63" t="s">
        <v>12539</v>
      </c>
      <c r="D19054" s="108" t="s">
        <v>12302</v>
      </c>
      <c r="E19054" s="58">
        <v>50000</v>
      </c>
      <c r="F19054" s="58"/>
      <c r="G19054" s="58">
        <f t="shared" si="411"/>
        <v>-50000</v>
      </c>
      <c r="H19054" s="705" t="s">
        <v>12833</v>
      </c>
    </row>
    <row r="19055" spans="1:8" ht="15" x14ac:dyDescent="0.2">
      <c r="A19055" s="734">
        <v>45384</v>
      </c>
      <c r="B19055" s="41" t="s">
        <v>11897</v>
      </c>
      <c r="C19055" s="63" t="s">
        <v>392</v>
      </c>
      <c r="D19055" s="108" t="s">
        <v>12838</v>
      </c>
      <c r="E19055" s="58">
        <v>2000</v>
      </c>
      <c r="F19055" s="58"/>
      <c r="G19055" s="58">
        <f t="shared" ref="G19055" si="416">F19055-E19055</f>
        <v>-2000</v>
      </c>
      <c r="H19055" s="705" t="s">
        <v>12833</v>
      </c>
    </row>
    <row r="19056" spans="1:8" ht="15" x14ac:dyDescent="0.2">
      <c r="A19056" s="734">
        <v>45385</v>
      </c>
      <c r="B19056" s="41" t="s">
        <v>103</v>
      </c>
      <c r="C19056" s="63" t="s">
        <v>103</v>
      </c>
      <c r="D19056" s="108" t="s">
        <v>12844</v>
      </c>
      <c r="E19056" s="58">
        <v>1000</v>
      </c>
      <c r="F19056" s="58"/>
      <c r="G19056" s="58">
        <f t="shared" ref="G19056:G19063" si="417">F19056-E19056</f>
        <v>-1000</v>
      </c>
      <c r="H19056" s="705" t="s">
        <v>12833</v>
      </c>
    </row>
    <row r="19057" spans="1:8" ht="15" x14ac:dyDescent="0.2">
      <c r="A19057" s="734">
        <v>45385</v>
      </c>
      <c r="B19057" s="41" t="s">
        <v>37</v>
      </c>
      <c r="C19057" s="63" t="s">
        <v>392</v>
      </c>
      <c r="D19057" s="108" t="s">
        <v>5755</v>
      </c>
      <c r="E19057" s="58">
        <v>3000</v>
      </c>
      <c r="F19057" s="58"/>
      <c r="G19057" s="58">
        <f t="shared" si="417"/>
        <v>-3000</v>
      </c>
      <c r="H19057" s="705" t="s">
        <v>12833</v>
      </c>
    </row>
    <row r="19058" spans="1:8" ht="15" x14ac:dyDescent="0.2">
      <c r="A19058" s="734">
        <v>45385</v>
      </c>
      <c r="B19058" s="41" t="s">
        <v>37</v>
      </c>
      <c r="C19058" s="63" t="s">
        <v>392</v>
      </c>
      <c r="D19058" s="108" t="s">
        <v>12845</v>
      </c>
      <c r="E19058" s="58">
        <v>500</v>
      </c>
      <c r="F19058" s="58"/>
      <c r="G19058" s="58">
        <f t="shared" si="417"/>
        <v>-500</v>
      </c>
      <c r="H19058" s="705" t="s">
        <v>12833</v>
      </c>
    </row>
    <row r="19059" spans="1:8" ht="15" x14ac:dyDescent="0.2">
      <c r="A19059" s="734">
        <v>45385</v>
      </c>
      <c r="B19059" s="41" t="s">
        <v>10232</v>
      </c>
      <c r="C19059" s="634" t="s">
        <v>12299</v>
      </c>
      <c r="D19059" s="918" t="s">
        <v>12848</v>
      </c>
      <c r="E19059" s="735">
        <v>60000</v>
      </c>
      <c r="F19059" s="58"/>
      <c r="G19059" s="58">
        <f t="shared" si="417"/>
        <v>-60000</v>
      </c>
      <c r="H19059" s="705" t="s">
        <v>12833</v>
      </c>
    </row>
    <row r="19060" spans="1:8" ht="15" x14ac:dyDescent="0.2">
      <c r="A19060" s="734">
        <v>45385</v>
      </c>
      <c r="B19060" s="41" t="s">
        <v>8559</v>
      </c>
      <c r="C19060" s="634" t="s">
        <v>12299</v>
      </c>
      <c r="D19060" s="918" t="s">
        <v>12848</v>
      </c>
      <c r="E19060" s="735">
        <v>15000</v>
      </c>
      <c r="F19060" s="58"/>
      <c r="G19060" s="58">
        <f t="shared" si="417"/>
        <v>-15000</v>
      </c>
      <c r="H19060" s="705" t="s">
        <v>12833</v>
      </c>
    </row>
    <row r="19061" spans="1:8" ht="15" x14ac:dyDescent="0.2">
      <c r="A19061" s="734">
        <v>45385</v>
      </c>
      <c r="B19061" s="41" t="s">
        <v>11897</v>
      </c>
      <c r="C19061" s="63" t="s">
        <v>4725</v>
      </c>
      <c r="D19061" s="108" t="s">
        <v>12302</v>
      </c>
      <c r="E19061" s="58">
        <v>300000</v>
      </c>
      <c r="F19061" s="58"/>
      <c r="G19061" s="58">
        <f t="shared" si="417"/>
        <v>-300000</v>
      </c>
      <c r="H19061" s="705" t="s">
        <v>12833</v>
      </c>
    </row>
    <row r="19062" spans="1:8" ht="15" x14ac:dyDescent="0.2">
      <c r="A19062" s="734">
        <v>45385</v>
      </c>
      <c r="B19062" s="41" t="s">
        <v>12532</v>
      </c>
      <c r="C19062" s="63" t="s">
        <v>12559</v>
      </c>
      <c r="D19062" s="108" t="s">
        <v>12302</v>
      </c>
      <c r="E19062" s="58">
        <v>250000</v>
      </c>
      <c r="F19062" s="58"/>
      <c r="G19062" s="58">
        <f t="shared" si="417"/>
        <v>-250000</v>
      </c>
      <c r="H19062" s="705" t="s">
        <v>12833</v>
      </c>
    </row>
    <row r="19063" spans="1:8" ht="36" x14ac:dyDescent="0.2">
      <c r="A19063" s="734">
        <v>45385</v>
      </c>
      <c r="B19063" s="63" t="s">
        <v>103</v>
      </c>
      <c r="C19063" s="63" t="s">
        <v>12740</v>
      </c>
      <c r="D19063" s="183" t="s">
        <v>12850</v>
      </c>
      <c r="E19063" s="126">
        <v>11000</v>
      </c>
      <c r="F19063" s="126"/>
      <c r="G19063" s="126">
        <f t="shared" si="417"/>
        <v>-11000</v>
      </c>
      <c r="H19063" s="705" t="s">
        <v>12833</v>
      </c>
    </row>
    <row r="19064" spans="1:8" ht="15" x14ac:dyDescent="0.2">
      <c r="A19064" s="734">
        <v>45385</v>
      </c>
      <c r="B19064" s="63" t="s">
        <v>10232</v>
      </c>
      <c r="C19064" s="63" t="s">
        <v>286</v>
      </c>
      <c r="D19064" s="183" t="s">
        <v>12858</v>
      </c>
      <c r="E19064" s="126">
        <v>30000</v>
      </c>
      <c r="F19064" s="126"/>
      <c r="G19064" s="126">
        <f t="shared" ref="G19064:G19065" si="418">F19064-E19064</f>
        <v>-30000</v>
      </c>
      <c r="H19064" s="705" t="s">
        <v>12833</v>
      </c>
    </row>
    <row r="19065" spans="1:8" ht="15" x14ac:dyDescent="0.2">
      <c r="A19065" s="734">
        <v>45385</v>
      </c>
      <c r="B19065" s="63" t="s">
        <v>25</v>
      </c>
      <c r="C19065" s="63"/>
      <c r="D19065" s="183" t="s">
        <v>12859</v>
      </c>
      <c r="E19065" s="126">
        <v>15000</v>
      </c>
      <c r="F19065" s="126"/>
      <c r="G19065" s="126">
        <f t="shared" si="418"/>
        <v>-15000</v>
      </c>
      <c r="H19065" s="705" t="s">
        <v>12833</v>
      </c>
    </row>
    <row r="19066" spans="1:8" ht="15" x14ac:dyDescent="0.2">
      <c r="A19066" s="734">
        <v>45386</v>
      </c>
      <c r="B19066" s="63" t="s">
        <v>11738</v>
      </c>
      <c r="C19066" s="63" t="s">
        <v>5741</v>
      </c>
      <c r="D19066" s="183" t="s">
        <v>370</v>
      </c>
      <c r="E19066" s="126">
        <v>2000</v>
      </c>
      <c r="F19066" s="126"/>
      <c r="G19066" s="126">
        <f t="shared" ref="G19066:G19073" si="419">F19066-E19066</f>
        <v>-2000</v>
      </c>
      <c r="H19066" s="705" t="s">
        <v>12833</v>
      </c>
    </row>
    <row r="19067" spans="1:8" ht="15" x14ac:dyDescent="0.2">
      <c r="A19067" s="734">
        <v>45386</v>
      </c>
      <c r="B19067" s="63" t="s">
        <v>11897</v>
      </c>
      <c r="C19067" s="63" t="s">
        <v>5741</v>
      </c>
      <c r="D19067" s="183" t="s">
        <v>370</v>
      </c>
      <c r="E19067" s="126">
        <v>200</v>
      </c>
      <c r="F19067" s="126"/>
      <c r="G19067" s="126">
        <f t="shared" si="419"/>
        <v>-200</v>
      </c>
      <c r="H19067" s="705" t="s">
        <v>12833</v>
      </c>
    </row>
    <row r="19068" spans="1:8" ht="15" x14ac:dyDescent="0.2">
      <c r="A19068" s="734">
        <v>45386</v>
      </c>
      <c r="B19068" s="63" t="s">
        <v>12366</v>
      </c>
      <c r="C19068" s="63" t="s">
        <v>12853</v>
      </c>
      <c r="D19068" s="183" t="s">
        <v>12854</v>
      </c>
      <c r="E19068" s="126">
        <v>50000</v>
      </c>
      <c r="F19068" s="126"/>
      <c r="G19068" s="126">
        <f t="shared" si="419"/>
        <v>-50000</v>
      </c>
      <c r="H19068" s="705" t="s">
        <v>12833</v>
      </c>
    </row>
    <row r="19069" spans="1:8" ht="15" x14ac:dyDescent="0.2">
      <c r="A19069" s="734">
        <v>45386</v>
      </c>
      <c r="B19069" s="63" t="s">
        <v>11738</v>
      </c>
      <c r="C19069" s="63" t="s">
        <v>5741</v>
      </c>
      <c r="D19069" s="183" t="s">
        <v>370</v>
      </c>
      <c r="E19069" s="126">
        <v>1000</v>
      </c>
      <c r="F19069" s="126"/>
      <c r="G19069" s="126">
        <f t="shared" si="419"/>
        <v>-1000</v>
      </c>
      <c r="H19069" s="705" t="s">
        <v>12833</v>
      </c>
    </row>
    <row r="19070" spans="1:8" ht="15" x14ac:dyDescent="0.2">
      <c r="A19070" s="734">
        <v>45386</v>
      </c>
      <c r="B19070" s="63" t="s">
        <v>11089</v>
      </c>
      <c r="C19070" s="63" t="s">
        <v>392</v>
      </c>
      <c r="D19070" s="183" t="s">
        <v>12855</v>
      </c>
      <c r="E19070" s="126">
        <v>1500</v>
      </c>
      <c r="F19070" s="126"/>
      <c r="G19070" s="126">
        <f t="shared" si="419"/>
        <v>-1500</v>
      </c>
      <c r="H19070" s="705" t="s">
        <v>12833</v>
      </c>
    </row>
    <row r="19071" spans="1:8" ht="15" x14ac:dyDescent="0.2">
      <c r="A19071" s="734">
        <v>45386</v>
      </c>
      <c r="B19071" s="41" t="s">
        <v>11897</v>
      </c>
      <c r="C19071" s="63" t="s">
        <v>11386</v>
      </c>
      <c r="D19071" s="108" t="s">
        <v>6927</v>
      </c>
      <c r="E19071" s="58">
        <v>50000</v>
      </c>
      <c r="F19071" s="58"/>
      <c r="G19071" s="126">
        <f t="shared" si="419"/>
        <v>-50000</v>
      </c>
      <c r="H19071" s="705" t="s">
        <v>12833</v>
      </c>
    </row>
    <row r="19072" spans="1:8" ht="15" x14ac:dyDescent="0.2">
      <c r="A19072" s="734">
        <v>45386</v>
      </c>
      <c r="B19072" s="41" t="s">
        <v>11897</v>
      </c>
      <c r="C19072" s="63" t="s">
        <v>10993</v>
      </c>
      <c r="D19072" s="108" t="s">
        <v>12856</v>
      </c>
      <c r="E19072" s="58">
        <v>4900</v>
      </c>
      <c r="F19072" s="58"/>
      <c r="G19072" s="126">
        <f t="shared" si="419"/>
        <v>-4900</v>
      </c>
      <c r="H19072" s="705" t="s">
        <v>12833</v>
      </c>
    </row>
    <row r="19073" spans="1:8" ht="15" x14ac:dyDescent="0.2">
      <c r="A19073" s="734">
        <v>45386</v>
      </c>
      <c r="B19073" s="41" t="s">
        <v>25</v>
      </c>
      <c r="C19073" s="63" t="s">
        <v>392</v>
      </c>
      <c r="D19073" s="108" t="s">
        <v>2108</v>
      </c>
      <c r="E19073" s="58">
        <v>1500</v>
      </c>
      <c r="F19073" s="58"/>
      <c r="G19073" s="126">
        <f t="shared" si="419"/>
        <v>-1500</v>
      </c>
      <c r="H19073" s="705" t="s">
        <v>12833</v>
      </c>
    </row>
    <row r="19074" spans="1:8" ht="15" x14ac:dyDescent="0.2">
      <c r="A19074" s="734">
        <v>45386</v>
      </c>
      <c r="B19074" s="41" t="s">
        <v>11897</v>
      </c>
      <c r="C19074" s="63" t="s">
        <v>11029</v>
      </c>
      <c r="D19074" s="108" t="s">
        <v>12866</v>
      </c>
      <c r="E19074" s="58">
        <v>50000</v>
      </c>
      <c r="F19074" s="58"/>
      <c r="G19074" s="126">
        <f t="shared" ref="G19074:G19077" si="420">F19074-E19074</f>
        <v>-50000</v>
      </c>
      <c r="H19074" s="705" t="s">
        <v>12833</v>
      </c>
    </row>
    <row r="19075" spans="1:8" ht="15" x14ac:dyDescent="0.2">
      <c r="A19075" s="734">
        <v>45386</v>
      </c>
      <c r="B19075" s="41" t="s">
        <v>11089</v>
      </c>
      <c r="C19075" s="63" t="s">
        <v>6784</v>
      </c>
      <c r="D19075" s="108" t="s">
        <v>12867</v>
      </c>
      <c r="E19075" s="58">
        <v>200000</v>
      </c>
      <c r="F19075" s="58"/>
      <c r="G19075" s="126">
        <f t="shared" si="420"/>
        <v>-200000</v>
      </c>
      <c r="H19075" s="705" t="s">
        <v>12833</v>
      </c>
    </row>
    <row r="19076" spans="1:8" ht="15" x14ac:dyDescent="0.2">
      <c r="A19076" s="734">
        <v>45386</v>
      </c>
      <c r="B19076" s="41" t="s">
        <v>3946</v>
      </c>
      <c r="C19076" s="63" t="s">
        <v>12865</v>
      </c>
      <c r="D19076" s="108" t="s">
        <v>12868</v>
      </c>
      <c r="E19076" s="58">
        <v>100000</v>
      </c>
      <c r="F19076" s="58"/>
      <c r="G19076" s="126">
        <f t="shared" si="420"/>
        <v>-100000</v>
      </c>
      <c r="H19076" s="705" t="s">
        <v>12833</v>
      </c>
    </row>
    <row r="19077" spans="1:8" ht="15" x14ac:dyDescent="0.2">
      <c r="A19077" s="734">
        <v>45386</v>
      </c>
      <c r="B19077" s="41" t="s">
        <v>11897</v>
      </c>
      <c r="C19077" s="63" t="s">
        <v>12027</v>
      </c>
      <c r="D19077" s="108" t="s">
        <v>12767</v>
      </c>
      <c r="E19077" s="58">
        <v>700000</v>
      </c>
      <c r="F19077" s="58"/>
      <c r="G19077" s="126">
        <f t="shared" si="420"/>
        <v>-700000</v>
      </c>
      <c r="H19077" s="705" t="s">
        <v>12833</v>
      </c>
    </row>
    <row r="19078" spans="1:8" ht="15" x14ac:dyDescent="0.2">
      <c r="A19078" s="734">
        <v>45387</v>
      </c>
      <c r="B19078" s="41" t="s">
        <v>103</v>
      </c>
      <c r="C19078" s="63" t="s">
        <v>392</v>
      </c>
      <c r="D19078" s="108" t="s">
        <v>12871</v>
      </c>
      <c r="E19078" s="58">
        <v>1000</v>
      </c>
      <c r="F19078" s="58"/>
      <c r="G19078" s="126">
        <f t="shared" ref="G19078:G19086" si="421">F19078-E19078</f>
        <v>-1000</v>
      </c>
      <c r="H19078" s="705" t="s">
        <v>12833</v>
      </c>
    </row>
    <row r="19079" spans="1:8" ht="15" x14ac:dyDescent="0.2">
      <c r="A19079" s="734">
        <v>45387</v>
      </c>
      <c r="B19079" s="41" t="s">
        <v>8559</v>
      </c>
      <c r="C19079" s="63" t="s">
        <v>3104</v>
      </c>
      <c r="D19079" s="108" t="s">
        <v>6927</v>
      </c>
      <c r="E19079" s="58">
        <v>65250</v>
      </c>
      <c r="F19079" s="58"/>
      <c r="G19079" s="126">
        <f t="shared" si="421"/>
        <v>-65250</v>
      </c>
      <c r="H19079" s="705" t="s">
        <v>12833</v>
      </c>
    </row>
    <row r="19080" spans="1:8" ht="15" x14ac:dyDescent="0.2">
      <c r="A19080" s="734">
        <v>45387</v>
      </c>
      <c r="B19080" s="41" t="s">
        <v>9356</v>
      </c>
      <c r="C19080" s="63" t="s">
        <v>12442</v>
      </c>
      <c r="D19080" s="108" t="s">
        <v>6927</v>
      </c>
      <c r="E19080" s="58">
        <v>25000</v>
      </c>
      <c r="F19080" s="58"/>
      <c r="G19080" s="126">
        <f t="shared" si="421"/>
        <v>-25000</v>
      </c>
      <c r="H19080" s="705" t="s">
        <v>12833</v>
      </c>
    </row>
    <row r="19081" spans="1:8" ht="15" x14ac:dyDescent="0.2">
      <c r="A19081" s="734">
        <v>45387</v>
      </c>
      <c r="B19081" s="41" t="s">
        <v>11738</v>
      </c>
      <c r="C19081" s="63" t="s">
        <v>794</v>
      </c>
      <c r="D19081" s="108" t="s">
        <v>12872</v>
      </c>
      <c r="E19081" s="58">
        <v>24650</v>
      </c>
      <c r="F19081" s="58"/>
      <c r="G19081" s="126">
        <f t="shared" si="421"/>
        <v>-24650</v>
      </c>
      <c r="H19081" s="705" t="s">
        <v>12833</v>
      </c>
    </row>
    <row r="19082" spans="1:8" ht="15" x14ac:dyDescent="0.2">
      <c r="A19082" s="734">
        <v>45387</v>
      </c>
      <c r="B19082" s="41" t="s">
        <v>3946</v>
      </c>
      <c r="C19082" s="63" t="s">
        <v>794</v>
      </c>
      <c r="D19082" s="108" t="s">
        <v>12873</v>
      </c>
      <c r="E19082" s="58">
        <v>1200</v>
      </c>
      <c r="F19082" s="58"/>
      <c r="G19082" s="126">
        <f t="shared" si="421"/>
        <v>-1200</v>
      </c>
      <c r="H19082" s="705" t="s">
        <v>12833</v>
      </c>
    </row>
    <row r="19083" spans="1:8" ht="15" x14ac:dyDescent="0.2">
      <c r="A19083" s="734">
        <v>45387</v>
      </c>
      <c r="B19083" s="41" t="s">
        <v>12818</v>
      </c>
      <c r="C19083" s="63" t="s">
        <v>5410</v>
      </c>
      <c r="D19083" s="108" t="s">
        <v>12424</v>
      </c>
      <c r="E19083" s="58">
        <v>5000</v>
      </c>
      <c r="F19083" s="58"/>
      <c r="G19083" s="126">
        <f t="shared" si="421"/>
        <v>-5000</v>
      </c>
      <c r="H19083" s="705" t="s">
        <v>12833</v>
      </c>
    </row>
    <row r="19084" spans="1:8" ht="15" x14ac:dyDescent="0.2">
      <c r="A19084" s="734">
        <v>45388</v>
      </c>
      <c r="B19084" s="41" t="s">
        <v>11897</v>
      </c>
      <c r="C19084" s="63" t="s">
        <v>11291</v>
      </c>
      <c r="D19084" s="108" t="s">
        <v>10721</v>
      </c>
      <c r="E19084" s="58">
        <v>130000</v>
      </c>
      <c r="F19084" s="58"/>
      <c r="G19084" s="126">
        <f t="shared" si="421"/>
        <v>-130000</v>
      </c>
      <c r="H19084" s="705" t="s">
        <v>12833</v>
      </c>
    </row>
    <row r="19085" spans="1:8" ht="24" x14ac:dyDescent="0.2">
      <c r="A19085" s="734">
        <v>45388</v>
      </c>
      <c r="B19085" s="41" t="s">
        <v>9356</v>
      </c>
      <c r="C19085" s="63" t="s">
        <v>10993</v>
      </c>
      <c r="D19085" s="183" t="s">
        <v>12881</v>
      </c>
      <c r="E19085" s="126">
        <v>45000</v>
      </c>
      <c r="F19085" s="58"/>
      <c r="G19085" s="126">
        <f t="shared" si="421"/>
        <v>-45000</v>
      </c>
      <c r="H19085" s="705" t="s">
        <v>12833</v>
      </c>
    </row>
    <row r="19086" spans="1:8" ht="15" x14ac:dyDescent="0.2">
      <c r="A19086" s="734">
        <v>45388</v>
      </c>
      <c r="B19086" s="41" t="s">
        <v>11897</v>
      </c>
      <c r="C19086" s="63" t="s">
        <v>11898</v>
      </c>
      <c r="D19086" s="183" t="s">
        <v>12302</v>
      </c>
      <c r="E19086" s="126">
        <v>250000</v>
      </c>
      <c r="F19086" s="58"/>
      <c r="G19086" s="126">
        <f t="shared" si="421"/>
        <v>-250000</v>
      </c>
      <c r="H19086" s="705" t="s">
        <v>12833</v>
      </c>
    </row>
    <row r="19087" spans="1:8" ht="15" x14ac:dyDescent="0.2">
      <c r="A19087" s="734">
        <v>45388</v>
      </c>
      <c r="B19087" s="41" t="s">
        <v>11897</v>
      </c>
      <c r="C19087" s="63" t="s">
        <v>10993</v>
      </c>
      <c r="D19087" s="108" t="s">
        <v>10166</v>
      </c>
      <c r="E19087" s="58">
        <v>11650</v>
      </c>
      <c r="F19087" s="58"/>
      <c r="G19087" s="126">
        <f t="shared" ref="G19087:G19092" si="422">F19087-E19087</f>
        <v>-11650</v>
      </c>
      <c r="H19087" s="705" t="s">
        <v>12833</v>
      </c>
    </row>
    <row r="19088" spans="1:8" ht="15" x14ac:dyDescent="0.2">
      <c r="A19088" s="734">
        <v>45388</v>
      </c>
      <c r="B19088" s="41" t="s">
        <v>11089</v>
      </c>
      <c r="C19088" s="63" t="s">
        <v>11975</v>
      </c>
      <c r="D19088" s="108" t="s">
        <v>6927</v>
      </c>
      <c r="E19088" s="58">
        <v>30000</v>
      </c>
      <c r="F19088" s="58"/>
      <c r="G19088" s="126">
        <f t="shared" si="422"/>
        <v>-30000</v>
      </c>
      <c r="H19088" s="705" t="s">
        <v>12833</v>
      </c>
    </row>
    <row r="19089" spans="1:8" ht="15" x14ac:dyDescent="0.2">
      <c r="A19089" s="734">
        <v>45388</v>
      </c>
      <c r="B19089" s="41" t="s">
        <v>11897</v>
      </c>
      <c r="C19089" s="63" t="s">
        <v>286</v>
      </c>
      <c r="D19089" s="108" t="s">
        <v>8663</v>
      </c>
      <c r="E19089" s="58">
        <v>1000</v>
      </c>
      <c r="F19089" s="58"/>
      <c r="G19089" s="126">
        <f t="shared" si="422"/>
        <v>-1000</v>
      </c>
      <c r="H19089" s="705" t="s">
        <v>12833</v>
      </c>
    </row>
    <row r="19090" spans="1:8" ht="15" x14ac:dyDescent="0.2">
      <c r="A19090" s="734">
        <v>45388</v>
      </c>
      <c r="B19090" s="41" t="s">
        <v>11897</v>
      </c>
      <c r="C19090" s="63" t="s">
        <v>5741</v>
      </c>
      <c r="D19090" s="108" t="s">
        <v>370</v>
      </c>
      <c r="E19090" s="58">
        <v>2000</v>
      </c>
      <c r="F19090" s="58"/>
      <c r="G19090" s="126">
        <f t="shared" si="422"/>
        <v>-2000</v>
      </c>
      <c r="H19090" s="705" t="s">
        <v>12833</v>
      </c>
    </row>
    <row r="19091" spans="1:8" ht="15" x14ac:dyDescent="0.2">
      <c r="A19091" s="734">
        <v>45388</v>
      </c>
      <c r="B19091" s="41" t="s">
        <v>11897</v>
      </c>
      <c r="C19091" s="63" t="s">
        <v>12882</v>
      </c>
      <c r="D19091" s="108" t="s">
        <v>12883</v>
      </c>
      <c r="E19091" s="58">
        <v>3600</v>
      </c>
      <c r="F19091" s="58"/>
      <c r="G19091" s="126">
        <f t="shared" si="422"/>
        <v>-3600</v>
      </c>
      <c r="H19091" s="705" t="s">
        <v>12833</v>
      </c>
    </row>
    <row r="19092" spans="1:8" ht="15" x14ac:dyDescent="0.2">
      <c r="A19092" s="734">
        <v>45388</v>
      </c>
      <c r="B19092" s="41" t="s">
        <v>12634</v>
      </c>
      <c r="C19092" s="63" t="s">
        <v>6476</v>
      </c>
      <c r="D19092" s="108" t="s">
        <v>6927</v>
      </c>
      <c r="E19092" s="58">
        <v>100000</v>
      </c>
      <c r="F19092" s="58"/>
      <c r="G19092" s="126">
        <f t="shared" si="422"/>
        <v>-100000</v>
      </c>
      <c r="H19092" s="705" t="s">
        <v>12833</v>
      </c>
    </row>
    <row r="19093" spans="1:8" ht="15" x14ac:dyDescent="0.2">
      <c r="A19093" s="734">
        <v>45388</v>
      </c>
      <c r="B19093" s="41" t="s">
        <v>103</v>
      </c>
      <c r="C19093" s="63" t="s">
        <v>9731</v>
      </c>
      <c r="D19093" s="108" t="s">
        <v>12893</v>
      </c>
      <c r="E19093" s="58">
        <v>4000</v>
      </c>
      <c r="F19093" s="58"/>
      <c r="G19093" s="126">
        <f t="shared" ref="G19093" si="423">F19093-E19093</f>
        <v>-4000</v>
      </c>
      <c r="H19093" s="705" t="s">
        <v>12833</v>
      </c>
    </row>
    <row r="19094" spans="1:8" ht="15" x14ac:dyDescent="0.2">
      <c r="A19094" s="734">
        <v>45389</v>
      </c>
      <c r="B19094" s="41" t="s">
        <v>11897</v>
      </c>
      <c r="C19094" s="63" t="s">
        <v>11898</v>
      </c>
      <c r="D19094" s="183" t="s">
        <v>12302</v>
      </c>
      <c r="E19094" s="126">
        <v>250000</v>
      </c>
      <c r="F19094" s="58"/>
      <c r="G19094" s="126">
        <f t="shared" ref="G19094:G19095" si="424">F19094-E19094</f>
        <v>-250000</v>
      </c>
      <c r="H19094" s="705" t="s">
        <v>12833</v>
      </c>
    </row>
    <row r="19095" spans="1:8" ht="15" x14ac:dyDescent="0.2">
      <c r="A19095" s="734">
        <v>45389</v>
      </c>
      <c r="B19095" s="41" t="s">
        <v>103</v>
      </c>
      <c r="C19095" s="63" t="s">
        <v>12887</v>
      </c>
      <c r="D19095" s="108" t="s">
        <v>12888</v>
      </c>
      <c r="E19095" s="58">
        <v>50000</v>
      </c>
      <c r="F19095" s="58"/>
      <c r="G19095" s="126">
        <f t="shared" si="424"/>
        <v>-50000</v>
      </c>
      <c r="H19095" s="705" t="s">
        <v>12833</v>
      </c>
    </row>
    <row r="19096" spans="1:8" ht="15" x14ac:dyDescent="0.2">
      <c r="A19096" s="734">
        <v>45390</v>
      </c>
      <c r="B19096" s="41" t="s">
        <v>11897</v>
      </c>
      <c r="C19096" s="63" t="s">
        <v>12027</v>
      </c>
      <c r="D19096" s="108" t="s">
        <v>12889</v>
      </c>
      <c r="E19096" s="58">
        <v>200000</v>
      </c>
      <c r="F19096" s="58"/>
      <c r="G19096" s="126">
        <f t="shared" ref="G19096:G19099" si="425">F19096-E19096</f>
        <v>-200000</v>
      </c>
      <c r="H19096" s="705" t="s">
        <v>12833</v>
      </c>
    </row>
    <row r="19097" spans="1:8" ht="15" x14ac:dyDescent="0.2">
      <c r="A19097" s="734">
        <v>45390</v>
      </c>
      <c r="B19097" s="41" t="s">
        <v>11897</v>
      </c>
      <c r="C19097" s="63" t="s">
        <v>11291</v>
      </c>
      <c r="D19097" s="108" t="s">
        <v>12890</v>
      </c>
      <c r="E19097" s="58">
        <v>40000</v>
      </c>
      <c r="F19097" s="58"/>
      <c r="G19097" s="126">
        <f t="shared" si="425"/>
        <v>-40000</v>
      </c>
      <c r="H19097" s="705" t="s">
        <v>12833</v>
      </c>
    </row>
    <row r="19098" spans="1:8" ht="15" x14ac:dyDescent="0.2">
      <c r="A19098" s="734">
        <v>45390</v>
      </c>
      <c r="B19098" s="41" t="s">
        <v>11897</v>
      </c>
      <c r="C19098" s="63" t="s">
        <v>11536</v>
      </c>
      <c r="D19098" s="108" t="s">
        <v>12891</v>
      </c>
      <c r="E19098" s="58">
        <v>100000</v>
      </c>
      <c r="F19098" s="58"/>
      <c r="G19098" s="126">
        <f t="shared" si="425"/>
        <v>-100000</v>
      </c>
      <c r="H19098" s="705" t="s">
        <v>12833</v>
      </c>
    </row>
    <row r="19099" spans="1:8" ht="15" x14ac:dyDescent="0.2">
      <c r="A19099" s="734">
        <v>45390</v>
      </c>
      <c r="B19099" s="41" t="s">
        <v>12786</v>
      </c>
      <c r="C19099" s="63" t="s">
        <v>12104</v>
      </c>
      <c r="D19099" s="108" t="s">
        <v>12892</v>
      </c>
      <c r="E19099" s="58">
        <v>200000</v>
      </c>
      <c r="F19099" s="58"/>
      <c r="G19099" s="126">
        <f t="shared" si="425"/>
        <v>-200000</v>
      </c>
      <c r="H19099" s="705" t="s">
        <v>12833</v>
      </c>
    </row>
    <row r="19100" spans="1:8" ht="15" x14ac:dyDescent="0.2">
      <c r="A19100" s="734">
        <v>45388</v>
      </c>
      <c r="B19100" s="41" t="s">
        <v>11738</v>
      </c>
      <c r="C19100" s="63" t="s">
        <v>10993</v>
      </c>
      <c r="D19100" s="108" t="s">
        <v>12894</v>
      </c>
      <c r="E19100" s="58">
        <v>6350</v>
      </c>
      <c r="F19100" s="58"/>
      <c r="G19100" s="126">
        <f t="shared" ref="G19100:G19131" si="426">F19100-E19100</f>
        <v>-6350</v>
      </c>
      <c r="H19100" s="705" t="s">
        <v>12833</v>
      </c>
    </row>
    <row r="19101" spans="1:8" ht="15" x14ac:dyDescent="0.2">
      <c r="A19101" s="734">
        <v>45388</v>
      </c>
      <c r="B19101" s="41" t="s">
        <v>11738</v>
      </c>
      <c r="C19101" s="63" t="s">
        <v>10993</v>
      </c>
      <c r="D19101" s="108" t="s">
        <v>12895</v>
      </c>
      <c r="E19101" s="58">
        <v>4840</v>
      </c>
      <c r="F19101" s="58"/>
      <c r="G19101" s="126">
        <f t="shared" si="426"/>
        <v>-4840</v>
      </c>
      <c r="H19101" s="705" t="s">
        <v>12833</v>
      </c>
    </row>
    <row r="19102" spans="1:8" ht="15" x14ac:dyDescent="0.2">
      <c r="A19102" s="734">
        <v>45388</v>
      </c>
      <c r="B19102" s="41" t="s">
        <v>11738</v>
      </c>
      <c r="C19102" s="63" t="s">
        <v>10993</v>
      </c>
      <c r="D19102" s="108" t="s">
        <v>12896</v>
      </c>
      <c r="E19102" s="58">
        <v>1300</v>
      </c>
      <c r="F19102" s="58"/>
      <c r="G19102" s="126">
        <f t="shared" si="426"/>
        <v>-1300</v>
      </c>
      <c r="H19102" s="705" t="s">
        <v>12833</v>
      </c>
    </row>
    <row r="19103" spans="1:8" ht="15" x14ac:dyDescent="0.2">
      <c r="A19103" s="734">
        <v>45388</v>
      </c>
      <c r="B19103" s="41" t="s">
        <v>25</v>
      </c>
      <c r="C19103" s="63" t="s">
        <v>4065</v>
      </c>
      <c r="D19103" s="108" t="s">
        <v>12897</v>
      </c>
      <c r="E19103" s="58">
        <v>950</v>
      </c>
      <c r="F19103" s="58"/>
      <c r="G19103" s="126">
        <f t="shared" si="426"/>
        <v>-950</v>
      </c>
      <c r="H19103" s="705" t="s">
        <v>12833</v>
      </c>
    </row>
    <row r="19104" spans="1:8" ht="15" x14ac:dyDescent="0.2">
      <c r="A19104" s="734">
        <v>45388</v>
      </c>
      <c r="B19104" s="41" t="s">
        <v>25</v>
      </c>
      <c r="C19104" s="63" t="s">
        <v>4065</v>
      </c>
      <c r="D19104" s="108" t="s">
        <v>7938</v>
      </c>
      <c r="E19104" s="58">
        <v>1500</v>
      </c>
      <c r="F19104" s="58"/>
      <c r="G19104" s="126">
        <f t="shared" si="426"/>
        <v>-1500</v>
      </c>
      <c r="H19104" s="705" t="s">
        <v>12833</v>
      </c>
    </row>
    <row r="19105" spans="1:8" ht="15" x14ac:dyDescent="0.2">
      <c r="A19105" s="734">
        <v>45388</v>
      </c>
      <c r="B19105" s="41" t="s">
        <v>11897</v>
      </c>
      <c r="C19105" s="63" t="s">
        <v>5387</v>
      </c>
      <c r="D19105" s="108" t="s">
        <v>12898</v>
      </c>
      <c r="E19105" s="58">
        <v>3300</v>
      </c>
      <c r="F19105" s="58"/>
      <c r="G19105" s="126">
        <f t="shared" si="426"/>
        <v>-3300</v>
      </c>
      <c r="H19105" s="705" t="s">
        <v>12833</v>
      </c>
    </row>
    <row r="19106" spans="1:8" ht="15" x14ac:dyDescent="0.2">
      <c r="A19106" s="734">
        <v>45388</v>
      </c>
      <c r="B19106" s="41" t="s">
        <v>11897</v>
      </c>
      <c r="C19106" s="63" t="s">
        <v>5741</v>
      </c>
      <c r="D19106" s="108" t="s">
        <v>370</v>
      </c>
      <c r="E19106" s="58">
        <v>800</v>
      </c>
      <c r="F19106" s="58"/>
      <c r="G19106" s="126">
        <f t="shared" si="426"/>
        <v>-800</v>
      </c>
      <c r="H19106" s="705" t="s">
        <v>12833</v>
      </c>
    </row>
    <row r="19107" spans="1:8" ht="15" x14ac:dyDescent="0.2">
      <c r="A19107" s="734">
        <v>45388</v>
      </c>
      <c r="B19107" s="41" t="s">
        <v>11089</v>
      </c>
      <c r="C19107" s="63" t="s">
        <v>5741</v>
      </c>
      <c r="D19107" s="108" t="s">
        <v>11532</v>
      </c>
      <c r="E19107" s="58">
        <v>3500</v>
      </c>
      <c r="F19107" s="58"/>
      <c r="G19107" s="126">
        <f t="shared" si="426"/>
        <v>-3500</v>
      </c>
      <c r="H19107" s="705" t="s">
        <v>12833</v>
      </c>
    </row>
    <row r="19108" spans="1:8" ht="15" x14ac:dyDescent="0.2">
      <c r="A19108" s="734">
        <v>45388</v>
      </c>
      <c r="B19108" s="41" t="s">
        <v>10908</v>
      </c>
      <c r="C19108" s="63" t="s">
        <v>5741</v>
      </c>
      <c r="D19108" s="108" t="s">
        <v>370</v>
      </c>
      <c r="E19108" s="58">
        <v>900</v>
      </c>
      <c r="F19108" s="58"/>
      <c r="G19108" s="126">
        <f t="shared" si="426"/>
        <v>-900</v>
      </c>
      <c r="H19108" s="705" t="s">
        <v>12833</v>
      </c>
    </row>
    <row r="19109" spans="1:8" ht="15" x14ac:dyDescent="0.2">
      <c r="A19109" s="734">
        <v>45388</v>
      </c>
      <c r="B19109" s="41" t="s">
        <v>103</v>
      </c>
      <c r="C19109" s="63" t="s">
        <v>103</v>
      </c>
      <c r="D19109" s="108" t="s">
        <v>12557</v>
      </c>
      <c r="E19109" s="58">
        <v>2000</v>
      </c>
      <c r="F19109" s="58"/>
      <c r="G19109" s="126">
        <f t="shared" si="426"/>
        <v>-2000</v>
      </c>
      <c r="H19109" s="705" t="s">
        <v>12833</v>
      </c>
    </row>
    <row r="19110" spans="1:8" ht="15" x14ac:dyDescent="0.2">
      <c r="A19110" s="734">
        <v>45388</v>
      </c>
      <c r="B19110" s="41" t="s">
        <v>11897</v>
      </c>
      <c r="C19110" s="63" t="s">
        <v>5741</v>
      </c>
      <c r="D19110" s="108" t="s">
        <v>370</v>
      </c>
      <c r="E19110" s="58">
        <v>2300</v>
      </c>
      <c r="F19110" s="58"/>
      <c r="G19110" s="126">
        <f t="shared" si="426"/>
        <v>-2300</v>
      </c>
      <c r="H19110" s="705" t="s">
        <v>12833</v>
      </c>
    </row>
    <row r="19111" spans="1:8" ht="15" x14ac:dyDescent="0.2">
      <c r="A19111" s="734">
        <v>45388</v>
      </c>
      <c r="B19111" s="41" t="s">
        <v>12827</v>
      </c>
      <c r="C19111" s="63" t="s">
        <v>5741</v>
      </c>
      <c r="D19111" s="108" t="s">
        <v>370</v>
      </c>
      <c r="E19111" s="58">
        <v>600</v>
      </c>
      <c r="F19111" s="58"/>
      <c r="G19111" s="126">
        <f t="shared" si="426"/>
        <v>-600</v>
      </c>
      <c r="H19111" s="705" t="s">
        <v>12833</v>
      </c>
    </row>
    <row r="19112" spans="1:8" ht="15" x14ac:dyDescent="0.2">
      <c r="A19112" s="734">
        <v>45388</v>
      </c>
      <c r="B19112" s="41" t="s">
        <v>103</v>
      </c>
      <c r="C19112" s="63" t="s">
        <v>10993</v>
      </c>
      <c r="D19112" s="108" t="s">
        <v>12899</v>
      </c>
      <c r="E19112" s="58">
        <v>900</v>
      </c>
      <c r="F19112" s="58"/>
      <c r="G19112" s="126">
        <f t="shared" si="426"/>
        <v>-900</v>
      </c>
      <c r="H19112" s="705" t="s">
        <v>12833</v>
      </c>
    </row>
    <row r="19113" spans="1:8" ht="15" x14ac:dyDescent="0.2">
      <c r="A19113" s="734">
        <v>45388</v>
      </c>
      <c r="B19113" s="41" t="s">
        <v>11089</v>
      </c>
      <c r="C19113" s="63" t="s">
        <v>286</v>
      </c>
      <c r="D19113" s="108" t="s">
        <v>8663</v>
      </c>
      <c r="E19113" s="58">
        <v>1000</v>
      </c>
      <c r="F19113" s="58"/>
      <c r="G19113" s="126">
        <f t="shared" si="426"/>
        <v>-1000</v>
      </c>
      <c r="H19113" s="705" t="s">
        <v>12833</v>
      </c>
    </row>
    <row r="19114" spans="1:8" ht="15" x14ac:dyDescent="0.2">
      <c r="A19114" s="734">
        <v>45391</v>
      </c>
      <c r="B19114" s="41" t="s">
        <v>11738</v>
      </c>
      <c r="C19114" s="551" t="s">
        <v>12307</v>
      </c>
      <c r="D19114" s="893" t="s">
        <v>12900</v>
      </c>
      <c r="E19114" s="583">
        <v>8000</v>
      </c>
      <c r="F19114" s="58"/>
      <c r="G19114" s="126">
        <f t="shared" si="426"/>
        <v>-8000</v>
      </c>
      <c r="H19114" s="705" t="s">
        <v>12833</v>
      </c>
    </row>
    <row r="19115" spans="1:8" ht="15" x14ac:dyDescent="0.2">
      <c r="A19115" s="734">
        <v>45391</v>
      </c>
      <c r="B19115" s="41" t="s">
        <v>10471</v>
      </c>
      <c r="C19115" s="551" t="s">
        <v>12307</v>
      </c>
      <c r="D19115" s="893" t="s">
        <v>12900</v>
      </c>
      <c r="E19115" s="583">
        <v>8000</v>
      </c>
      <c r="F19115" s="58"/>
      <c r="G19115" s="126">
        <f t="shared" si="426"/>
        <v>-8000</v>
      </c>
      <c r="H19115" s="705" t="s">
        <v>12833</v>
      </c>
    </row>
    <row r="19116" spans="1:8" ht="15" x14ac:dyDescent="0.2">
      <c r="A19116" s="734">
        <v>45391</v>
      </c>
      <c r="B19116" s="41" t="s">
        <v>8043</v>
      </c>
      <c r="C19116" s="551" t="s">
        <v>12307</v>
      </c>
      <c r="D19116" s="893" t="s">
        <v>12900</v>
      </c>
      <c r="E19116" s="583">
        <v>8000</v>
      </c>
      <c r="F19116" s="58"/>
      <c r="G19116" s="126">
        <f t="shared" si="426"/>
        <v>-8000</v>
      </c>
      <c r="H19116" s="705" t="s">
        <v>12833</v>
      </c>
    </row>
    <row r="19117" spans="1:8" ht="15" x14ac:dyDescent="0.2">
      <c r="A19117" s="734">
        <v>45391</v>
      </c>
      <c r="B19117" s="41" t="s">
        <v>8876</v>
      </c>
      <c r="C19117" s="551" t="s">
        <v>12307</v>
      </c>
      <c r="D19117" s="893" t="s">
        <v>12900</v>
      </c>
      <c r="E19117" s="583">
        <v>4000</v>
      </c>
      <c r="F19117" s="58"/>
      <c r="G19117" s="126">
        <f t="shared" si="426"/>
        <v>-4000</v>
      </c>
      <c r="H19117" s="705" t="s">
        <v>12833</v>
      </c>
    </row>
    <row r="19118" spans="1:8" ht="15" x14ac:dyDescent="0.2">
      <c r="A19118" s="734">
        <v>45391</v>
      </c>
      <c r="B19118" s="41" t="s">
        <v>11026</v>
      </c>
      <c r="C19118" s="551" t="s">
        <v>12307</v>
      </c>
      <c r="D19118" s="893" t="s">
        <v>12900</v>
      </c>
      <c r="E19118" s="583">
        <v>12000</v>
      </c>
      <c r="F19118" s="58"/>
      <c r="G19118" s="126">
        <f t="shared" si="426"/>
        <v>-12000</v>
      </c>
      <c r="H19118" s="705" t="s">
        <v>12833</v>
      </c>
    </row>
    <row r="19119" spans="1:8" ht="15" x14ac:dyDescent="0.2">
      <c r="A19119" s="734">
        <v>45391</v>
      </c>
      <c r="B19119" s="41" t="s">
        <v>11093</v>
      </c>
      <c r="C19119" s="551" t="s">
        <v>12307</v>
      </c>
      <c r="D19119" s="893" t="s">
        <v>12900</v>
      </c>
      <c r="E19119" s="583">
        <v>20000</v>
      </c>
      <c r="F19119" s="58"/>
      <c r="G19119" s="126">
        <f t="shared" si="426"/>
        <v>-20000</v>
      </c>
      <c r="H19119" s="705" t="s">
        <v>12833</v>
      </c>
    </row>
    <row r="19120" spans="1:8" ht="15" x14ac:dyDescent="0.2">
      <c r="A19120" s="734">
        <v>45391</v>
      </c>
      <c r="B19120" s="41" t="s">
        <v>12532</v>
      </c>
      <c r="C19120" s="670" t="s">
        <v>3033</v>
      </c>
      <c r="D19120" s="913" t="s">
        <v>12904</v>
      </c>
      <c r="E19120" s="585">
        <v>18000</v>
      </c>
      <c r="F19120" s="58"/>
      <c r="G19120" s="126">
        <f t="shared" si="426"/>
        <v>-18000</v>
      </c>
      <c r="H19120" s="705" t="s">
        <v>12833</v>
      </c>
    </row>
    <row r="19121" spans="1:8" ht="15" x14ac:dyDescent="0.2">
      <c r="A19121" s="734">
        <v>45391</v>
      </c>
      <c r="B19121" s="41" t="s">
        <v>10776</v>
      </c>
      <c r="C19121" s="670" t="s">
        <v>3033</v>
      </c>
      <c r="D19121" s="913" t="s">
        <v>12904</v>
      </c>
      <c r="E19121" s="585">
        <v>7000</v>
      </c>
      <c r="F19121" s="58"/>
      <c r="G19121" s="126">
        <f t="shared" si="426"/>
        <v>-7000</v>
      </c>
      <c r="H19121" s="705" t="s">
        <v>12833</v>
      </c>
    </row>
    <row r="19122" spans="1:8" ht="15" x14ac:dyDescent="0.2">
      <c r="A19122" s="734">
        <v>45391</v>
      </c>
      <c r="B19122" s="41" t="s">
        <v>11089</v>
      </c>
      <c r="C19122" s="63" t="s">
        <v>12472</v>
      </c>
      <c r="D19122" s="108" t="s">
        <v>12824</v>
      </c>
      <c r="E19122" s="58">
        <v>15000</v>
      </c>
      <c r="F19122" s="58"/>
      <c r="G19122" s="126">
        <f t="shared" si="426"/>
        <v>-15000</v>
      </c>
      <c r="H19122" s="705" t="s">
        <v>12833</v>
      </c>
    </row>
    <row r="19123" spans="1:8" ht="15" x14ac:dyDescent="0.2">
      <c r="A19123" s="734">
        <v>45391</v>
      </c>
      <c r="B19123" s="41" t="s">
        <v>12372</v>
      </c>
      <c r="C19123" s="63" t="s">
        <v>12539</v>
      </c>
      <c r="D19123" s="108" t="s">
        <v>12824</v>
      </c>
      <c r="E19123" s="58">
        <v>25000</v>
      </c>
      <c r="F19123" s="58"/>
      <c r="G19123" s="126">
        <f t="shared" si="426"/>
        <v>-25000</v>
      </c>
      <c r="H19123" s="705" t="s">
        <v>12833</v>
      </c>
    </row>
    <row r="19124" spans="1:8" ht="15" x14ac:dyDescent="0.2">
      <c r="A19124" s="734">
        <v>45391</v>
      </c>
      <c r="B19124" s="41" t="s">
        <v>6505</v>
      </c>
      <c r="C19124" s="63" t="s">
        <v>10993</v>
      </c>
      <c r="D19124" s="108" t="s">
        <v>4694</v>
      </c>
      <c r="E19124" s="58">
        <v>22000</v>
      </c>
      <c r="F19124" s="58"/>
      <c r="G19124" s="126">
        <f t="shared" si="426"/>
        <v>-22000</v>
      </c>
      <c r="H19124" s="705" t="s">
        <v>12833</v>
      </c>
    </row>
    <row r="19125" spans="1:8" ht="15" x14ac:dyDescent="0.2">
      <c r="A19125" s="734">
        <v>45391</v>
      </c>
      <c r="B19125" s="41" t="s">
        <v>12827</v>
      </c>
      <c r="C19125" s="63" t="s">
        <v>12016</v>
      </c>
      <c r="D19125" s="108" t="s">
        <v>12901</v>
      </c>
      <c r="E19125" s="58">
        <v>20000</v>
      </c>
      <c r="F19125" s="58"/>
      <c r="G19125" s="126">
        <f t="shared" ref="G19125" si="427">F19125-E19125</f>
        <v>-20000</v>
      </c>
      <c r="H19125" s="705" t="s">
        <v>12833</v>
      </c>
    </row>
    <row r="19126" spans="1:8" ht="15" x14ac:dyDescent="0.2">
      <c r="A19126" s="734">
        <v>45391</v>
      </c>
      <c r="B19126" s="41" t="s">
        <v>10471</v>
      </c>
      <c r="C19126" s="670" t="s">
        <v>3033</v>
      </c>
      <c r="D19126" s="913" t="s">
        <v>12905</v>
      </c>
      <c r="E19126" s="585">
        <v>31000</v>
      </c>
      <c r="F19126" s="58"/>
      <c r="G19126" s="126">
        <f t="shared" ref="G19126:G19129" si="428">F19126-E19126</f>
        <v>-31000</v>
      </c>
      <c r="H19126" s="705" t="s">
        <v>12833</v>
      </c>
    </row>
    <row r="19127" spans="1:8" ht="15" x14ac:dyDescent="0.2">
      <c r="A19127" s="734">
        <v>45391</v>
      </c>
      <c r="B19127" s="41" t="s">
        <v>9356</v>
      </c>
      <c r="C19127" s="670" t="s">
        <v>3033</v>
      </c>
      <c r="D19127" s="913" t="s">
        <v>12905</v>
      </c>
      <c r="E19127" s="585">
        <v>19000</v>
      </c>
      <c r="F19127" s="58"/>
      <c r="G19127" s="126">
        <f t="shared" si="428"/>
        <v>-19000</v>
      </c>
      <c r="H19127" s="705" t="s">
        <v>12833</v>
      </c>
    </row>
    <row r="19128" spans="1:8" ht="15" x14ac:dyDescent="0.2">
      <c r="A19128" s="734">
        <v>45398</v>
      </c>
      <c r="B19128" s="41" t="s">
        <v>11738</v>
      </c>
      <c r="C19128" s="63" t="s">
        <v>12763</v>
      </c>
      <c r="D19128" s="108" t="s">
        <v>12902</v>
      </c>
      <c r="E19128" s="58">
        <v>400000</v>
      </c>
      <c r="F19128" s="58"/>
      <c r="G19128" s="126">
        <f t="shared" si="428"/>
        <v>-400000</v>
      </c>
      <c r="H19128" s="705" t="s">
        <v>12833</v>
      </c>
    </row>
    <row r="19129" spans="1:8" ht="15" x14ac:dyDescent="0.2">
      <c r="A19129" s="734">
        <v>45400</v>
      </c>
      <c r="B19129" s="41" t="s">
        <v>12532</v>
      </c>
      <c r="C19129" s="63" t="s">
        <v>6476</v>
      </c>
      <c r="D19129" s="108" t="s">
        <v>12903</v>
      </c>
      <c r="E19129" s="58">
        <v>40000</v>
      </c>
      <c r="F19129" s="58"/>
      <c r="G19129" s="126">
        <f t="shared" si="428"/>
        <v>-40000</v>
      </c>
      <c r="H19129" s="705" t="s">
        <v>12833</v>
      </c>
    </row>
    <row r="19130" spans="1:8" ht="15" x14ac:dyDescent="0.2">
      <c r="A19130" s="734">
        <v>45400</v>
      </c>
      <c r="B19130" s="41" t="s">
        <v>11897</v>
      </c>
      <c r="C19130" s="63" t="s">
        <v>12780</v>
      </c>
      <c r="D19130" s="108" t="s">
        <v>12906</v>
      </c>
      <c r="E19130" s="58">
        <v>3600</v>
      </c>
      <c r="F19130" s="58"/>
      <c r="G19130" s="126">
        <f t="shared" ref="G19130" si="429">F19130-E19130</f>
        <v>-3600</v>
      </c>
      <c r="H19130" s="705" t="s">
        <v>12833</v>
      </c>
    </row>
    <row r="19131" spans="1:8" ht="15" x14ac:dyDescent="0.2">
      <c r="A19131" s="734">
        <v>45400</v>
      </c>
      <c r="B19131" s="41" t="s">
        <v>11738</v>
      </c>
      <c r="C19131" s="63" t="s">
        <v>10993</v>
      </c>
      <c r="D19131" s="108" t="s">
        <v>6386</v>
      </c>
      <c r="E19131" s="58">
        <v>4000</v>
      </c>
      <c r="F19131" s="58"/>
      <c r="G19131" s="126">
        <f t="shared" si="426"/>
        <v>-4000</v>
      </c>
      <c r="H19131" s="705" t="s">
        <v>12833</v>
      </c>
    </row>
    <row r="19132" spans="1:8" ht="15" x14ac:dyDescent="0.2">
      <c r="A19132" s="734">
        <v>45401</v>
      </c>
      <c r="B19132" s="41" t="s">
        <v>11089</v>
      </c>
      <c r="C19132" s="63" t="s">
        <v>1198</v>
      </c>
      <c r="D19132" s="108" t="s">
        <v>12907</v>
      </c>
      <c r="E19132" s="58">
        <v>2098980</v>
      </c>
      <c r="F19132" s="58"/>
      <c r="G19132" s="126">
        <f t="shared" ref="G19132" si="430">F19132-E19132</f>
        <v>-2098980</v>
      </c>
      <c r="H19132" s="705" t="s">
        <v>12833</v>
      </c>
    </row>
    <row r="19133" spans="1:8" ht="15" x14ac:dyDescent="0.2">
      <c r="A19133" s="734">
        <v>45402</v>
      </c>
      <c r="B19133" s="41" t="s">
        <v>8559</v>
      </c>
      <c r="C19133" s="63" t="s">
        <v>11975</v>
      </c>
      <c r="D19133" s="108" t="s">
        <v>1157</v>
      </c>
      <c r="E19133" s="58">
        <v>5500</v>
      </c>
      <c r="F19133" s="58"/>
      <c r="G19133" s="126">
        <f t="shared" ref="G19133:G19150" si="431">F19133-E19133</f>
        <v>-5500</v>
      </c>
      <c r="H19133" s="705" t="s">
        <v>12833</v>
      </c>
    </row>
    <row r="19134" spans="1:8" ht="15" x14ac:dyDescent="0.2">
      <c r="A19134" s="734">
        <v>45402</v>
      </c>
      <c r="B19134" s="41" t="s">
        <v>11738</v>
      </c>
      <c r="C19134" s="63" t="s">
        <v>5741</v>
      </c>
      <c r="D19134" s="108" t="s">
        <v>12910</v>
      </c>
      <c r="E19134" s="58">
        <v>5000</v>
      </c>
      <c r="F19134" s="58"/>
      <c r="G19134" s="126">
        <f t="shared" si="431"/>
        <v>-5000</v>
      </c>
      <c r="H19134" s="705" t="s">
        <v>12833</v>
      </c>
    </row>
    <row r="19135" spans="1:8" ht="15" x14ac:dyDescent="0.2">
      <c r="A19135" s="734">
        <v>45402</v>
      </c>
      <c r="B19135" s="41" t="s">
        <v>103</v>
      </c>
      <c r="C19135" s="63" t="s">
        <v>12911</v>
      </c>
      <c r="D19135" s="108" t="s">
        <v>12912</v>
      </c>
      <c r="E19135" s="58">
        <v>5000</v>
      </c>
      <c r="F19135" s="58"/>
      <c r="G19135" s="126">
        <f t="shared" si="431"/>
        <v>-5000</v>
      </c>
      <c r="H19135" s="705" t="s">
        <v>12833</v>
      </c>
    </row>
    <row r="19136" spans="1:8" ht="15" x14ac:dyDescent="0.2">
      <c r="A19136" s="734">
        <v>45402</v>
      </c>
      <c r="B19136" s="41" t="s">
        <v>12723</v>
      </c>
      <c r="C19136" s="63" t="s">
        <v>10993</v>
      </c>
      <c r="D19136" s="108" t="s">
        <v>12913</v>
      </c>
      <c r="E19136" s="58">
        <v>7280</v>
      </c>
      <c r="F19136" s="58"/>
      <c r="G19136" s="126">
        <f t="shared" si="431"/>
        <v>-7280</v>
      </c>
      <c r="H19136" s="705" t="s">
        <v>12833</v>
      </c>
    </row>
    <row r="19137" spans="1:8" ht="15" x14ac:dyDescent="0.2">
      <c r="A19137" s="734">
        <v>45402</v>
      </c>
      <c r="B19137" s="41" t="s">
        <v>11897</v>
      </c>
      <c r="C19137" s="63" t="s">
        <v>5741</v>
      </c>
      <c r="D19137" s="108" t="s">
        <v>12541</v>
      </c>
      <c r="E19137" s="58">
        <v>4500</v>
      </c>
      <c r="F19137" s="58"/>
      <c r="G19137" s="126">
        <f t="shared" si="431"/>
        <v>-4500</v>
      </c>
      <c r="H19137" s="705" t="s">
        <v>12833</v>
      </c>
    </row>
    <row r="19138" spans="1:8" ht="15" x14ac:dyDescent="0.2">
      <c r="A19138" s="734">
        <v>45402</v>
      </c>
      <c r="B19138" s="41" t="s">
        <v>11089</v>
      </c>
      <c r="C19138" s="63" t="s">
        <v>5741</v>
      </c>
      <c r="D19138" s="108" t="s">
        <v>370</v>
      </c>
      <c r="E19138" s="58">
        <v>1000</v>
      </c>
      <c r="F19138" s="58"/>
      <c r="G19138" s="126">
        <f t="shared" si="431"/>
        <v>-1000</v>
      </c>
      <c r="H19138" s="705" t="s">
        <v>12833</v>
      </c>
    </row>
    <row r="19139" spans="1:8" ht="15" x14ac:dyDescent="0.2">
      <c r="A19139" s="734">
        <v>45402</v>
      </c>
      <c r="B19139" s="41" t="s">
        <v>10908</v>
      </c>
      <c r="C19139" s="63" t="s">
        <v>5741</v>
      </c>
      <c r="D19139" s="108" t="s">
        <v>370</v>
      </c>
      <c r="E19139" s="58">
        <v>1200</v>
      </c>
      <c r="F19139" s="58"/>
      <c r="G19139" s="126">
        <f t="shared" si="431"/>
        <v>-1200</v>
      </c>
      <c r="H19139" s="705" t="s">
        <v>12833</v>
      </c>
    </row>
    <row r="19140" spans="1:8" ht="15" x14ac:dyDescent="0.2">
      <c r="A19140" s="734">
        <v>45402</v>
      </c>
      <c r="B19140" s="41" t="s">
        <v>103</v>
      </c>
      <c r="C19140" s="63" t="s">
        <v>103</v>
      </c>
      <c r="D19140" s="108" t="s">
        <v>9425</v>
      </c>
      <c r="E19140" s="58">
        <v>3000</v>
      </c>
      <c r="F19140" s="58"/>
      <c r="G19140" s="126">
        <f t="shared" si="431"/>
        <v>-3000</v>
      </c>
      <c r="H19140" s="705" t="s">
        <v>12833</v>
      </c>
    </row>
    <row r="19141" spans="1:8" ht="15" x14ac:dyDescent="0.2">
      <c r="A19141" s="734">
        <v>45402</v>
      </c>
      <c r="B19141" s="41" t="s">
        <v>10908</v>
      </c>
      <c r="C19141" s="63" t="s">
        <v>10993</v>
      </c>
      <c r="D19141" s="108" t="s">
        <v>12914</v>
      </c>
      <c r="E19141" s="58">
        <v>1230</v>
      </c>
      <c r="F19141" s="58"/>
      <c r="G19141" s="126">
        <f t="shared" si="431"/>
        <v>-1230</v>
      </c>
      <c r="H19141" s="705" t="s">
        <v>12833</v>
      </c>
    </row>
    <row r="19142" spans="1:8" ht="15" x14ac:dyDescent="0.2">
      <c r="A19142" s="734">
        <v>45402</v>
      </c>
      <c r="B19142" s="41" t="s">
        <v>11089</v>
      </c>
      <c r="C19142" s="63" t="s">
        <v>5741</v>
      </c>
      <c r="D19142" s="108" t="s">
        <v>12915</v>
      </c>
      <c r="E19142" s="58">
        <v>3000</v>
      </c>
      <c r="F19142" s="58"/>
      <c r="G19142" s="126">
        <f t="shared" si="431"/>
        <v>-3000</v>
      </c>
      <c r="H19142" s="705" t="s">
        <v>12833</v>
      </c>
    </row>
    <row r="19143" spans="1:8" ht="15" x14ac:dyDescent="0.2">
      <c r="A19143" s="734">
        <v>45402</v>
      </c>
      <c r="B19143" s="41" t="s">
        <v>10471</v>
      </c>
      <c r="C19143" s="63" t="s">
        <v>10993</v>
      </c>
      <c r="D19143" s="108" t="s">
        <v>12916</v>
      </c>
      <c r="E19143" s="58">
        <v>15000</v>
      </c>
      <c r="F19143" s="58"/>
      <c r="G19143" s="126">
        <f t="shared" si="431"/>
        <v>-15000</v>
      </c>
      <c r="H19143" s="705" t="s">
        <v>12833</v>
      </c>
    </row>
    <row r="19144" spans="1:8" ht="15" x14ac:dyDescent="0.2">
      <c r="A19144" s="734">
        <v>45402</v>
      </c>
      <c r="B19144" s="41" t="s">
        <v>11897</v>
      </c>
      <c r="C19144" s="63" t="s">
        <v>12307</v>
      </c>
      <c r="D19144" s="108" t="s">
        <v>11308</v>
      </c>
      <c r="E19144" s="58">
        <v>10000</v>
      </c>
      <c r="F19144" s="58"/>
      <c r="G19144" s="126">
        <f t="shared" si="431"/>
        <v>-10000</v>
      </c>
      <c r="H19144" s="705" t="s">
        <v>12833</v>
      </c>
    </row>
    <row r="19145" spans="1:8" ht="15" x14ac:dyDescent="0.2">
      <c r="A19145" s="734">
        <v>45402</v>
      </c>
      <c r="B19145" s="41" t="s">
        <v>11897</v>
      </c>
      <c r="C19145" s="63" t="s">
        <v>12780</v>
      </c>
      <c r="D19145" s="108" t="s">
        <v>12917</v>
      </c>
      <c r="E19145" s="58">
        <v>1600</v>
      </c>
      <c r="F19145" s="58"/>
      <c r="G19145" s="126">
        <f t="shared" si="431"/>
        <v>-1600</v>
      </c>
      <c r="H19145" s="705" t="s">
        <v>12833</v>
      </c>
    </row>
    <row r="19146" spans="1:8" ht="15" x14ac:dyDescent="0.2">
      <c r="A19146" s="734">
        <v>45403</v>
      </c>
      <c r="B19146" s="41" t="s">
        <v>12723</v>
      </c>
      <c r="C19146" s="63" t="s">
        <v>10993</v>
      </c>
      <c r="D19146" s="108" t="s">
        <v>12918</v>
      </c>
      <c r="E19146" s="58">
        <v>789650</v>
      </c>
      <c r="F19146" s="58"/>
      <c r="G19146" s="126">
        <f t="shared" si="431"/>
        <v>-789650</v>
      </c>
      <c r="H19146" s="705" t="s">
        <v>12833</v>
      </c>
    </row>
    <row r="19147" spans="1:8" ht="15" x14ac:dyDescent="0.2">
      <c r="A19147" s="734">
        <v>45403</v>
      </c>
      <c r="B19147" s="41" t="s">
        <v>11738</v>
      </c>
      <c r="C19147" s="63" t="s">
        <v>12919</v>
      </c>
      <c r="D19147" s="108" t="s">
        <v>12920</v>
      </c>
      <c r="E19147" s="58">
        <v>55000</v>
      </c>
      <c r="F19147" s="58"/>
      <c r="G19147" s="126">
        <f t="shared" si="431"/>
        <v>-55000</v>
      </c>
      <c r="H19147" s="705" t="s">
        <v>12833</v>
      </c>
    </row>
    <row r="19148" spans="1:8" ht="15" x14ac:dyDescent="0.2">
      <c r="A19148" s="734">
        <v>45404</v>
      </c>
      <c r="B19148" s="41" t="s">
        <v>25</v>
      </c>
      <c r="C19148" s="63" t="s">
        <v>8150</v>
      </c>
      <c r="D19148" s="108" t="s">
        <v>6343</v>
      </c>
      <c r="E19148" s="58">
        <v>2915</v>
      </c>
      <c r="F19148" s="58"/>
      <c r="G19148" s="126">
        <f t="shared" si="431"/>
        <v>-2915</v>
      </c>
      <c r="H19148" s="705" t="s">
        <v>12833</v>
      </c>
    </row>
    <row r="19149" spans="1:8" ht="15" x14ac:dyDescent="0.2">
      <c r="A19149" s="734">
        <v>45404</v>
      </c>
      <c r="B19149" s="41" t="s">
        <v>103</v>
      </c>
      <c r="C19149" s="63" t="s">
        <v>8150</v>
      </c>
      <c r="D19149" s="108" t="s">
        <v>6343</v>
      </c>
      <c r="E19149" s="58">
        <v>9130</v>
      </c>
      <c r="F19149" s="58"/>
      <c r="G19149" s="126">
        <f t="shared" si="431"/>
        <v>-9130</v>
      </c>
      <c r="H19149" s="705" t="s">
        <v>12833</v>
      </c>
    </row>
    <row r="19150" spans="1:8" ht="15" x14ac:dyDescent="0.2">
      <c r="A19150" s="734">
        <v>45404</v>
      </c>
      <c r="B19150" s="41" t="s">
        <v>11738</v>
      </c>
      <c r="C19150" s="63" t="s">
        <v>10993</v>
      </c>
      <c r="D19150" s="108" t="s">
        <v>10824</v>
      </c>
      <c r="E19150" s="58">
        <v>1000</v>
      </c>
      <c r="F19150" s="58"/>
      <c r="G19150" s="126">
        <f t="shared" si="431"/>
        <v>-1000</v>
      </c>
      <c r="H19150" s="705" t="s">
        <v>12833</v>
      </c>
    </row>
    <row r="19151" spans="1:8" ht="15" x14ac:dyDescent="0.2">
      <c r="A19151" s="734">
        <v>45404</v>
      </c>
      <c r="B19151" s="41" t="s">
        <v>11897</v>
      </c>
      <c r="C19151" s="63" t="s">
        <v>4725</v>
      </c>
      <c r="D19151" s="108" t="s">
        <v>12461</v>
      </c>
      <c r="E19151" s="58">
        <v>300000</v>
      </c>
      <c r="F19151" s="58"/>
      <c r="G19151" s="126">
        <f>F19151-E19151</f>
        <v>-300000</v>
      </c>
      <c r="H19151" s="705" t="s">
        <v>12833</v>
      </c>
    </row>
    <row r="19152" spans="1:8" ht="15" x14ac:dyDescent="0.2">
      <c r="A19152" s="734">
        <v>45404</v>
      </c>
      <c r="B19152" s="41" t="s">
        <v>12532</v>
      </c>
      <c r="C19152" s="63" t="s">
        <v>7906</v>
      </c>
      <c r="D19152" s="108" t="s">
        <v>12922</v>
      </c>
      <c r="E19152" s="58">
        <v>48970</v>
      </c>
      <c r="F19152" s="58"/>
      <c r="G19152" s="126">
        <f>F19152-E19152</f>
        <v>-48970</v>
      </c>
      <c r="H19152" s="705" t="s">
        <v>12833</v>
      </c>
    </row>
    <row r="19153" spans="1:8" ht="15" x14ac:dyDescent="0.2">
      <c r="A19153" s="734">
        <v>45404</v>
      </c>
      <c r="B19153" s="41" t="s">
        <v>12366</v>
      </c>
      <c r="C19153" s="63" t="s">
        <v>12921</v>
      </c>
      <c r="D19153" s="108" t="s">
        <v>12923</v>
      </c>
      <c r="E19153" s="58">
        <v>222500</v>
      </c>
      <c r="F19153" s="58"/>
      <c r="G19153" s="126">
        <f>F19153-E19153</f>
        <v>-222500</v>
      </c>
      <c r="H19153" s="705" t="s">
        <v>12833</v>
      </c>
    </row>
    <row r="19154" spans="1:8" s="682" customFormat="1" ht="24" x14ac:dyDescent="0.25">
      <c r="A19154" s="734">
        <v>45404</v>
      </c>
      <c r="B19154" s="63" t="s">
        <v>11635</v>
      </c>
      <c r="C19154" s="63" t="s">
        <v>431</v>
      </c>
      <c r="D19154" s="183" t="s">
        <v>12928</v>
      </c>
      <c r="E19154" s="126">
        <v>300000</v>
      </c>
      <c r="F19154" s="126"/>
      <c r="G19154" s="126">
        <f>F19154-E19154</f>
        <v>-300000</v>
      </c>
      <c r="H19154" s="705" t="s">
        <v>12833</v>
      </c>
    </row>
    <row r="19155" spans="1:8" ht="15" x14ac:dyDescent="0.2">
      <c r="A19155" s="734">
        <v>45404</v>
      </c>
      <c r="B19155" s="41" t="s">
        <v>11089</v>
      </c>
      <c r="C19155" s="63" t="s">
        <v>5387</v>
      </c>
      <c r="D19155" s="108" t="s">
        <v>370</v>
      </c>
      <c r="E19155" s="58">
        <v>6000</v>
      </c>
      <c r="F19155" s="58"/>
      <c r="G19155" s="126">
        <f>F19155-E19155</f>
        <v>-6000</v>
      </c>
      <c r="H19155" s="705" t="s">
        <v>12833</v>
      </c>
    </row>
    <row r="19156" spans="1:8" ht="15" x14ac:dyDescent="0.2">
      <c r="A19156" s="734">
        <v>45404</v>
      </c>
      <c r="B19156" s="41" t="s">
        <v>11135</v>
      </c>
      <c r="C19156" s="63" t="s">
        <v>10993</v>
      </c>
      <c r="D19156" s="108" t="s">
        <v>12924</v>
      </c>
      <c r="E19156" s="58">
        <v>5000</v>
      </c>
      <c r="F19156" s="58"/>
      <c r="G19156" s="126">
        <f t="shared" ref="G19156:G19160" si="432">F19156-E19156</f>
        <v>-5000</v>
      </c>
      <c r="H19156" s="705" t="s">
        <v>12833</v>
      </c>
    </row>
    <row r="19157" spans="1:8" ht="15" x14ac:dyDescent="0.2">
      <c r="A19157" s="734">
        <v>45404</v>
      </c>
      <c r="B19157" s="41" t="s">
        <v>12532</v>
      </c>
      <c r="C19157" s="63" t="s">
        <v>10993</v>
      </c>
      <c r="D19157" s="108" t="s">
        <v>12925</v>
      </c>
      <c r="E19157" s="58">
        <v>5000</v>
      </c>
      <c r="F19157" s="58"/>
      <c r="G19157" s="126">
        <f t="shared" si="432"/>
        <v>-5000</v>
      </c>
      <c r="H19157" s="705" t="s">
        <v>12833</v>
      </c>
    </row>
    <row r="19158" spans="1:8" ht="15" x14ac:dyDescent="0.2">
      <c r="A19158" s="734">
        <v>45404</v>
      </c>
      <c r="B19158" s="41" t="s">
        <v>6505</v>
      </c>
      <c r="C19158" s="63" t="s">
        <v>10993</v>
      </c>
      <c r="D19158" s="108" t="s">
        <v>12926</v>
      </c>
      <c r="E19158" s="58">
        <v>6000</v>
      </c>
      <c r="F19158" s="58"/>
      <c r="G19158" s="126">
        <f t="shared" si="432"/>
        <v>-6000</v>
      </c>
      <c r="H19158" s="705" t="s">
        <v>12833</v>
      </c>
    </row>
    <row r="19159" spans="1:8" ht="15" x14ac:dyDescent="0.2">
      <c r="A19159" s="734">
        <v>45404</v>
      </c>
      <c r="B19159" s="41" t="s">
        <v>37</v>
      </c>
      <c r="C19159" s="63" t="s">
        <v>10993</v>
      </c>
      <c r="D19159" s="108" t="s">
        <v>12927</v>
      </c>
      <c r="E19159" s="58">
        <v>5300</v>
      </c>
      <c r="F19159" s="58"/>
      <c r="G19159" s="126">
        <f t="shared" si="432"/>
        <v>-5300</v>
      </c>
      <c r="H19159" s="705" t="s">
        <v>12833</v>
      </c>
    </row>
    <row r="19160" spans="1:8" ht="15" x14ac:dyDescent="0.2">
      <c r="A19160" s="734">
        <v>45404</v>
      </c>
      <c r="B19160" s="41" t="s">
        <v>37</v>
      </c>
      <c r="C19160" s="63" t="s">
        <v>10993</v>
      </c>
      <c r="D19160" s="108" t="s">
        <v>12927</v>
      </c>
      <c r="E19160" s="58">
        <v>5000</v>
      </c>
      <c r="F19160" s="58"/>
      <c r="G19160" s="126">
        <f t="shared" si="432"/>
        <v>-5000</v>
      </c>
      <c r="H19160" s="705" t="s">
        <v>12833</v>
      </c>
    </row>
    <row r="19161" spans="1:8" ht="15" x14ac:dyDescent="0.2">
      <c r="A19161" s="733">
        <v>45385</v>
      </c>
      <c r="B19161" s="174" t="s">
        <v>11089</v>
      </c>
      <c r="C19161" s="174" t="s">
        <v>12567</v>
      </c>
      <c r="D19161" s="228" t="s">
        <v>12857</v>
      </c>
      <c r="E19161" s="236">
        <v>1173000</v>
      </c>
      <c r="F19161" s="236"/>
      <c r="G19161" s="236">
        <f t="shared" ref="G19161" si="433">F19161-E19161</f>
        <v>-1173000</v>
      </c>
      <c r="H19161" s="709" t="s">
        <v>12833</v>
      </c>
    </row>
    <row r="19162" spans="1:8" ht="15" x14ac:dyDescent="0.2">
      <c r="A19162" s="730">
        <v>45384</v>
      </c>
      <c r="B19162" s="91" t="s">
        <v>6505</v>
      </c>
      <c r="C19162" s="94" t="s">
        <v>559</v>
      </c>
      <c r="D19162" s="801" t="s">
        <v>12823</v>
      </c>
      <c r="E19162" s="92"/>
      <c r="F19162" s="92">
        <v>1000000</v>
      </c>
      <c r="G19162" s="92">
        <f t="shared" si="410"/>
        <v>1000000</v>
      </c>
      <c r="H19162" s="702" t="s">
        <v>12833</v>
      </c>
    </row>
    <row r="19163" spans="1:8" ht="15" x14ac:dyDescent="0.2">
      <c r="A19163" s="730">
        <v>45384</v>
      </c>
      <c r="B19163" s="91" t="s">
        <v>6505</v>
      </c>
      <c r="C19163" s="94" t="s">
        <v>559</v>
      </c>
      <c r="D19163" s="801" t="s">
        <v>12823</v>
      </c>
      <c r="E19163" s="92"/>
      <c r="F19163" s="92">
        <v>1000000</v>
      </c>
      <c r="G19163" s="92">
        <f>F19163-E19163</f>
        <v>1000000</v>
      </c>
      <c r="H19163" s="702" t="s">
        <v>12833</v>
      </c>
    </row>
    <row r="19164" spans="1:8" ht="15" x14ac:dyDescent="0.2">
      <c r="A19164" s="730">
        <v>45385</v>
      </c>
      <c r="B19164" s="91" t="s">
        <v>11897</v>
      </c>
      <c r="C19164" s="94" t="s">
        <v>559</v>
      </c>
      <c r="D19164" s="801" t="s">
        <v>12841</v>
      </c>
      <c r="E19164" s="92"/>
      <c r="F19164" s="92">
        <v>1310000</v>
      </c>
      <c r="G19164" s="92">
        <f t="shared" ref="G19164:G19171" si="434">F19164-E19164</f>
        <v>1310000</v>
      </c>
      <c r="H19164" s="702" t="s">
        <v>12833</v>
      </c>
    </row>
    <row r="19165" spans="1:8" ht="15" x14ac:dyDescent="0.2">
      <c r="A19165" s="730">
        <v>45385</v>
      </c>
      <c r="B19165" s="91" t="s">
        <v>11897</v>
      </c>
      <c r="C19165" s="94" t="s">
        <v>559</v>
      </c>
      <c r="D19165" s="801" t="s">
        <v>12842</v>
      </c>
      <c r="E19165" s="92"/>
      <c r="F19165" s="92">
        <v>1173000</v>
      </c>
      <c r="G19165" s="92">
        <f t="shared" si="434"/>
        <v>1173000</v>
      </c>
      <c r="H19165" s="702" t="s">
        <v>12833</v>
      </c>
    </row>
    <row r="19166" spans="1:8" ht="15" x14ac:dyDescent="0.2">
      <c r="A19166" s="730">
        <v>45385</v>
      </c>
      <c r="B19166" s="91" t="s">
        <v>8868</v>
      </c>
      <c r="C19166" s="94" t="s">
        <v>559</v>
      </c>
      <c r="D19166" s="801" t="s">
        <v>12841</v>
      </c>
      <c r="E19166" s="92"/>
      <c r="F19166" s="92">
        <v>500000</v>
      </c>
      <c r="G19166" s="92">
        <f t="shared" si="434"/>
        <v>500000</v>
      </c>
      <c r="H19166" s="702" t="s">
        <v>12833</v>
      </c>
    </row>
    <row r="19167" spans="1:8" ht="15" x14ac:dyDescent="0.2">
      <c r="A19167" s="730">
        <v>45385</v>
      </c>
      <c r="B19167" s="91" t="s">
        <v>9356</v>
      </c>
      <c r="C19167" s="94" t="s">
        <v>559</v>
      </c>
      <c r="D19167" s="801" t="s">
        <v>12864</v>
      </c>
      <c r="E19167" s="92"/>
      <c r="F19167" s="92">
        <v>999000</v>
      </c>
      <c r="G19167" s="92">
        <f t="shared" si="434"/>
        <v>999000</v>
      </c>
      <c r="H19167" s="702" t="s">
        <v>12833</v>
      </c>
    </row>
    <row r="19168" spans="1:8" ht="15" x14ac:dyDescent="0.2">
      <c r="A19168" s="730">
        <v>45385</v>
      </c>
      <c r="B19168" s="91" t="s">
        <v>9356</v>
      </c>
      <c r="C19168" s="94" t="s">
        <v>559</v>
      </c>
      <c r="D19168" s="801" t="s">
        <v>12864</v>
      </c>
      <c r="E19168" s="92"/>
      <c r="F19168" s="92">
        <v>999000</v>
      </c>
      <c r="G19168" s="92">
        <f t="shared" si="434"/>
        <v>999000</v>
      </c>
      <c r="H19168" s="702" t="s">
        <v>12833</v>
      </c>
    </row>
    <row r="19169" spans="1:8" ht="15" x14ac:dyDescent="0.2">
      <c r="A19169" s="730">
        <v>45385</v>
      </c>
      <c r="B19169" s="91" t="s">
        <v>9356</v>
      </c>
      <c r="C19169" s="94" t="s">
        <v>559</v>
      </c>
      <c r="D19169" s="801" t="s">
        <v>12864</v>
      </c>
      <c r="E19169" s="92"/>
      <c r="F19169" s="92">
        <v>999000</v>
      </c>
      <c r="G19169" s="92">
        <f t="shared" si="434"/>
        <v>999000</v>
      </c>
      <c r="H19169" s="702" t="s">
        <v>12833</v>
      </c>
    </row>
    <row r="19170" spans="1:8" ht="15" x14ac:dyDescent="0.2">
      <c r="A19170" s="730">
        <v>45385</v>
      </c>
      <c r="B19170" s="91" t="s">
        <v>9356</v>
      </c>
      <c r="C19170" s="94" t="s">
        <v>559</v>
      </c>
      <c r="D19170" s="801" t="s">
        <v>12864</v>
      </c>
      <c r="E19170" s="92"/>
      <c r="F19170" s="92">
        <v>999000</v>
      </c>
      <c r="G19170" s="92">
        <f t="shared" si="434"/>
        <v>999000</v>
      </c>
      <c r="H19170" s="702" t="s">
        <v>12833</v>
      </c>
    </row>
    <row r="19171" spans="1:8" ht="36" x14ac:dyDescent="0.2">
      <c r="A19171" s="730">
        <v>45386</v>
      </c>
      <c r="B19171" s="91" t="s">
        <v>11738</v>
      </c>
      <c r="C19171" s="94" t="s">
        <v>559</v>
      </c>
      <c r="D19171" s="898" t="s">
        <v>12909</v>
      </c>
      <c r="E19171" s="643">
        <v>28000</v>
      </c>
      <c r="F19171" s="92"/>
      <c r="G19171" s="176">
        <f t="shared" si="434"/>
        <v>-28000</v>
      </c>
      <c r="H19171" s="702" t="s">
        <v>12833</v>
      </c>
    </row>
    <row r="19172" spans="1:8" ht="15" x14ac:dyDescent="0.2">
      <c r="A19172" s="730">
        <v>45387</v>
      </c>
      <c r="B19172" s="91" t="s">
        <v>9356</v>
      </c>
      <c r="C19172" s="94" t="s">
        <v>559</v>
      </c>
      <c r="D19172" s="801" t="s">
        <v>12864</v>
      </c>
      <c r="E19172" s="92"/>
      <c r="F19172" s="92">
        <v>995000</v>
      </c>
      <c r="G19172" s="92">
        <f t="shared" ref="G19172:G19173" si="435">F19172-E19172</f>
        <v>995000</v>
      </c>
      <c r="H19172" s="702" t="s">
        <v>12833</v>
      </c>
    </row>
    <row r="19173" spans="1:8" ht="15" x14ac:dyDescent="0.2">
      <c r="A19173" s="730">
        <v>45387</v>
      </c>
      <c r="B19173" s="91" t="s">
        <v>9356</v>
      </c>
      <c r="C19173" s="94" t="s">
        <v>559</v>
      </c>
      <c r="D19173" s="801" t="s">
        <v>12864</v>
      </c>
      <c r="E19173" s="92"/>
      <c r="F19173" s="92">
        <v>995000</v>
      </c>
      <c r="G19173" s="92">
        <f t="shared" si="435"/>
        <v>995000</v>
      </c>
      <c r="H19173" s="702" t="s">
        <v>12833</v>
      </c>
    </row>
    <row r="19174" spans="1:8" ht="15" x14ac:dyDescent="0.2">
      <c r="A19174" s="730">
        <v>45387</v>
      </c>
      <c r="B19174" s="91" t="s">
        <v>9356</v>
      </c>
      <c r="C19174" s="94" t="s">
        <v>559</v>
      </c>
      <c r="D19174" s="801" t="s">
        <v>12869</v>
      </c>
      <c r="E19174" s="92"/>
      <c r="F19174" s="92">
        <v>510000</v>
      </c>
      <c r="G19174" s="92">
        <f t="shared" ref="G19174:G19175" si="436">F19174-E19174</f>
        <v>510000</v>
      </c>
      <c r="H19174" s="702" t="s">
        <v>12833</v>
      </c>
    </row>
    <row r="19175" spans="1:8" ht="15" x14ac:dyDescent="0.2">
      <c r="A19175" s="730">
        <v>45387</v>
      </c>
      <c r="B19175" s="94" t="s">
        <v>3946</v>
      </c>
      <c r="C19175" s="94" t="s">
        <v>559</v>
      </c>
      <c r="D19175" s="892" t="s">
        <v>12870</v>
      </c>
      <c r="E19175" s="176"/>
      <c r="F19175" s="176">
        <v>359992</v>
      </c>
      <c r="G19175" s="92">
        <f t="shared" si="436"/>
        <v>359992</v>
      </c>
      <c r="H19175" s="702" t="s">
        <v>12833</v>
      </c>
    </row>
    <row r="19176" spans="1:8" ht="24" x14ac:dyDescent="0.2">
      <c r="A19176" s="730">
        <v>45400</v>
      </c>
      <c r="B19176" s="94" t="s">
        <v>12723</v>
      </c>
      <c r="C19176" s="94" t="s">
        <v>559</v>
      </c>
      <c r="D19176" s="802" t="s">
        <v>12885</v>
      </c>
      <c r="E19176" s="176"/>
      <c r="F19176" s="176">
        <v>1200000</v>
      </c>
      <c r="G19176" s="176">
        <f t="shared" ref="G19176:G19179" si="437">F19176-E19176</f>
        <v>1200000</v>
      </c>
      <c r="H19176" s="702" t="s">
        <v>12833</v>
      </c>
    </row>
    <row r="19177" spans="1:8" ht="24" x14ac:dyDescent="0.2">
      <c r="A19177" s="730">
        <v>45400</v>
      </c>
      <c r="B19177" s="94" t="s">
        <v>11093</v>
      </c>
      <c r="C19177" s="94" t="s">
        <v>559</v>
      </c>
      <c r="D19177" s="802" t="s">
        <v>12885</v>
      </c>
      <c r="E19177" s="176"/>
      <c r="F19177" s="176">
        <v>1500000</v>
      </c>
      <c r="G19177" s="176">
        <f t="shared" si="437"/>
        <v>1500000</v>
      </c>
      <c r="H19177" s="702" t="s">
        <v>12833</v>
      </c>
    </row>
    <row r="19178" spans="1:8" ht="15" x14ac:dyDescent="0.2">
      <c r="A19178" s="730">
        <v>45400</v>
      </c>
      <c r="B19178" s="94" t="s">
        <v>11446</v>
      </c>
      <c r="C19178" s="94" t="s">
        <v>559</v>
      </c>
      <c r="D19178" s="802" t="s">
        <v>12884</v>
      </c>
      <c r="E19178" s="176"/>
      <c r="F19178" s="92">
        <v>2098980</v>
      </c>
      <c r="G19178" s="92">
        <f t="shared" si="437"/>
        <v>2098980</v>
      </c>
      <c r="H19178" s="702" t="s">
        <v>12833</v>
      </c>
    </row>
    <row r="19179" spans="1:8" s="682" customFormat="1" ht="24" x14ac:dyDescent="0.25">
      <c r="A19179" s="730">
        <v>45400</v>
      </c>
      <c r="B19179" s="94" t="s">
        <v>11897</v>
      </c>
      <c r="C19179" s="94" t="s">
        <v>559</v>
      </c>
      <c r="D19179" s="802" t="s">
        <v>12886</v>
      </c>
      <c r="E19179" s="176"/>
      <c r="F19179" s="176">
        <v>10000000</v>
      </c>
      <c r="G19179" s="176">
        <f t="shared" si="437"/>
        <v>10000000</v>
      </c>
      <c r="H19179" s="702" t="s">
        <v>12833</v>
      </c>
    </row>
    <row r="19180" spans="1:8" ht="24" x14ac:dyDescent="0.2">
      <c r="A19180" s="730">
        <v>45404</v>
      </c>
      <c r="B19180" s="94" t="s">
        <v>10232</v>
      </c>
      <c r="C19180" s="94" t="s">
        <v>559</v>
      </c>
      <c r="D19180" s="802" t="s">
        <v>12930</v>
      </c>
      <c r="E19180" s="176"/>
      <c r="F19180" s="176">
        <v>800000</v>
      </c>
      <c r="G19180" s="176">
        <f t="shared" ref="G19180" si="438">F19180-E19180</f>
        <v>800000</v>
      </c>
      <c r="H19180" s="702" t="s">
        <v>12833</v>
      </c>
    </row>
  </sheetData>
  <autoFilter ref="A1:P1917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840</v>
      </c>
      <c r="B3" s="1134" t="s">
        <v>47</v>
      </c>
    </row>
    <row r="4" spans="1:11" ht="24" hidden="1" thickBot="1" x14ac:dyDescent="0.35">
      <c r="A4"/>
      <c r="B4"/>
      <c r="C4"/>
      <c r="D4"/>
      <c r="F4" s="98" t="s">
        <v>1767</v>
      </c>
      <c r="H4" s="1141" t="s">
        <v>1767</v>
      </c>
      <c r="I4" s="1141"/>
      <c r="J4" s="1141"/>
    </row>
    <row r="5" spans="1:11" ht="24" thickBot="1" x14ac:dyDescent="0.35">
      <c r="A5" s="1135" t="s">
        <v>4137</v>
      </c>
      <c r="B5" s="1136" t="s">
        <v>4134</v>
      </c>
      <c r="C5" s="1136" t="s">
        <v>4135</v>
      </c>
      <c r="D5" s="1136" t="s">
        <v>4136</v>
      </c>
      <c r="E5" s="347"/>
      <c r="H5" s="1141"/>
      <c r="I5" s="1141"/>
      <c r="J5" s="1141"/>
      <c r="K5" s="1014" t="s">
        <v>10860</v>
      </c>
    </row>
    <row r="6" spans="1:11" ht="26.25" x14ac:dyDescent="0.4">
      <c r="A6" s="738" t="s">
        <v>12723</v>
      </c>
      <c r="B6" s="739">
        <v>550</v>
      </c>
      <c r="C6" s="739">
        <v>1200000</v>
      </c>
      <c r="D6" s="739">
        <v>1199450</v>
      </c>
      <c r="F6" s="697" t="s">
        <v>155</v>
      </c>
      <c r="G6" s="698" t="s">
        <v>2613</v>
      </c>
      <c r="H6" s="698" t="s">
        <v>7682</v>
      </c>
      <c r="I6" s="697" t="s">
        <v>2615</v>
      </c>
    </row>
    <row r="7" spans="1:11" ht="26.25" x14ac:dyDescent="0.4">
      <c r="A7" s="738" t="s">
        <v>12713</v>
      </c>
      <c r="B7" s="739">
        <v>5000</v>
      </c>
      <c r="C7" s="739"/>
      <c r="D7" s="739">
        <v>-5000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12695</v>
      </c>
      <c r="B8" s="739">
        <v>195480</v>
      </c>
      <c r="C8" s="739"/>
      <c r="D8" s="739">
        <v>-195480</v>
      </c>
      <c r="F8" s="695" t="s">
        <v>4721</v>
      </c>
      <c r="G8" s="696">
        <f t="shared" si="0"/>
        <v>10957853.041129032</v>
      </c>
      <c r="H8" s="696">
        <f>VLOOKUP(F8,'Project wise Supplier balance'!$A$6:$D$91,4,0)</f>
        <v>162620</v>
      </c>
      <c r="I8" s="693">
        <f t="shared" si="1"/>
        <v>10795233.041129032</v>
      </c>
    </row>
    <row r="9" spans="1:11" ht="26.25" x14ac:dyDescent="0.4">
      <c r="A9" s="738" t="s">
        <v>12827</v>
      </c>
      <c r="B9" s="739">
        <v>57016</v>
      </c>
      <c r="C9" s="739"/>
      <c r="D9" s="739">
        <v>-57016</v>
      </c>
      <c r="F9" s="695" t="s">
        <v>2652</v>
      </c>
      <c r="G9" s="696">
        <f t="shared" si="0"/>
        <v>10068965.30031715</v>
      </c>
      <c r="H9" s="696">
        <f>VLOOKUP(F9,'Project wise Supplier balance'!$A$6:$D$91,4,0)</f>
        <v>0</v>
      </c>
      <c r="I9" s="693">
        <f t="shared" si="1"/>
        <v>10068965.30031715</v>
      </c>
    </row>
    <row r="10" spans="1:11" ht="26.25" x14ac:dyDescent="0.4">
      <c r="A10" s="738" t="s">
        <v>12818</v>
      </c>
      <c r="B10" s="739">
        <v>60860</v>
      </c>
      <c r="C10" s="739"/>
      <c r="D10" s="739">
        <v>-60860</v>
      </c>
      <c r="F10" s="695" t="s">
        <v>1400</v>
      </c>
      <c r="G10" s="696">
        <f t="shared" si="0"/>
        <v>16037003.15589213</v>
      </c>
      <c r="H10" s="696">
        <f>VLOOKUP(F10,'Project wise Supplier balance'!$A$6:$D$91,4,0)</f>
        <v>159545</v>
      </c>
      <c r="I10" s="693">
        <f t="shared" si="1"/>
        <v>15877458.15589213</v>
      </c>
    </row>
    <row r="11" spans="1:11" ht="26.25" x14ac:dyDescent="0.4">
      <c r="A11" s="738" t="s">
        <v>12372</v>
      </c>
      <c r="B11" s="739">
        <v>2700</v>
      </c>
      <c r="C11" s="739">
        <v>500000</v>
      </c>
      <c r="D11" s="739">
        <v>497300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12426</v>
      </c>
      <c r="B13" s="739">
        <v>13100</v>
      </c>
      <c r="C13" s="739"/>
      <c r="D13" s="739">
        <v>-13100</v>
      </c>
      <c r="F13" s="695" t="s">
        <v>6511</v>
      </c>
      <c r="G13" s="696">
        <f t="shared" si="0"/>
        <v>2445161</v>
      </c>
      <c r="H13" s="696" t="e">
        <f>VLOOKUP(F13,'Project wise Supplier balance'!$A$6:$D$91,4,0)</f>
        <v>#N/A</v>
      </c>
      <c r="I13" s="693" t="e">
        <f t="shared" si="1"/>
        <v>#N/A</v>
      </c>
    </row>
    <row r="14" spans="1:11" ht="26.25" x14ac:dyDescent="0.4">
      <c r="A14" s="738" t="s">
        <v>12532</v>
      </c>
      <c r="B14" s="739">
        <v>5922474</v>
      </c>
      <c r="C14" s="739">
        <v>8053923</v>
      </c>
      <c r="D14" s="739">
        <v>2131449</v>
      </c>
      <c r="F14" s="695" t="s">
        <v>6518</v>
      </c>
      <c r="G14" s="696">
        <f t="shared" si="0"/>
        <v>1915801.3763440857</v>
      </c>
      <c r="H14" s="696">
        <f>VLOOKUP(F14,'Project wise Supplier balance'!$A$6:$D$91,4,0)</f>
        <v>0</v>
      </c>
      <c r="I14" s="693">
        <f t="shared" si="1"/>
        <v>1915801.3763440857</v>
      </c>
    </row>
    <row r="15" spans="1:11" ht="26.25" x14ac:dyDescent="0.4">
      <c r="A15" s="738" t="s">
        <v>12624</v>
      </c>
      <c r="B15" s="739">
        <v>571850</v>
      </c>
      <c r="C15" s="739"/>
      <c r="D15" s="739">
        <v>-571850</v>
      </c>
      <c r="F15" s="695" t="s">
        <v>6508</v>
      </c>
      <c r="G15" s="696">
        <f t="shared" si="0"/>
        <v>2118178</v>
      </c>
      <c r="H15" s="696">
        <f>VLOOKUP(F15,'Project wise Supplier balance'!$A$6:$D$91,4,0)</f>
        <v>4245</v>
      </c>
      <c r="I15" s="693">
        <f t="shared" si="1"/>
        <v>2113933</v>
      </c>
    </row>
    <row r="16" spans="1:11" ht="26.25" x14ac:dyDescent="0.4">
      <c r="A16" s="738" t="s">
        <v>12207</v>
      </c>
      <c r="B16" s="739">
        <v>3179446</v>
      </c>
      <c r="C16" s="739">
        <v>13975308</v>
      </c>
      <c r="D16" s="739">
        <v>10795862</v>
      </c>
      <c r="F16" s="695" t="s">
        <v>6505</v>
      </c>
      <c r="G16" s="696">
        <f t="shared" si="0"/>
        <v>6302191.3617511522</v>
      </c>
      <c r="H16" s="696" t="e">
        <f>VLOOKUP(F16,'Project wise Supplier balance'!$A$6:$D$91,4,0)</f>
        <v>#N/A</v>
      </c>
      <c r="I16" s="693" t="e">
        <f t="shared" si="1"/>
        <v>#N/A</v>
      </c>
    </row>
    <row r="17" spans="1:9" ht="26.25" x14ac:dyDescent="0.4">
      <c r="A17" s="738" t="s">
        <v>11897</v>
      </c>
      <c r="B17" s="739">
        <v>32417798</v>
      </c>
      <c r="C17" s="739">
        <v>45337381</v>
      </c>
      <c r="D17" s="739">
        <v>12919583</v>
      </c>
      <c r="F17" s="695" t="s">
        <v>7555</v>
      </c>
      <c r="G17" s="696">
        <f t="shared" si="0"/>
        <v>946445.53225806449</v>
      </c>
      <c r="H17" s="696">
        <f>VLOOKUP(F17,'Project wise Supplier balance'!$A$6:$D$91,4,0)</f>
        <v>0</v>
      </c>
      <c r="I17" s="693">
        <f t="shared" si="1"/>
        <v>946445.53225806449</v>
      </c>
    </row>
    <row r="18" spans="1:9" ht="26.25" x14ac:dyDescent="0.4">
      <c r="A18" s="738" t="s">
        <v>11617</v>
      </c>
      <c r="B18" s="739">
        <v>3811277</v>
      </c>
      <c r="C18" s="739">
        <v>2600000</v>
      </c>
      <c r="D18" s="739">
        <v>-1211277</v>
      </c>
      <c r="F18" s="695" t="s">
        <v>6953</v>
      </c>
      <c r="G18" s="696">
        <f t="shared" si="0"/>
        <v>1351664</v>
      </c>
      <c r="H18" s="696" t="e">
        <f>VLOOKUP(F18,'Project wise Supplier balance'!$A$6:$D$91,4,0)</f>
        <v>#N/A</v>
      </c>
      <c r="I18" s="693" t="e">
        <f t="shared" si="1"/>
        <v>#N/A</v>
      </c>
    </row>
    <row r="19" spans="1:9" ht="26.25" x14ac:dyDescent="0.4">
      <c r="A19" s="738" t="s">
        <v>11511</v>
      </c>
      <c r="B19" s="739">
        <v>4363215.5595105672</v>
      </c>
      <c r="C19" s="739">
        <v>8220424</v>
      </c>
      <c r="D19" s="739">
        <v>3857208.4404894328</v>
      </c>
      <c r="F19" s="695" t="s">
        <v>6647</v>
      </c>
      <c r="G19" s="696">
        <f t="shared" si="0"/>
        <v>67087</v>
      </c>
      <c r="H19" s="696">
        <f>VLOOKUP(F19,'Project wise Supplier balance'!$A$6:$D$91,4,0)</f>
        <v>0</v>
      </c>
      <c r="I19" s="693">
        <f t="shared" si="1"/>
        <v>67087</v>
      </c>
    </row>
    <row r="20" spans="1:9" ht="26.25" x14ac:dyDescent="0.4">
      <c r="A20" s="738" t="s">
        <v>11446</v>
      </c>
      <c r="B20" s="739">
        <v>7365237</v>
      </c>
      <c r="C20" s="739">
        <v>11253125</v>
      </c>
      <c r="D20" s="739">
        <v>3887888</v>
      </c>
      <c r="F20" s="695" t="s">
        <v>7112</v>
      </c>
      <c r="G20" s="696">
        <f t="shared" si="0"/>
        <v>641998.78494623653</v>
      </c>
      <c r="H20" s="696">
        <f>VLOOKUP(F20,'Project wise Supplier balance'!$A$6:$D$91,4,0)</f>
        <v>0</v>
      </c>
      <c r="I20" s="693">
        <f t="shared" si="1"/>
        <v>641998.78494623653</v>
      </c>
    </row>
    <row r="21" spans="1:9" ht="26.25" x14ac:dyDescent="0.4">
      <c r="A21" s="738" t="s">
        <v>7807</v>
      </c>
      <c r="B21" s="739">
        <v>3259240</v>
      </c>
      <c r="C21" s="739">
        <v>4334251</v>
      </c>
      <c r="D21" s="739">
        <v>1075011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-209739.22580645164</v>
      </c>
      <c r="H22" s="696">
        <f>VLOOKUP(F22,'Project wise Supplier balance'!$A$6:$D$91,4,0)</f>
        <v>80843</v>
      </c>
      <c r="I22" s="693">
        <f t="shared" si="1"/>
        <v>-290582.22580645164</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21147791.397849467</v>
      </c>
      <c r="C27" s="739">
        <v>27083716</v>
      </c>
      <c r="D27" s="739">
        <v>5935924.6021505389</v>
      </c>
    </row>
    <row r="28" spans="1:9" ht="26.25" x14ac:dyDescent="0.4">
      <c r="A28" s="738" t="s">
        <v>10576</v>
      </c>
      <c r="B28" s="739">
        <v>33647718.333333336</v>
      </c>
      <c r="C28" s="739">
        <v>42957843</v>
      </c>
      <c r="D28" s="739">
        <v>9310124.6666666679</v>
      </c>
    </row>
    <row r="29" spans="1:9" ht="26.25" x14ac:dyDescent="0.4">
      <c r="A29" s="738" t="s">
        <v>10379</v>
      </c>
      <c r="B29" s="739">
        <v>4030880</v>
      </c>
      <c r="C29" s="739">
        <v>3000000</v>
      </c>
      <c r="D29" s="739">
        <v>-1030880</v>
      </c>
    </row>
    <row r="30" spans="1:9" ht="26.25" x14ac:dyDescent="0.4">
      <c r="A30" s="738" t="s">
        <v>10338</v>
      </c>
      <c r="B30" s="739">
        <v>5611655</v>
      </c>
      <c r="C30" s="739">
        <v>7705250</v>
      </c>
      <c r="D30" s="739">
        <v>2093595</v>
      </c>
    </row>
    <row r="31" spans="1:9" ht="26.25" x14ac:dyDescent="0.4">
      <c r="A31" s="738" t="s">
        <v>10296</v>
      </c>
      <c r="B31" s="739">
        <v>3951168.4623655914</v>
      </c>
      <c r="C31" s="739">
        <v>2000000</v>
      </c>
      <c r="D31" s="739">
        <v>-1951168.4623655914</v>
      </c>
    </row>
    <row r="32" spans="1:9" ht="26.25" x14ac:dyDescent="0.4">
      <c r="A32" s="738" t="s">
        <v>10232</v>
      </c>
      <c r="B32" s="739">
        <v>20361108.333333336</v>
      </c>
      <c r="C32" s="739">
        <v>31092766</v>
      </c>
      <c r="D32" s="739">
        <v>10731657.666666666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8366313.5</v>
      </c>
      <c r="C35" s="739">
        <v>7120000</v>
      </c>
      <c r="D35" s="739">
        <v>-1246313.5</v>
      </c>
    </row>
    <row r="36" spans="1:9" ht="26.25" x14ac:dyDescent="0.4">
      <c r="A36" s="738" t="s">
        <v>9832</v>
      </c>
      <c r="B36" s="739">
        <v>26733595</v>
      </c>
      <c r="C36" s="739">
        <v>19830000</v>
      </c>
      <c r="D36" s="739">
        <v>-6903595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2249169</v>
      </c>
      <c r="C39" s="739">
        <v>2722000</v>
      </c>
      <c r="D39" s="739">
        <v>472831</v>
      </c>
    </row>
    <row r="40" spans="1:9" ht="26.25" x14ac:dyDescent="0.4">
      <c r="A40" s="738" t="s">
        <v>9507</v>
      </c>
      <c r="B40" s="739">
        <v>2583814</v>
      </c>
      <c r="C40" s="739">
        <v>3185630</v>
      </c>
      <c r="D40" s="739">
        <v>601816</v>
      </c>
    </row>
    <row r="41" spans="1:9" ht="26.25" x14ac:dyDescent="0.4">
      <c r="A41" s="738" t="s">
        <v>9409</v>
      </c>
      <c r="B41" s="739">
        <v>6184137.7741935486</v>
      </c>
      <c r="C41" s="739">
        <v>12225909</v>
      </c>
      <c r="D41" s="739">
        <v>6041771.2258064514</v>
      </c>
    </row>
    <row r="42" spans="1:9" ht="26.25" x14ac:dyDescent="0.4">
      <c r="A42" s="738" t="s">
        <v>9402</v>
      </c>
      <c r="B42" s="739">
        <v>5053225.5483870972</v>
      </c>
      <c r="C42" s="739">
        <v>6590400</v>
      </c>
      <c r="D42" s="739">
        <v>1537174.4516129033</v>
      </c>
    </row>
    <row r="43" spans="1:9" ht="26.25" x14ac:dyDescent="0.4">
      <c r="A43" s="738" t="s">
        <v>9356</v>
      </c>
      <c r="B43" s="739">
        <v>23459366.833333332</v>
      </c>
      <c r="C43" s="739">
        <v>26417406</v>
      </c>
      <c r="D43" s="739">
        <v>2958039.166666666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7944571.3548387093</v>
      </c>
      <c r="C45" s="739">
        <v>14475224</v>
      </c>
      <c r="D45" s="739">
        <v>6530652.6451612907</v>
      </c>
      <c r="F45" s="291"/>
      <c r="G45" s="694"/>
      <c r="H45" s="694"/>
      <c r="I45" s="291"/>
    </row>
    <row r="46" spans="1:9" ht="26.25" x14ac:dyDescent="0.4">
      <c r="A46" s="738" t="s">
        <v>8559</v>
      </c>
      <c r="B46" s="739">
        <v>6137254</v>
      </c>
      <c r="C46" s="739">
        <v>5930062</v>
      </c>
      <c r="D46" s="739">
        <v>-235591</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20150378</v>
      </c>
      <c r="C52" s="739">
        <v>27909998</v>
      </c>
      <c r="D52" s="739">
        <v>7741620</v>
      </c>
      <c r="G52" s="694"/>
      <c r="H52" s="694"/>
    </row>
    <row r="53" spans="1:8" s="291" customFormat="1" ht="26.25" x14ac:dyDescent="0.4">
      <c r="A53" s="1140" t="s">
        <v>6508</v>
      </c>
      <c r="B53" s="1139">
        <v>2808804</v>
      </c>
      <c r="C53" s="1139">
        <v>4926982</v>
      </c>
      <c r="D53" s="1139">
        <v>2118178</v>
      </c>
      <c r="G53" s="694"/>
      <c r="H53" s="694"/>
    </row>
    <row r="54" spans="1:8" s="291" customFormat="1" ht="26.25" x14ac:dyDescent="0.4">
      <c r="A54" s="1140" t="s">
        <v>6511</v>
      </c>
      <c r="B54" s="1139">
        <v>7639492</v>
      </c>
      <c r="C54" s="1139">
        <v>10084653</v>
      </c>
      <c r="D54" s="1139">
        <v>2445161</v>
      </c>
      <c r="G54" s="694"/>
      <c r="H54" s="694"/>
    </row>
    <row r="55" spans="1:8" s="291" customFormat="1" ht="26.25" x14ac:dyDescent="0.4">
      <c r="A55" s="1140" t="s">
        <v>7126</v>
      </c>
      <c r="B55" s="1139">
        <v>2367767</v>
      </c>
      <c r="C55" s="1139">
        <v>2395416</v>
      </c>
      <c r="D55" s="1139">
        <v>27649</v>
      </c>
      <c r="G55" s="694"/>
      <c r="H55" s="694"/>
    </row>
    <row r="56" spans="1:8" s="291" customFormat="1" ht="26.25" x14ac:dyDescent="0.4">
      <c r="A56" s="1140" t="s">
        <v>6408</v>
      </c>
      <c r="B56" s="1139">
        <v>4913171.2258064514</v>
      </c>
      <c r="C56" s="1139">
        <v>4645812</v>
      </c>
      <c r="D56" s="1139">
        <v>-209739.22580645164</v>
      </c>
      <c r="G56" s="694"/>
      <c r="H56" s="694"/>
    </row>
    <row r="57" spans="1:8" s="291" customFormat="1" ht="26.25" x14ac:dyDescent="0.4">
      <c r="A57" s="1140" t="s">
        <v>18</v>
      </c>
      <c r="B57" s="1139">
        <v>2386065.1605222733</v>
      </c>
      <c r="C57" s="1139">
        <v>3796750</v>
      </c>
      <c r="D57" s="1139">
        <v>1420684.8394777267</v>
      </c>
      <c r="G57" s="694"/>
      <c r="H57" s="694"/>
    </row>
    <row r="58" spans="1:8" s="291" customFormat="1" ht="26.25" x14ac:dyDescent="0.4">
      <c r="A58" s="1140" t="s">
        <v>7953</v>
      </c>
      <c r="B58" s="1139">
        <v>4397458</v>
      </c>
      <c r="C58" s="1139">
        <v>6566988</v>
      </c>
      <c r="D58" s="1139">
        <v>2169530</v>
      </c>
      <c r="G58" s="694"/>
      <c r="H58" s="694"/>
    </row>
    <row r="59" spans="1:8" s="291" customFormat="1" ht="26.25" x14ac:dyDescent="0.4">
      <c r="A59" s="1140" t="s">
        <v>7817</v>
      </c>
      <c r="B59" s="1139">
        <v>781154</v>
      </c>
      <c r="C59" s="1139">
        <v>1300000</v>
      </c>
      <c r="D59" s="1139">
        <v>518846</v>
      </c>
      <c r="G59" s="694"/>
      <c r="H59" s="694"/>
    </row>
    <row r="60" spans="1:8" s="291" customFormat="1" ht="26.25" x14ac:dyDescent="0.4">
      <c r="A60" s="1140" t="s">
        <v>7732</v>
      </c>
      <c r="B60" s="1139">
        <v>428088.12903225806</v>
      </c>
      <c r="C60" s="1139">
        <v>730000</v>
      </c>
      <c r="D60" s="1139">
        <v>301911.87096774194</v>
      </c>
      <c r="G60" s="694"/>
      <c r="H60" s="694"/>
    </row>
    <row r="61" spans="1:8" s="291" customFormat="1" ht="26.25" x14ac:dyDescent="0.4">
      <c r="A61" s="1140" t="s">
        <v>4721</v>
      </c>
      <c r="B61" s="1139">
        <v>4198143.8588709673</v>
      </c>
      <c r="C61" s="1139">
        <v>15155996.9</v>
      </c>
      <c r="D61" s="1139">
        <v>10957853.041129032</v>
      </c>
      <c r="G61" s="694"/>
      <c r="H61" s="694"/>
    </row>
    <row r="62" spans="1:8" s="291" customFormat="1" ht="26.25" x14ac:dyDescent="0.4">
      <c r="A62" s="1140" t="s">
        <v>5811</v>
      </c>
      <c r="B62" s="1139">
        <v>3130611.7334869434</v>
      </c>
      <c r="C62" s="1139">
        <v>3500000</v>
      </c>
      <c r="D62" s="1139">
        <v>369388.26651305659</v>
      </c>
      <c r="G62" s="694"/>
      <c r="H62" s="694"/>
    </row>
    <row r="63" spans="1:8" s="291" customFormat="1" ht="26.25" x14ac:dyDescent="0.4">
      <c r="A63" s="1140" t="s">
        <v>3946</v>
      </c>
      <c r="B63" s="1139">
        <v>15184751.153301951</v>
      </c>
      <c r="C63" s="1139">
        <v>20085226</v>
      </c>
      <c r="D63" s="1139">
        <v>4918305.8466980495</v>
      </c>
      <c r="G63" s="694"/>
      <c r="H63" s="694"/>
    </row>
    <row r="64" spans="1:8" s="291" customFormat="1" ht="26.25" x14ac:dyDescent="0.4">
      <c r="A64" s="1140" t="s">
        <v>3945</v>
      </c>
      <c r="B64" s="1139">
        <v>9690924.3492405564</v>
      </c>
      <c r="C64" s="1139">
        <v>15445913</v>
      </c>
      <c r="D64" s="1139">
        <v>5758367.6830175081</v>
      </c>
      <c r="G64" s="694"/>
      <c r="H64" s="694"/>
    </row>
    <row r="65" spans="1:8" s="291" customFormat="1" ht="26.25" x14ac:dyDescent="0.4">
      <c r="A65" s="1140" t="s">
        <v>6103</v>
      </c>
      <c r="B65" s="1139">
        <v>289848</v>
      </c>
      <c r="C65" s="1139">
        <v>1337000</v>
      </c>
      <c r="D65" s="1139">
        <v>1047152</v>
      </c>
      <c r="G65" s="694"/>
      <c r="H65" s="694"/>
    </row>
    <row r="66" spans="1:8" s="291" customFormat="1" ht="26.25" x14ac:dyDescent="0.4">
      <c r="A66" s="1140" t="s">
        <v>1400</v>
      </c>
      <c r="B66" s="1139">
        <v>114510981.94410785</v>
      </c>
      <c r="C66" s="1139">
        <v>130502260.09999999</v>
      </c>
      <c r="D66" s="1139">
        <v>16037003.15589213</v>
      </c>
      <c r="G66" s="694"/>
      <c r="H66" s="694"/>
    </row>
    <row r="67" spans="1:8" s="291" customFormat="1" ht="26.25" x14ac:dyDescent="0.4">
      <c r="A67" s="1140" t="s">
        <v>2933</v>
      </c>
      <c r="B67" s="1139">
        <v>97556794.74362056</v>
      </c>
      <c r="C67" s="1139">
        <v>137552234</v>
      </c>
      <c r="D67" s="1139">
        <v>39998531.25637947</v>
      </c>
      <c r="G67" s="694"/>
      <c r="H67" s="694"/>
    </row>
    <row r="68" spans="1:8" s="291" customFormat="1" ht="26.25" x14ac:dyDescent="0.4">
      <c r="A68" s="1140" t="s">
        <v>7657</v>
      </c>
      <c r="B68" s="1139">
        <v>2210566</v>
      </c>
      <c r="C68" s="1139">
        <v>2913264.51</v>
      </c>
      <c r="D68" s="1139">
        <v>702698.51</v>
      </c>
      <c r="G68" s="694"/>
      <c r="H68" s="694"/>
    </row>
    <row r="69" spans="1:8" s="291" customFormat="1" ht="26.25" x14ac:dyDescent="0.4">
      <c r="A69" s="1140" t="s">
        <v>7112</v>
      </c>
      <c r="B69" s="1139">
        <v>3206398.2150537632</v>
      </c>
      <c r="C69" s="1139">
        <v>3848397</v>
      </c>
      <c r="D69" s="1139">
        <v>641998.78494623653</v>
      </c>
      <c r="G69" s="694"/>
      <c r="H69" s="694"/>
    </row>
    <row r="70" spans="1:8" s="291" customFormat="1" ht="26.25" x14ac:dyDescent="0.4">
      <c r="A70" s="1140" t="s">
        <v>7067</v>
      </c>
      <c r="B70" s="1139">
        <v>18681972</v>
      </c>
      <c r="C70" s="1139">
        <v>24347604</v>
      </c>
      <c r="D70" s="1139">
        <v>5665632</v>
      </c>
      <c r="G70" s="694"/>
      <c r="H70" s="694"/>
    </row>
    <row r="71" spans="1:8" s="291" customFormat="1" ht="26.25" x14ac:dyDescent="0.4">
      <c r="A71" s="1140" t="s">
        <v>6505</v>
      </c>
      <c r="B71" s="1139">
        <v>5291119.9715821808</v>
      </c>
      <c r="C71" s="1139">
        <v>11568884</v>
      </c>
      <c r="D71" s="1139">
        <v>6302191.3617511522</v>
      </c>
      <c r="G71" s="694"/>
      <c r="H71" s="694"/>
    </row>
    <row r="72" spans="1:8" s="291" customFormat="1" ht="26.25" x14ac:dyDescent="0.4">
      <c r="A72" s="1140" t="s">
        <v>7555</v>
      </c>
      <c r="B72" s="1139">
        <v>2463913.4677419355</v>
      </c>
      <c r="C72" s="1139">
        <v>3410359</v>
      </c>
      <c r="D72" s="1139">
        <v>946445.53225806449</v>
      </c>
      <c r="G72" s="694"/>
      <c r="H72" s="694"/>
    </row>
    <row r="73" spans="1:8" s="291" customFormat="1" ht="26.25" x14ac:dyDescent="0.4">
      <c r="A73" s="1140" t="s">
        <v>6953</v>
      </c>
      <c r="B73" s="1139">
        <v>3524112</v>
      </c>
      <c r="C73" s="1139">
        <v>4875776</v>
      </c>
      <c r="D73" s="1139">
        <v>1351664</v>
      </c>
      <c r="G73" s="694"/>
      <c r="H73" s="694"/>
    </row>
    <row r="74" spans="1:8" s="291" customFormat="1" ht="26.25" x14ac:dyDescent="0.4">
      <c r="A74" s="1140" t="s">
        <v>6647</v>
      </c>
      <c r="B74" s="1139">
        <v>381763</v>
      </c>
      <c r="C74" s="1139">
        <v>448850</v>
      </c>
      <c r="D74" s="1139">
        <v>67087</v>
      </c>
      <c r="G74" s="694"/>
      <c r="H74" s="694"/>
    </row>
    <row r="75" spans="1:8" s="291" customFormat="1" ht="26.25" x14ac:dyDescent="0.4">
      <c r="A75" s="1140" t="s">
        <v>6518</v>
      </c>
      <c r="B75" s="1139">
        <v>11348698.623655912</v>
      </c>
      <c r="C75" s="1139">
        <v>13264500</v>
      </c>
      <c r="D75" s="1139">
        <v>1915801.3763440857</v>
      </c>
      <c r="G75" s="694"/>
      <c r="H75" s="694"/>
    </row>
    <row r="76" spans="1:8" s="291" customFormat="1" ht="26.25" x14ac:dyDescent="0.4">
      <c r="A76" s="1140" t="s">
        <v>2652</v>
      </c>
      <c r="B76" s="1139">
        <v>26687909.699682843</v>
      </c>
      <c r="C76" s="1139">
        <v>36731542</v>
      </c>
      <c r="D76" s="1139">
        <v>10068965.30031715</v>
      </c>
      <c r="G76" s="694"/>
      <c r="H76" s="694"/>
    </row>
    <row r="77" spans="1:8" s="291" customFormat="1" ht="26.25" x14ac:dyDescent="0.4">
      <c r="A77" s="1140" t="s">
        <v>5544</v>
      </c>
      <c r="B77" s="1139">
        <v>678790.36290322582</v>
      </c>
      <c r="C77" s="1139">
        <v>872151</v>
      </c>
      <c r="D77" s="1139">
        <v>193360.63709677418</v>
      </c>
      <c r="G77" s="694"/>
      <c r="H77" s="694"/>
    </row>
    <row r="78" spans="1:8" s="291" customFormat="1" ht="26.25" x14ac:dyDescent="0.4">
      <c r="A78" s="1140" t="s">
        <v>5641</v>
      </c>
      <c r="B78" s="1139">
        <v>2512284.75</v>
      </c>
      <c r="C78" s="1139">
        <v>3685007</v>
      </c>
      <c r="D78" s="1139">
        <v>1236944.25</v>
      </c>
      <c r="G78" s="694"/>
      <c r="H78" s="694"/>
    </row>
    <row r="79" spans="1:8" s="291" customFormat="1" ht="26.25" x14ac:dyDescent="0.4">
      <c r="A79" s="1140" t="s">
        <v>5052</v>
      </c>
      <c r="B79" s="1139">
        <v>4445446.3494623657</v>
      </c>
      <c r="C79" s="1139">
        <v>6341262</v>
      </c>
      <c r="D79" s="1139">
        <v>1895815.6505376345</v>
      </c>
      <c r="G79" s="694"/>
      <c r="H79" s="694"/>
    </row>
    <row r="80" spans="1:8" s="291" customFormat="1" ht="26.25" x14ac:dyDescent="0.4">
      <c r="A80" s="1140" t="s">
        <v>5617</v>
      </c>
      <c r="B80" s="1139">
        <v>1142182.75</v>
      </c>
      <c r="C80" s="1139">
        <v>2131308</v>
      </c>
      <c r="D80" s="1139">
        <v>989125.25</v>
      </c>
      <c r="G80" s="694"/>
      <c r="H80" s="694"/>
    </row>
    <row r="81" spans="1:8" s="291" customFormat="1" ht="26.25" x14ac:dyDescent="0.4">
      <c r="A81" s="1140" t="s">
        <v>82</v>
      </c>
      <c r="B81" s="1139">
        <v>4379244</v>
      </c>
      <c r="C81" s="1139">
        <v>10411961</v>
      </c>
      <c r="D81" s="1139">
        <v>6032717</v>
      </c>
      <c r="G81" s="694"/>
      <c r="H81" s="694"/>
    </row>
    <row r="82" spans="1:8" s="291" customFormat="1" ht="26.25" x14ac:dyDescent="0.4">
      <c r="A82" s="1140" t="s">
        <v>154</v>
      </c>
      <c r="B82" s="1139">
        <v>6704728</v>
      </c>
      <c r="C82" s="1139">
        <v>10075309</v>
      </c>
      <c r="D82" s="1139">
        <v>3380173</v>
      </c>
      <c r="G82" s="694"/>
      <c r="H82" s="694"/>
    </row>
    <row r="83" spans="1:8" s="291" customFormat="1" ht="26.25" x14ac:dyDescent="0.4">
      <c r="A83" s="1140" t="s">
        <v>2094</v>
      </c>
      <c r="B83" s="1139">
        <v>5185502.0489631332</v>
      </c>
      <c r="C83" s="1139">
        <v>6644055</v>
      </c>
      <c r="D83" s="1139">
        <v>1458552.9510368668</v>
      </c>
      <c r="G83" s="694"/>
      <c r="H83" s="694"/>
    </row>
    <row r="84" spans="1:8" s="291" customFormat="1" ht="26.25" x14ac:dyDescent="0.4">
      <c r="A84" s="1140" t="s">
        <v>2787</v>
      </c>
      <c r="B84" s="1139">
        <v>45546316.695372485</v>
      </c>
      <c r="C84" s="1139">
        <v>60651110</v>
      </c>
      <c r="D84" s="1139">
        <v>15104793.304627493</v>
      </c>
      <c r="G84" s="694"/>
      <c r="H84" s="694"/>
    </row>
    <row r="85" spans="1:8" s="291" customFormat="1" ht="26.25" x14ac:dyDescent="0.4">
      <c r="A85" s="1140" t="s">
        <v>2548</v>
      </c>
      <c r="B85" s="1139">
        <v>1543068.4838709678</v>
      </c>
      <c r="C85" s="1139">
        <v>2378225</v>
      </c>
      <c r="D85" s="1139">
        <v>835156.51612903224</v>
      </c>
      <c r="G85" s="694"/>
      <c r="H85" s="694"/>
    </row>
    <row r="86" spans="1:8" s="291" customFormat="1" ht="26.25" x14ac:dyDescent="0.4">
      <c r="A86" s="1140" t="s">
        <v>75</v>
      </c>
      <c r="B86" s="1139">
        <v>3731282</v>
      </c>
      <c r="C86" s="1139"/>
      <c r="D86" s="1139">
        <v>-3731282</v>
      </c>
      <c r="G86" s="694"/>
      <c r="H86" s="694"/>
    </row>
    <row r="87" spans="1:8" s="291" customFormat="1" ht="26.25" x14ac:dyDescent="0.4">
      <c r="A87" s="1140" t="s">
        <v>1493</v>
      </c>
      <c r="B87" s="1139">
        <v>1943741.4677419357</v>
      </c>
      <c r="C87" s="1139">
        <v>3015886</v>
      </c>
      <c r="D87" s="1139">
        <v>1072144.5322580645</v>
      </c>
      <c r="G87" s="694"/>
      <c r="H87" s="694"/>
    </row>
    <row r="88" spans="1:8" s="291" customFormat="1" ht="26.25" x14ac:dyDescent="0.4">
      <c r="A88" s="1140" t="s">
        <v>37</v>
      </c>
      <c r="B88" s="1139">
        <v>16092781.490161026</v>
      </c>
      <c r="C88" s="1139">
        <v>23729314</v>
      </c>
      <c r="D88" s="1139">
        <v>7627185.0636024121</v>
      </c>
      <c r="G88" s="694"/>
      <c r="H88" s="694"/>
    </row>
    <row r="89" spans="1:8" s="291" customFormat="1" ht="26.25" x14ac:dyDescent="0.4">
      <c r="A89" s="1140" t="s">
        <v>11</v>
      </c>
      <c r="B89" s="1139">
        <v>1897653.2044930877</v>
      </c>
      <c r="C89" s="1139">
        <v>1656000</v>
      </c>
      <c r="D89" s="1139">
        <v>-246653.20449308754</v>
      </c>
      <c r="G89" s="694"/>
      <c r="H89" s="694"/>
    </row>
    <row r="90" spans="1:8" s="291" customFormat="1" ht="26.25" x14ac:dyDescent="0.4">
      <c r="A90" s="1140" t="s">
        <v>25</v>
      </c>
      <c r="B90" s="1139">
        <v>18851759.887096774</v>
      </c>
      <c r="C90" s="1139"/>
      <c r="D90" s="1139">
        <v>-18841759.887096774</v>
      </c>
      <c r="G90" s="694"/>
      <c r="H90" s="694"/>
    </row>
    <row r="91" spans="1:8" s="291" customFormat="1" ht="26.25" x14ac:dyDescent="0.4">
      <c r="A91" s="1140" t="s">
        <v>14</v>
      </c>
      <c r="B91" s="1139">
        <v>1143402</v>
      </c>
      <c r="C91" s="1139">
        <v>1572705</v>
      </c>
      <c r="D91" s="1139">
        <v>429303</v>
      </c>
      <c r="G91" s="694"/>
      <c r="H91" s="694"/>
    </row>
    <row r="92" spans="1:8" s="291" customFormat="1" ht="26.25" x14ac:dyDescent="0.4">
      <c r="A92" s="1140" t="s">
        <v>1691</v>
      </c>
      <c r="B92" s="1139">
        <v>1698566</v>
      </c>
      <c r="C92" s="1139"/>
      <c r="D92" s="1139">
        <v>-1698566</v>
      </c>
      <c r="G92" s="694"/>
      <c r="H92" s="694"/>
    </row>
    <row r="93" spans="1:8" s="291" customFormat="1" ht="26.25" x14ac:dyDescent="0.4">
      <c r="A93" s="1140" t="s">
        <v>16</v>
      </c>
      <c r="B93" s="1139">
        <v>24421469.691530842</v>
      </c>
      <c r="C93" s="1139">
        <v>50000</v>
      </c>
      <c r="D93" s="1139">
        <v>-24371510.885079227</v>
      </c>
      <c r="G93" s="694"/>
      <c r="H93" s="694"/>
    </row>
    <row r="94" spans="1:8" s="291" customFormat="1" ht="26.25" x14ac:dyDescent="0.4">
      <c r="A94" s="1140" t="s">
        <v>22</v>
      </c>
      <c r="B94" s="1139">
        <v>721543</v>
      </c>
      <c r="C94" s="1139">
        <v>1000426</v>
      </c>
      <c r="D94" s="1139">
        <v>278883</v>
      </c>
      <c r="G94" s="694"/>
      <c r="H94" s="694"/>
    </row>
    <row r="95" spans="1:8" s="291" customFormat="1" ht="26.25" x14ac:dyDescent="0.4">
      <c r="A95" s="1140" t="s">
        <v>2657</v>
      </c>
      <c r="B95" s="1139">
        <v>1632291.6774193549</v>
      </c>
      <c r="C95" s="1139">
        <v>3056239</v>
      </c>
      <c r="D95" s="1139">
        <v>1423947.3225806453</v>
      </c>
      <c r="G95" s="694"/>
      <c r="H95" s="694"/>
    </row>
    <row r="96" spans="1:8" s="291" customFormat="1" ht="26.25" x14ac:dyDescent="0.4">
      <c r="A96" s="1140" t="s">
        <v>5165</v>
      </c>
      <c r="B96" s="1139"/>
      <c r="C96" s="1139">
        <v>485141</v>
      </c>
      <c r="D96" s="1139">
        <v>485141</v>
      </c>
      <c r="G96" s="694"/>
      <c r="H96" s="694"/>
    </row>
    <row r="97" spans="1:9" s="291" customFormat="1" ht="26.25" x14ac:dyDescent="0.4">
      <c r="A97" s="1140" t="s">
        <v>6635</v>
      </c>
      <c r="B97" s="1139">
        <v>631720</v>
      </c>
      <c r="C97" s="1139">
        <v>1000000</v>
      </c>
      <c r="D97" s="1139">
        <v>368280</v>
      </c>
      <c r="G97" s="694"/>
      <c r="H97" s="694"/>
    </row>
    <row r="98" spans="1:9" s="291" customFormat="1" ht="26.25" x14ac:dyDescent="0.4">
      <c r="A98" s="1140" t="s">
        <v>6516</v>
      </c>
      <c r="B98" s="1139">
        <v>4971444.0025458178</v>
      </c>
      <c r="C98" s="1139">
        <v>7995733</v>
      </c>
      <c r="D98" s="1139">
        <v>3024288.9974541827</v>
      </c>
      <c r="F98" s="4"/>
      <c r="G98" s="245"/>
      <c r="H98" s="245"/>
      <c r="I98" s="4"/>
    </row>
    <row r="99" spans="1:9" s="291" customFormat="1" ht="26.25" x14ac:dyDescent="0.4">
      <c r="A99" s="1140" t="s">
        <v>6447</v>
      </c>
      <c r="B99" s="1139">
        <v>550023</v>
      </c>
      <c r="C99" s="1139">
        <v>1100470</v>
      </c>
      <c r="D99" s="1139">
        <v>550447</v>
      </c>
      <c r="F99" s="4"/>
      <c r="G99" s="245"/>
      <c r="H99" s="245"/>
      <c r="I99" s="4"/>
    </row>
    <row r="100" spans="1:9" s="291" customFormat="1" ht="26.25" x14ac:dyDescent="0.4">
      <c r="A100" s="1140" t="s">
        <v>5746</v>
      </c>
      <c r="B100" s="1139">
        <v>735045</v>
      </c>
      <c r="C100" s="1139">
        <v>1058484</v>
      </c>
      <c r="D100" s="1139">
        <v>323439</v>
      </c>
      <c r="F100" s="4"/>
      <c r="G100" s="245"/>
      <c r="H100" s="245"/>
      <c r="I100" s="4"/>
    </row>
    <row r="101" spans="1:9" s="291" customFormat="1" ht="26.25" x14ac:dyDescent="0.4">
      <c r="A101" s="1140" t="s">
        <v>5671</v>
      </c>
      <c r="B101" s="1139">
        <v>271826</v>
      </c>
      <c r="C101" s="1139">
        <v>563000</v>
      </c>
      <c r="D101" s="1139">
        <v>291174</v>
      </c>
      <c r="F101" s="4"/>
      <c r="G101" s="245"/>
      <c r="H101" s="245"/>
      <c r="I101" s="4"/>
    </row>
    <row r="102" spans="1:9" ht="26.25" x14ac:dyDescent="0.4">
      <c r="A102" s="1140" t="s">
        <v>7764</v>
      </c>
      <c r="B102" s="1139"/>
      <c r="C102" s="1139">
        <v>64507</v>
      </c>
      <c r="D102" s="1139">
        <v>64507</v>
      </c>
    </row>
    <row r="103" spans="1:9" ht="26.25" x14ac:dyDescent="0.4">
      <c r="A103" s="1140" t="s">
        <v>40</v>
      </c>
      <c r="B103" s="1139">
        <v>51386165.801987335</v>
      </c>
      <c r="C103" s="1139">
        <v>69560627</v>
      </c>
      <c r="D103" s="1139">
        <v>18225961.198012669</v>
      </c>
    </row>
    <row r="104" spans="1:9" ht="26.25" x14ac:dyDescent="0.4">
      <c r="A104" s="1140" t="s">
        <v>5227</v>
      </c>
      <c r="B104" s="1139">
        <v>1808575</v>
      </c>
      <c r="C104" s="1139">
        <v>2875708</v>
      </c>
      <c r="D104" s="1139">
        <v>1067133</v>
      </c>
    </row>
    <row r="105" spans="1:9" ht="26.25" x14ac:dyDescent="0.4">
      <c r="A105" s="1140" t="s">
        <v>3622</v>
      </c>
      <c r="B105" s="1139">
        <v>7385548</v>
      </c>
      <c r="C105" s="1139">
        <v>12071334</v>
      </c>
      <c r="D105" s="1139">
        <v>4685786</v>
      </c>
    </row>
    <row r="106" spans="1:9" ht="26.25" x14ac:dyDescent="0.4">
      <c r="A106" s="1140" t="s">
        <v>3733</v>
      </c>
      <c r="B106" s="1139">
        <v>5642256.6693548393</v>
      </c>
      <c r="C106" s="1139">
        <v>6215763</v>
      </c>
      <c r="D106" s="1139">
        <v>573506.33064516122</v>
      </c>
    </row>
    <row r="107" spans="1:9" ht="26.25" x14ac:dyDescent="0.4">
      <c r="A107" s="1140" t="s">
        <v>8828</v>
      </c>
      <c r="B107" s="1139">
        <v>785021</v>
      </c>
      <c r="C107" s="1139">
        <v>690021</v>
      </c>
      <c r="D107" s="1139">
        <v>-95000</v>
      </c>
    </row>
    <row r="108" spans="1:9" ht="26.25" x14ac:dyDescent="0.4">
      <c r="A108" s="1140" t="s">
        <v>8891</v>
      </c>
      <c r="B108" s="1139">
        <v>84014</v>
      </c>
      <c r="C108" s="1139">
        <v>88818</v>
      </c>
      <c r="D108" s="1139">
        <v>4804</v>
      </c>
    </row>
    <row r="109" spans="1:9" ht="26.25" x14ac:dyDescent="0.4">
      <c r="A109" s="1140" t="s">
        <v>9515</v>
      </c>
      <c r="B109" s="1139">
        <v>332250</v>
      </c>
      <c r="C109" s="1139"/>
      <c r="D109" s="1139">
        <v>-332250</v>
      </c>
    </row>
    <row r="110" spans="1:9" ht="26.25" x14ac:dyDescent="0.4">
      <c r="A110" s="1140" t="s">
        <v>10373</v>
      </c>
      <c r="B110" s="1139">
        <v>25000</v>
      </c>
      <c r="C110" s="1139"/>
      <c r="D110" s="1139">
        <v>-25000</v>
      </c>
    </row>
    <row r="111" spans="1:9" ht="26.25" x14ac:dyDescent="0.4">
      <c r="A111" s="1137" t="s">
        <v>10363</v>
      </c>
      <c r="B111" s="1139">
        <v>112800</v>
      </c>
      <c r="C111" s="1139"/>
      <c r="D111" s="1139">
        <v>-112800</v>
      </c>
    </row>
    <row r="112" spans="1:9" ht="26.25" x14ac:dyDescent="0.4">
      <c r="A112" s="1140" t="s">
        <v>11625</v>
      </c>
      <c r="B112" s="1139">
        <v>92210</v>
      </c>
      <c r="C112" s="1139">
        <v>112665</v>
      </c>
      <c r="D112" s="1139">
        <v>20455</v>
      </c>
    </row>
    <row r="113" spans="1:4" ht="26.25" x14ac:dyDescent="0.4">
      <c r="A113" s="1137" t="s">
        <v>11716</v>
      </c>
      <c r="B113" s="1139">
        <v>56173</v>
      </c>
      <c r="C113" s="1139"/>
      <c r="D113" s="1139">
        <v>-56173</v>
      </c>
    </row>
    <row r="114" spans="1:4" ht="26.25" x14ac:dyDescent="0.4">
      <c r="A114" s="1137" t="s">
        <v>12455</v>
      </c>
      <c r="B114" s="1139">
        <v>20900</v>
      </c>
      <c r="C114" s="1139"/>
      <c r="D114" s="1139">
        <v>-20900</v>
      </c>
    </row>
    <row r="115" spans="1:4" ht="26.25" x14ac:dyDescent="0.4">
      <c r="A115" s="1137" t="s">
        <v>12710</v>
      </c>
      <c r="B115" s="1139">
        <v>1071000</v>
      </c>
      <c r="C115" s="1139"/>
      <c r="D115" s="1139">
        <v>-1071000</v>
      </c>
    </row>
    <row r="116" spans="1:4" ht="26.25" x14ac:dyDescent="0.4">
      <c r="A116" s="1138" t="s">
        <v>12711</v>
      </c>
      <c r="B116" s="1139">
        <v>1071000</v>
      </c>
      <c r="C116" s="1139"/>
      <c r="D116" s="1139">
        <v>-1071000</v>
      </c>
    </row>
    <row r="117" spans="1:4" ht="26.25" x14ac:dyDescent="0.4">
      <c r="A117" s="1137" t="s">
        <v>12786</v>
      </c>
      <c r="B117" s="1139">
        <v>75000</v>
      </c>
      <c r="C117" s="1139"/>
      <c r="D117" s="1139">
        <v>-75000</v>
      </c>
    </row>
    <row r="118" spans="1:4" ht="26.25" x14ac:dyDescent="0.4">
      <c r="A118" s="1138" t="s">
        <v>12787</v>
      </c>
      <c r="B118" s="1139">
        <v>75000</v>
      </c>
      <c r="C118" s="1139"/>
      <c r="D118" s="1139">
        <v>-75000</v>
      </c>
    </row>
    <row r="119" spans="1:4" ht="26.25" x14ac:dyDescent="0.4">
      <c r="A119" s="1140" t="s">
        <v>45</v>
      </c>
      <c r="B119" s="1139">
        <v>904889550.60898054</v>
      </c>
      <c r="C119" s="1139">
        <v>1149303312.9299998</v>
      </c>
      <c r="D119" s="1139">
        <v>244699789.04682606</v>
      </c>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3"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42" t="s">
        <v>10901</v>
      </c>
      <c r="C2" s="1028">
        <v>47002950</v>
      </c>
      <c r="D2" s="1028">
        <f>C2*5%</f>
        <v>2350147.5</v>
      </c>
      <c r="E2" s="1028">
        <f>C2-D2</f>
        <v>44652802.5</v>
      </c>
      <c r="F2" s="1044"/>
      <c r="G2" s="1064">
        <f ca="1">SUMIF(Posting!$B:$E,A2,Posting!$E:$E)</f>
        <v>20361108.333333336</v>
      </c>
      <c r="H2" s="1065">
        <f ca="1">SUMIF(Posting!$B:$F,A2,Posting!$F:$F)</f>
        <v>31892766</v>
      </c>
      <c r="I2" s="1064">
        <f ca="1">SUMIF(Supplier!$B:$F,A2,Supplier!$E:$E)-SUMIF(Supplier!$B:$F,A2,Supplier!$F:$F)</f>
        <v>296686</v>
      </c>
      <c r="J2" s="1064">
        <v>30787947.325000003</v>
      </c>
      <c r="K2" s="1064"/>
      <c r="L2" s="1064"/>
      <c r="M2" s="1065">
        <f ca="1">J2+K2-H2-L2</f>
        <v>-1104818.674999997</v>
      </c>
    </row>
    <row r="3" spans="1:16" x14ac:dyDescent="0.25">
      <c r="A3" s="940" t="s">
        <v>10144</v>
      </c>
      <c r="B3" s="1142"/>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42"/>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42"/>
      <c r="C5" s="1024">
        <v>6335567.4188222345</v>
      </c>
      <c r="D5" s="1024">
        <f>C5*9.15%</f>
        <v>579704.4188222345</v>
      </c>
      <c r="E5" s="1021">
        <f t="shared" si="0"/>
        <v>5755863</v>
      </c>
      <c r="F5" s="1042"/>
      <c r="G5" s="1022">
        <f ca="1">SUMIF(Posting!$B:$E,A5,Posting!$E:$E)</f>
        <v>3963168.4623655914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42"/>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42"/>
      <c r="C7" s="1024"/>
      <c r="D7" s="1024"/>
      <c r="E7" s="1024"/>
      <c r="F7" s="1042"/>
      <c r="G7" s="1022">
        <f ca="1">SUMIF(Posting!$B:$E,A7,Posting!$E:$E)</f>
        <v>5319119.9715821808</v>
      </c>
      <c r="H7" s="1022">
        <f ca="1">SUMIF(Posting!$B:$F,A7,Posting!$F:$F)</f>
        <v>11568884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43"/>
      <c r="C8" s="1025">
        <v>78840000</v>
      </c>
      <c r="D8" s="1025">
        <v>11384496</v>
      </c>
      <c r="E8" s="1025">
        <f t="shared" si="0"/>
        <v>67455504</v>
      </c>
      <c r="F8" s="1043"/>
      <c r="G8" s="1022">
        <f ca="1">SUMIF(Posting!$B:$E,A8,Posting!$E:$E)</f>
        <v>28862075</v>
      </c>
      <c r="H8" s="1026">
        <f ca="1">SUMIF(Posting!$B:$F,A8,Posting!$F:$F)</f>
        <v>19830000</v>
      </c>
      <c r="I8" s="1022">
        <f ca="1">SUMIF(Supplier!$B:$F,A8,Supplier!$E:$E)-SUMIF(Supplier!$B:$F,A8,Supplier!$F:$F)</f>
        <v>780143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42" t="s">
        <v>10902</v>
      </c>
      <c r="C10" s="1019">
        <v>13262828</v>
      </c>
      <c r="D10" s="1019"/>
      <c r="E10" s="1019">
        <f t="shared" ref="E10" si="1">C10-D10</f>
        <v>13262828</v>
      </c>
      <c r="F10" s="1039"/>
      <c r="G10" s="1022">
        <f ca="1">SUMIF(Posting!$B:$E,A10,Posting!$E:$E)</f>
        <v>6034444</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42"/>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42"/>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42"/>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42"/>
      <c r="C14" s="1021"/>
      <c r="D14" s="1021"/>
      <c r="E14" s="1021"/>
      <c r="F14" s="1041"/>
      <c r="G14" s="1022">
        <f ca="1">SUMIF(Posting!$B:$E,A14,Posting!$E:$E)</f>
        <v>6142754</v>
      </c>
      <c r="H14" s="1022">
        <f ca="1">SUMIF(Posting!$B:$F,A14,Posting!$F:$F)</f>
        <v>5930062</v>
      </c>
      <c r="I14" s="1022">
        <f ca="1">SUMIF(Supplier!$B:$F,A14,Supplier!$E:$E)-SUMIF(Supplier!$B:$F,A14,Supplier!$F:$F)</f>
        <v>491326</v>
      </c>
      <c r="J14" s="1022">
        <v>5746832</v>
      </c>
      <c r="K14" s="1022"/>
      <c r="L14" s="1064"/>
      <c r="M14" s="1035">
        <f ca="1">J14-H14</f>
        <v>-183230</v>
      </c>
      <c r="N14" s="1045"/>
    </row>
    <row r="15" spans="1:16" s="4" customFormat="1" x14ac:dyDescent="0.3">
      <c r="A15" s="940" t="s">
        <v>12207</v>
      </c>
      <c r="B15" s="1142"/>
      <c r="C15" s="1021"/>
      <c r="D15" s="1021"/>
      <c r="E15" s="1021"/>
      <c r="F15" s="1041"/>
      <c r="G15" s="1022">
        <f ca="1">SUMIF(Posting!$B:$E,A15,Posting!$E:$E)</f>
        <v>3401946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42"/>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42"/>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42"/>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42"/>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42"/>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42"/>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42"/>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42"/>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43"/>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44" t="s">
        <v>10903</v>
      </c>
      <c r="C26" s="1019">
        <v>28340413.5</v>
      </c>
      <c r="D26" s="1019"/>
      <c r="E26" s="1019">
        <f t="shared" si="0"/>
        <v>28340413.5</v>
      </c>
      <c r="F26" s="1039"/>
      <c r="G26" s="1022">
        <f ca="1">SUMIF(Posting!$B:$E,A26,Posting!$E:$E)</f>
        <v>23478366.833333332</v>
      </c>
      <c r="H26" s="1020">
        <f ca="1">SUMIF(Posting!$B:$F,A26,Posting!$F:$F)</f>
        <v>26417406</v>
      </c>
      <c r="I26" s="1022">
        <f ca="1">SUMIF(Supplier!$B:$F,A26,Supplier!$E:$E)-SUMIF(Supplier!$B:$F,A26,Supplier!$F:$F)</f>
        <v>167559</v>
      </c>
      <c r="J26" s="1022">
        <v>25423994.165999997</v>
      </c>
      <c r="K26" s="1022">
        <v>5940507.6512000002</v>
      </c>
      <c r="L26" s="1064"/>
      <c r="M26" s="1022">
        <f ca="1">J26+K26-H26-L26</f>
        <v>4947095.8171999976</v>
      </c>
    </row>
    <row r="27" spans="1:13" s="4" customFormat="1" ht="19.5" thickBot="1" x14ac:dyDescent="0.35">
      <c r="A27" s="1095" t="s">
        <v>11716</v>
      </c>
      <c r="B27" s="1142"/>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45"/>
      <c r="C28" s="1025">
        <v>33854640.027999997</v>
      </c>
      <c r="D28" s="1025"/>
      <c r="E28" s="1025">
        <f t="shared" si="0"/>
        <v>33854640.027999997</v>
      </c>
      <c r="F28" s="1043"/>
      <c r="G28" s="1022">
        <f ca="1">SUMIF(Posting!$B:$E,A28,Posting!$E:$E)</f>
        <v>21151121.397849467</v>
      </c>
      <c r="H28" s="1026">
        <f ca="1">SUMIF(Posting!$B:$F,A28,Posting!$F:$F)</f>
        <v>27083716</v>
      </c>
      <c r="I28" s="1022">
        <f ca="1">SUMIF(Supplier!$B:$F,A28,Supplier!$E:$E)-SUMIF(Supplier!$B:$F,A28,Supplier!$F:$F)</f>
        <v>866930.5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3264240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33947718.333333336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42"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42"/>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42"/>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42"/>
      <c r="C39" s="1021"/>
      <c r="D39" s="1021"/>
      <c r="E39" s="1021"/>
      <c r="F39" s="1041"/>
      <c r="G39" s="1022">
        <f ca="1">SUMIF(Posting!$B:$E,A39,Posting!$E:$E)</f>
        <v>33705548</v>
      </c>
      <c r="H39" s="1026">
        <f ca="1">SUMIF(Posting!$B:$F,A39,Posting!$F:$F)</f>
        <v>45337381</v>
      </c>
      <c r="I39" s="1022">
        <f ca="1">SUMIF(Supplier!$B:$F,A39,Supplier!$E:$E)-SUMIF(Supplier!$B:$F,A39,Supplier!$F:$F)</f>
        <v>5655877</v>
      </c>
      <c r="J39" s="1022"/>
      <c r="K39" s="1022"/>
      <c r="L39" s="1022"/>
      <c r="M39" s="1022"/>
    </row>
    <row r="40" spans="1:201" s="4" customFormat="1" ht="19.5" thickBot="1" x14ac:dyDescent="0.35">
      <c r="A40" s="1103" t="s">
        <v>12623</v>
      </c>
      <c r="B40" s="1142"/>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42"/>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42"/>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42"/>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42"/>
      <c r="C44" s="1021"/>
      <c r="D44" s="1021"/>
      <c r="E44" s="1021"/>
      <c r="F44" s="1041"/>
      <c r="G44" s="1022">
        <f ca="1">SUMIF(Posting!$B:$E,A44,Posting!$E:$E)</f>
        <v>7365237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42"/>
      <c r="C45" s="1021">
        <v>9435400</v>
      </c>
      <c r="D45" s="1021"/>
      <c r="E45" s="1021">
        <f t="shared" si="0"/>
        <v>9435400</v>
      </c>
      <c r="F45" s="1041"/>
      <c r="G45" s="1022">
        <f ca="1">SUMIF(Posting!$B:$E,A45,Posting!$E:$E)</f>
        <v>5073225.5483870972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42"/>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42"/>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42"/>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42"/>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42"/>
      <c r="C50" s="1021">
        <v>24512695</v>
      </c>
      <c r="D50" s="1021"/>
      <c r="E50" s="1021">
        <f t="shared" si="0"/>
        <v>24512695</v>
      </c>
      <c r="F50" s="1041"/>
      <c r="G50" s="1022">
        <f ca="1">SUMIF(Posting!$B:$E,A50,Posting!$E:$E)</f>
        <v>20158378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42"/>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46"/>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12452026.5</v>
      </c>
      <c r="J53" s="314">
        <f>SUM(J2:J52)</f>
        <v>210439331.30528498</v>
      </c>
      <c r="K53" s="314"/>
      <c r="L53" s="314"/>
      <c r="M53" s="314">
        <f ca="1">SUM(M2:M52)</f>
        <v>30065353.840935003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52"/>
  <sheetViews>
    <sheetView zoomScale="120" zoomScaleNormal="120" workbookViewId="0">
      <pane ySplit="1" topLeftCell="A3683" activePane="bottomLeft" state="frozen"/>
      <selection activeCell="D26" sqref="D26"/>
      <selection pane="bottomLeft" activeCell="G3705" sqref="G370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5" t="s">
        <v>519</v>
      </c>
    </row>
    <row r="53" spans="1:8" x14ac:dyDescent="0.25">
      <c r="A53" s="17">
        <v>42426</v>
      </c>
      <c r="B53" s="21" t="s">
        <v>129</v>
      </c>
      <c r="C53" s="13" t="s">
        <v>161</v>
      </c>
      <c r="D53" s="766"/>
      <c r="E53" s="22"/>
      <c r="F53" s="19">
        <v>60000</v>
      </c>
      <c r="G53" s="14">
        <f t="shared" si="4"/>
        <v>-60000</v>
      </c>
      <c r="H53" s="1215"/>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8" t="s">
        <v>518</v>
      </c>
    </row>
    <row r="65" spans="1:8" x14ac:dyDescent="0.25">
      <c r="A65" s="17">
        <v>42430</v>
      </c>
      <c r="B65" s="21" t="s">
        <v>40</v>
      </c>
      <c r="C65" s="13" t="s">
        <v>164</v>
      </c>
      <c r="D65" s="766">
        <v>8707</v>
      </c>
      <c r="E65" s="22">
        <v>9826</v>
      </c>
      <c r="F65" s="19"/>
      <c r="G65" s="14">
        <f t="shared" si="6"/>
        <v>9826</v>
      </c>
      <c r="H65" s="1219"/>
    </row>
    <row r="66" spans="1:8" x14ac:dyDescent="0.25">
      <c r="A66" s="17">
        <v>42432</v>
      </c>
      <c r="B66" s="21" t="s">
        <v>130</v>
      </c>
      <c r="C66" s="13" t="s">
        <v>164</v>
      </c>
      <c r="D66" s="766">
        <v>8822</v>
      </c>
      <c r="E66" s="22">
        <v>10294</v>
      </c>
      <c r="F66" s="19"/>
      <c r="G66" s="14">
        <f t="shared" si="6"/>
        <v>10294</v>
      </c>
      <c r="H66" s="1219"/>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6" t="s">
        <v>2193</v>
      </c>
    </row>
    <row r="442" spans="1:8" x14ac:dyDescent="0.25">
      <c r="A442" s="17">
        <v>42740</v>
      </c>
      <c r="B442" s="10" t="s">
        <v>1400</v>
      </c>
      <c r="C442" s="11" t="s">
        <v>1803</v>
      </c>
      <c r="F442" s="9">
        <v>433634</v>
      </c>
      <c r="G442" s="6">
        <f t="shared" si="11"/>
        <v>-433634</v>
      </c>
      <c r="H442" s="1217"/>
    </row>
    <row r="443" spans="1:8" x14ac:dyDescent="0.25">
      <c r="A443" s="17">
        <v>42740</v>
      </c>
      <c r="B443" s="10" t="s">
        <v>1676</v>
      </c>
      <c r="C443" s="11" t="s">
        <v>1803</v>
      </c>
      <c r="F443" s="9">
        <v>32908</v>
      </c>
      <c r="G443" s="6">
        <f t="shared" si="11"/>
        <v>-32908</v>
      </c>
      <c r="H443" s="1217"/>
    </row>
    <row r="444" spans="1:8" x14ac:dyDescent="0.25">
      <c r="A444" s="17">
        <v>42740</v>
      </c>
      <c r="B444" s="10" t="s">
        <v>32</v>
      </c>
      <c r="C444" s="11" t="s">
        <v>1803</v>
      </c>
      <c r="F444" s="9">
        <v>30468</v>
      </c>
      <c r="G444" s="6">
        <f t="shared" si="11"/>
        <v>-30468</v>
      </c>
      <c r="H444" s="1218"/>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6" t="s">
        <v>2194</v>
      </c>
    </row>
    <row r="460" spans="1:8" x14ac:dyDescent="0.25">
      <c r="A460" s="17">
        <v>42804</v>
      </c>
      <c r="B460" s="10" t="s">
        <v>1397</v>
      </c>
      <c r="C460" s="11" t="s">
        <v>1803</v>
      </c>
      <c r="F460" s="9">
        <v>100000</v>
      </c>
      <c r="G460" s="6">
        <f t="shared" si="11"/>
        <v>-100000</v>
      </c>
      <c r="H460" s="1217"/>
    </row>
    <row r="461" spans="1:8" x14ac:dyDescent="0.25">
      <c r="A461" s="17">
        <v>42804</v>
      </c>
      <c r="B461" s="10" t="s">
        <v>32</v>
      </c>
      <c r="C461" s="11" t="s">
        <v>1803</v>
      </c>
      <c r="F461" s="9">
        <v>100000</v>
      </c>
      <c r="G461" s="6">
        <f t="shared" si="11"/>
        <v>-100000</v>
      </c>
      <c r="H461" s="1218"/>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6" t="s">
        <v>2412</v>
      </c>
    </row>
    <row r="542" spans="1:8" x14ac:dyDescent="0.25">
      <c r="A542" s="17">
        <v>42875</v>
      </c>
      <c r="B542" s="10" t="s">
        <v>1397</v>
      </c>
      <c r="C542" s="11" t="s">
        <v>161</v>
      </c>
      <c r="F542" s="9">
        <v>99093</v>
      </c>
      <c r="G542" s="6">
        <f t="shared" si="16"/>
        <v>-99093</v>
      </c>
      <c r="H542" s="1218"/>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6" t="s">
        <v>2420</v>
      </c>
    </row>
    <row r="560" spans="1:8" x14ac:dyDescent="0.25">
      <c r="A560" s="17">
        <v>42880</v>
      </c>
      <c r="B560" s="149" t="s">
        <v>32</v>
      </c>
      <c r="C560" s="150" t="s">
        <v>1803</v>
      </c>
      <c r="D560" s="772"/>
      <c r="E560" s="151"/>
      <c r="F560" s="152">
        <v>100000</v>
      </c>
      <c r="G560" s="153">
        <f t="shared" si="16"/>
        <v>-100000</v>
      </c>
      <c r="H560" s="1218"/>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20" t="s">
        <v>2981</v>
      </c>
    </row>
    <row r="751" spans="1:8" x14ac:dyDescent="0.25">
      <c r="A751" s="17">
        <v>43081</v>
      </c>
      <c r="B751" s="10" t="s">
        <v>2787</v>
      </c>
      <c r="C751" s="11" t="s">
        <v>166</v>
      </c>
      <c r="F751" s="9">
        <v>183600</v>
      </c>
      <c r="G751" s="6">
        <f t="shared" si="20"/>
        <v>-183600</v>
      </c>
      <c r="H751" s="1221"/>
    </row>
    <row r="752" spans="1:8" x14ac:dyDescent="0.25">
      <c r="A752" s="17">
        <v>43081</v>
      </c>
      <c r="B752" s="10" t="s">
        <v>40</v>
      </c>
      <c r="C752" s="11" t="s">
        <v>166</v>
      </c>
      <c r="F752" s="9">
        <v>69900</v>
      </c>
      <c r="G752" s="6">
        <f t="shared" si="20"/>
        <v>-69900</v>
      </c>
      <c r="H752" s="1221"/>
    </row>
    <row r="753" spans="1:8" x14ac:dyDescent="0.25">
      <c r="A753" s="17">
        <v>43081</v>
      </c>
      <c r="B753" s="10" t="s">
        <v>1400</v>
      </c>
      <c r="C753" s="11" t="s">
        <v>166</v>
      </c>
      <c r="F753" s="9">
        <v>84000</v>
      </c>
      <c r="G753" s="6">
        <f t="shared" si="20"/>
        <v>-84000</v>
      </c>
      <c r="H753" s="1221"/>
    </row>
    <row r="754" spans="1:8" x14ac:dyDescent="0.25">
      <c r="A754" s="17">
        <v>43081</v>
      </c>
      <c r="B754" s="10" t="s">
        <v>2227</v>
      </c>
      <c r="C754" s="11" t="s">
        <v>166</v>
      </c>
      <c r="F754" s="9">
        <v>35709</v>
      </c>
      <c r="G754" s="6">
        <f t="shared" si="20"/>
        <v>-35709</v>
      </c>
      <c r="H754" s="1221"/>
    </row>
    <row r="755" spans="1:8" x14ac:dyDescent="0.25">
      <c r="A755" s="17">
        <v>43081</v>
      </c>
      <c r="B755" s="10" t="s">
        <v>1397</v>
      </c>
      <c r="C755" s="11" t="s">
        <v>166</v>
      </c>
      <c r="F755" s="9">
        <v>3823</v>
      </c>
      <c r="G755" s="6">
        <f t="shared" si="20"/>
        <v>-3823</v>
      </c>
      <c r="H755" s="1222"/>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23" t="s">
        <v>3052</v>
      </c>
    </row>
    <row r="768" spans="1:8" x14ac:dyDescent="0.25">
      <c r="A768" s="17">
        <v>43122</v>
      </c>
      <c r="B768" s="10" t="s">
        <v>2787</v>
      </c>
      <c r="C768" s="11" t="s">
        <v>166</v>
      </c>
      <c r="F768" s="9">
        <f>500000-F767</f>
        <v>443523</v>
      </c>
      <c r="G768" s="6">
        <f t="shared" si="20"/>
        <v>-443523</v>
      </c>
      <c r="H768" s="1224"/>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30" t="s">
        <v>6678</v>
      </c>
    </row>
    <row r="1801" spans="1:8" x14ac:dyDescent="0.25">
      <c r="A1801" s="113">
        <v>44261</v>
      </c>
      <c r="B1801" s="10" t="s">
        <v>1400</v>
      </c>
      <c r="C1801" s="11" t="s">
        <v>166</v>
      </c>
      <c r="F1801" s="9">
        <v>50000</v>
      </c>
      <c r="G1801" s="6">
        <f t="shared" ref="G1801" si="32">E1801-F1801</f>
        <v>-50000</v>
      </c>
      <c r="H1801" s="1230"/>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31" t="s">
        <v>6973</v>
      </c>
    </row>
    <row r="1878" spans="1:8" ht="24" customHeight="1" x14ac:dyDescent="0.25">
      <c r="A1878" s="113">
        <v>44288</v>
      </c>
      <c r="B1878" s="10" t="s">
        <v>6408</v>
      </c>
      <c r="C1878" s="11" t="s">
        <v>438</v>
      </c>
      <c r="F1878" s="9">
        <v>7970</v>
      </c>
      <c r="G1878" s="6">
        <f t="shared" si="34"/>
        <v>-7970</v>
      </c>
      <c r="H1878" s="1231"/>
    </row>
    <row r="1879" spans="1:8" ht="24" customHeight="1" x14ac:dyDescent="0.25">
      <c r="A1879" s="113">
        <v>44288</v>
      </c>
      <c r="B1879" s="10" t="s">
        <v>1400</v>
      </c>
      <c r="C1879" s="11" t="s">
        <v>438</v>
      </c>
      <c r="F1879" s="9">
        <v>21500</v>
      </c>
      <c r="G1879" s="6">
        <f t="shared" si="34"/>
        <v>-21500</v>
      </c>
      <c r="H1879" s="1231"/>
    </row>
    <row r="1880" spans="1:8" ht="24" customHeight="1" x14ac:dyDescent="0.25">
      <c r="A1880" s="113">
        <v>44288</v>
      </c>
      <c r="B1880" s="10" t="s">
        <v>6408</v>
      </c>
      <c r="C1880" s="11" t="s">
        <v>438</v>
      </c>
      <c r="F1880" s="9">
        <v>2900</v>
      </c>
      <c r="G1880" s="6">
        <f t="shared" si="34"/>
        <v>-2900</v>
      </c>
      <c r="H1880" s="1231"/>
    </row>
    <row r="1881" spans="1:8" ht="24" customHeight="1" x14ac:dyDescent="0.25">
      <c r="A1881" s="113">
        <v>44280</v>
      </c>
      <c r="B1881" s="10" t="s">
        <v>1400</v>
      </c>
      <c r="C1881" s="11" t="s">
        <v>438</v>
      </c>
      <c r="F1881" s="9">
        <v>24225</v>
      </c>
      <c r="G1881" s="6">
        <f t="shared" si="34"/>
        <v>-24225</v>
      </c>
      <c r="H1881" s="1231"/>
    </row>
    <row r="1882" spans="1:8" ht="24" customHeight="1" x14ac:dyDescent="0.25">
      <c r="A1882" s="113">
        <v>44331</v>
      </c>
      <c r="B1882" s="10" t="s">
        <v>6408</v>
      </c>
      <c r="C1882" s="11" t="s">
        <v>438</v>
      </c>
      <c r="F1882" s="9">
        <v>54720</v>
      </c>
      <c r="G1882" s="6">
        <f t="shared" si="34"/>
        <v>-54720</v>
      </c>
      <c r="H1882" s="1231"/>
    </row>
    <row r="1883" spans="1:8" ht="24" customHeight="1" x14ac:dyDescent="0.25">
      <c r="A1883" s="113">
        <v>44341</v>
      </c>
      <c r="B1883" s="10" t="s">
        <v>6511</v>
      </c>
      <c r="C1883" s="11" t="s">
        <v>438</v>
      </c>
      <c r="F1883" s="9">
        <v>22415</v>
      </c>
      <c r="G1883" s="6">
        <f t="shared" si="34"/>
        <v>-22415</v>
      </c>
      <c r="H1883" s="1231"/>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83" t="s">
        <v>6910</v>
      </c>
    </row>
    <row r="1887" spans="1:8" x14ac:dyDescent="0.25">
      <c r="A1887" s="113">
        <v>44291</v>
      </c>
      <c r="B1887" s="10" t="s">
        <v>6518</v>
      </c>
      <c r="C1887" s="11" t="s">
        <v>1803</v>
      </c>
      <c r="E1887" s="109"/>
      <c r="F1887" s="111">
        <v>82220</v>
      </c>
      <c r="G1887" s="6">
        <f t="shared" si="34"/>
        <v>-82220</v>
      </c>
      <c r="H1887" s="1150"/>
    </row>
    <row r="1888" spans="1:8" x14ac:dyDescent="0.25">
      <c r="A1888" s="113">
        <v>44291</v>
      </c>
      <c r="B1888" s="10" t="s">
        <v>6511</v>
      </c>
      <c r="C1888" s="11" t="s">
        <v>1803</v>
      </c>
      <c r="E1888" s="109"/>
      <c r="F1888" s="111">
        <f>16101+25620</f>
        <v>41721</v>
      </c>
      <c r="G1888" s="6">
        <f t="shared" si="34"/>
        <v>-41721</v>
      </c>
      <c r="H1888" s="1150"/>
    </row>
    <row r="1889" spans="1:8" x14ac:dyDescent="0.25">
      <c r="A1889" s="113">
        <v>44291</v>
      </c>
      <c r="B1889" s="10" t="s">
        <v>6720</v>
      </c>
      <c r="C1889" s="11" t="s">
        <v>1803</v>
      </c>
      <c r="E1889" s="109"/>
      <c r="F1889" s="112">
        <v>200000</v>
      </c>
      <c r="G1889" s="6">
        <f t="shared" si="34"/>
        <v>-200000</v>
      </c>
      <c r="H1889" s="1151"/>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7" t="s">
        <v>7139</v>
      </c>
    </row>
    <row r="1997" spans="1:8" x14ac:dyDescent="0.25">
      <c r="A1997" s="659">
        <v>44392</v>
      </c>
      <c r="B1997" s="660" t="s">
        <v>6955</v>
      </c>
      <c r="C1997" s="661" t="s">
        <v>166</v>
      </c>
      <c r="E1997" s="662"/>
      <c r="F1997" s="665">
        <v>34800</v>
      </c>
      <c r="G1997" s="664">
        <f t="shared" si="36"/>
        <v>-34800</v>
      </c>
      <c r="H1997" s="1228"/>
    </row>
    <row r="1998" spans="1:8" ht="16.5" thickBot="1" x14ac:dyDescent="0.3">
      <c r="A1998" s="659">
        <v>44392</v>
      </c>
      <c r="B1998" s="660" t="s">
        <v>1400</v>
      </c>
      <c r="C1998" s="661" t="s">
        <v>166</v>
      </c>
      <c r="E1998" s="662"/>
      <c r="F1998" s="666">
        <v>23022</v>
      </c>
      <c r="G1998" s="664">
        <f t="shared" si="36"/>
        <v>-23022</v>
      </c>
      <c r="H1998" s="1229"/>
    </row>
    <row r="1999" spans="1:8" x14ac:dyDescent="0.25">
      <c r="A1999" s="652">
        <v>44392</v>
      </c>
      <c r="B1999" s="653" t="s">
        <v>6511</v>
      </c>
      <c r="C1999" s="654" t="s">
        <v>438</v>
      </c>
      <c r="E1999" s="655"/>
      <c r="F1999" s="656">
        <f>480791-39410</f>
        <v>441381</v>
      </c>
      <c r="G1999" s="657">
        <f t="shared" si="36"/>
        <v>-441381</v>
      </c>
      <c r="H1999" s="1232" t="s">
        <v>7141</v>
      </c>
    </row>
    <row r="2000" spans="1:8" x14ac:dyDescent="0.25">
      <c r="A2000" s="652">
        <v>44392</v>
      </c>
      <c r="B2000" s="653" t="s">
        <v>6955</v>
      </c>
      <c r="C2000" s="654" t="s">
        <v>438</v>
      </c>
      <c r="E2000" s="655"/>
      <c r="F2000" s="673">
        <v>39410</v>
      </c>
      <c r="G2000" s="657">
        <f t="shared" si="36"/>
        <v>-39410</v>
      </c>
      <c r="H2000" s="1233"/>
    </row>
    <row r="2001" spans="1:8" ht="16.5" thickBot="1" x14ac:dyDescent="0.3">
      <c r="A2001" s="652">
        <v>44392</v>
      </c>
      <c r="B2001" s="653" t="s">
        <v>6408</v>
      </c>
      <c r="C2001" s="654" t="s">
        <v>438</v>
      </c>
      <c r="E2001" s="655"/>
      <c r="F2001" s="658">
        <v>40445</v>
      </c>
      <c r="G2001" s="657">
        <f t="shared" si="36"/>
        <v>-40445</v>
      </c>
      <c r="H2001" s="1234"/>
    </row>
    <row r="2002" spans="1:8" x14ac:dyDescent="0.25">
      <c r="A2002" s="659">
        <v>44392</v>
      </c>
      <c r="B2002" s="660" t="s">
        <v>6955</v>
      </c>
      <c r="C2002" s="661" t="s">
        <v>438</v>
      </c>
      <c r="E2002" s="662"/>
      <c r="F2002" s="663">
        <v>134360</v>
      </c>
      <c r="G2002" s="664">
        <f t="shared" si="36"/>
        <v>-134360</v>
      </c>
      <c r="H2002" s="1225" t="s">
        <v>7142</v>
      </c>
    </row>
    <row r="2003" spans="1:8" x14ac:dyDescent="0.25">
      <c r="A2003" s="659">
        <v>44392</v>
      </c>
      <c r="B2003" s="660" t="s">
        <v>1400</v>
      </c>
      <c r="C2003" s="661" t="s">
        <v>438</v>
      </c>
      <c r="E2003" s="662"/>
      <c r="F2003" s="665">
        <v>79000</v>
      </c>
      <c r="G2003" s="664">
        <f t="shared" si="36"/>
        <v>-79000</v>
      </c>
      <c r="H2003" s="1226"/>
    </row>
    <row r="2004" spans="1:8" x14ac:dyDescent="0.25">
      <c r="A2004" s="659">
        <v>44392</v>
      </c>
      <c r="B2004" s="660" t="s">
        <v>6408</v>
      </c>
      <c r="C2004" s="661" t="s">
        <v>438</v>
      </c>
      <c r="E2004" s="662"/>
      <c r="F2004" s="665">
        <v>35561</v>
      </c>
      <c r="G2004" s="664">
        <f t="shared" si="36"/>
        <v>-35561</v>
      </c>
      <c r="H2004" s="1226"/>
    </row>
    <row r="2005" spans="1:8" x14ac:dyDescent="0.25">
      <c r="A2005" s="659">
        <v>44392</v>
      </c>
      <c r="B2005" s="660" t="s">
        <v>3946</v>
      </c>
      <c r="C2005" s="661" t="s">
        <v>438</v>
      </c>
      <c r="E2005" s="662"/>
      <c r="F2005" s="665">
        <v>252800</v>
      </c>
      <c r="G2005" s="664">
        <f t="shared" si="36"/>
        <v>-252800</v>
      </c>
      <c r="H2005" s="1226"/>
    </row>
    <row r="2006" spans="1:8" ht="16.5" thickBot="1" x14ac:dyDescent="0.3">
      <c r="A2006" s="659">
        <v>44392</v>
      </c>
      <c r="B2006" s="660" t="s">
        <v>7067</v>
      </c>
      <c r="C2006" s="661" t="s">
        <v>438</v>
      </c>
      <c r="E2006" s="662"/>
      <c r="F2006" s="666">
        <v>209</v>
      </c>
      <c r="G2006" s="664">
        <f t="shared" si="36"/>
        <v>-209</v>
      </c>
      <c r="H2006" s="1226"/>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8" t="s">
        <v>7253</v>
      </c>
    </row>
    <row r="2036" spans="1:8" x14ac:dyDescent="0.25">
      <c r="A2036" s="113">
        <v>44431</v>
      </c>
      <c r="B2036" s="10" t="s">
        <v>7112</v>
      </c>
      <c r="C2036" s="11" t="s">
        <v>7242</v>
      </c>
      <c r="F2036" s="9">
        <v>50000</v>
      </c>
      <c r="G2036" s="6">
        <f t="shared" si="37"/>
        <v>-50000</v>
      </c>
      <c r="H2036" s="1238"/>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6" t="s">
        <v>7300</v>
      </c>
    </row>
    <row r="2061" spans="1:8" x14ac:dyDescent="0.25">
      <c r="A2061" s="113">
        <v>44456</v>
      </c>
      <c r="B2061" s="10" t="s">
        <v>6511</v>
      </c>
      <c r="C2061" s="11" t="s">
        <v>438</v>
      </c>
      <c r="F2061" s="9">
        <v>137800</v>
      </c>
      <c r="G2061" s="6">
        <f t="shared" si="38"/>
        <v>-137800</v>
      </c>
      <c r="H2061" s="1197"/>
    </row>
    <row r="2062" spans="1:8" x14ac:dyDescent="0.25">
      <c r="A2062" s="113">
        <v>44456</v>
      </c>
      <c r="B2062" s="10" t="s">
        <v>7067</v>
      </c>
      <c r="C2062" s="11" t="s">
        <v>438</v>
      </c>
      <c r="F2062" s="9">
        <v>29791</v>
      </c>
      <c r="G2062" s="6">
        <f t="shared" si="38"/>
        <v>-29791</v>
      </c>
      <c r="H2062" s="1197"/>
    </row>
    <row r="2063" spans="1:8" x14ac:dyDescent="0.25">
      <c r="A2063" s="113">
        <v>44456</v>
      </c>
      <c r="B2063" s="10" t="s">
        <v>6408</v>
      </c>
      <c r="C2063" s="11" t="s">
        <v>438</v>
      </c>
      <c r="F2063" s="9">
        <v>87105</v>
      </c>
      <c r="G2063" s="6">
        <f t="shared" si="38"/>
        <v>-87105</v>
      </c>
      <c r="H2063" s="1197"/>
    </row>
    <row r="2064" spans="1:8" x14ac:dyDescent="0.25">
      <c r="A2064" s="113">
        <v>44456</v>
      </c>
      <c r="B2064" s="10" t="s">
        <v>1400</v>
      </c>
      <c r="C2064" s="11" t="s">
        <v>438</v>
      </c>
      <c r="F2064" s="9">
        <v>3014</v>
      </c>
      <c r="G2064" s="6">
        <f t="shared" si="38"/>
        <v>-3014</v>
      </c>
      <c r="H2064" s="1198"/>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9" t="s">
        <v>7314</v>
      </c>
    </row>
    <row r="2078" spans="1:8" x14ac:dyDescent="0.25">
      <c r="A2078" s="113">
        <v>44460</v>
      </c>
      <c r="B2078" s="10" t="s">
        <v>6955</v>
      </c>
      <c r="C2078" s="11" t="s">
        <v>166</v>
      </c>
      <c r="F2078" s="9">
        <v>123680</v>
      </c>
      <c r="G2078" s="6">
        <f t="shared" si="38"/>
        <v>-123680</v>
      </c>
      <c r="H2078" s="1239"/>
    </row>
    <row r="2079" spans="1:8" x14ac:dyDescent="0.25">
      <c r="A2079" s="113">
        <v>44460</v>
      </c>
      <c r="B2079" s="10" t="s">
        <v>6408</v>
      </c>
      <c r="C2079" s="11" t="s">
        <v>166</v>
      </c>
      <c r="F2079" s="9">
        <v>13600</v>
      </c>
      <c r="G2079" s="6">
        <f t="shared" si="38"/>
        <v>-13600</v>
      </c>
      <c r="H2079" s="1239"/>
    </row>
    <row r="2080" spans="1:8" x14ac:dyDescent="0.25">
      <c r="A2080" s="113">
        <v>44460</v>
      </c>
      <c r="B2080" s="10" t="s">
        <v>6511</v>
      </c>
      <c r="C2080" s="11" t="s">
        <v>166</v>
      </c>
      <c r="F2080" s="9">
        <v>6755</v>
      </c>
      <c r="G2080" s="6">
        <f t="shared" si="38"/>
        <v>-6755</v>
      </c>
      <c r="H2080" s="1239"/>
    </row>
    <row r="2081" spans="1:8" x14ac:dyDescent="0.25">
      <c r="A2081" s="113">
        <v>44460</v>
      </c>
      <c r="B2081" s="10" t="s">
        <v>1400</v>
      </c>
      <c r="C2081" s="11" t="s">
        <v>166</v>
      </c>
      <c r="F2081" s="9">
        <v>9165</v>
      </c>
      <c r="G2081" s="6">
        <f t="shared" si="38"/>
        <v>-9165</v>
      </c>
      <c r="H2081" s="1239"/>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8" t="s">
        <v>7363</v>
      </c>
    </row>
    <row r="2086" spans="1:8" x14ac:dyDescent="0.25">
      <c r="A2086" s="113">
        <v>44476</v>
      </c>
      <c r="B2086" s="10" t="s">
        <v>6408</v>
      </c>
      <c r="C2086" s="661" t="s">
        <v>7242</v>
      </c>
      <c r="E2086" s="662"/>
      <c r="F2086" s="665">
        <v>2404</v>
      </c>
      <c r="G2086" s="664">
        <f t="shared" si="38"/>
        <v>-2404</v>
      </c>
      <c r="H2086" s="1238"/>
    </row>
    <row r="2087" spans="1:8" x14ac:dyDescent="0.25">
      <c r="A2087" s="113">
        <v>44476</v>
      </c>
      <c r="B2087" s="10" t="s">
        <v>6955</v>
      </c>
      <c r="C2087" s="661" t="s">
        <v>7242</v>
      </c>
      <c r="E2087" s="662"/>
      <c r="F2087" s="665">
        <v>14457</v>
      </c>
      <c r="G2087" s="664">
        <f t="shared" si="38"/>
        <v>-14457</v>
      </c>
      <c r="H2087" s="1238"/>
    </row>
    <row r="2088" spans="1:8" x14ac:dyDescent="0.25">
      <c r="A2088" s="113">
        <v>44476</v>
      </c>
      <c r="B2088" s="10" t="s">
        <v>7112</v>
      </c>
      <c r="C2088" s="661" t="s">
        <v>7242</v>
      </c>
      <c r="E2088" s="662"/>
      <c r="F2088" s="665">
        <v>3866</v>
      </c>
      <c r="G2088" s="664">
        <f t="shared" si="38"/>
        <v>-3866</v>
      </c>
      <c r="H2088" s="1238"/>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6" t="s">
        <v>7430</v>
      </c>
    </row>
    <row r="2106" spans="1:8" x14ac:dyDescent="0.25">
      <c r="A2106" s="113">
        <v>44495</v>
      </c>
      <c r="B2106" s="21" t="s">
        <v>5811</v>
      </c>
      <c r="C2106" s="746" t="s">
        <v>438</v>
      </c>
      <c r="D2106" s="766"/>
      <c r="E2106" s="747"/>
      <c r="F2106" s="748">
        <v>63000</v>
      </c>
      <c r="G2106" s="14">
        <f t="shared" si="39"/>
        <v>-63000</v>
      </c>
      <c r="H2106" s="1236"/>
    </row>
    <row r="2107" spans="1:8" x14ac:dyDescent="0.25">
      <c r="A2107" s="113">
        <v>44495</v>
      </c>
      <c r="B2107" s="21" t="s">
        <v>3946</v>
      </c>
      <c r="C2107" s="746" t="s">
        <v>438</v>
      </c>
      <c r="D2107" s="766"/>
      <c r="E2107" s="747"/>
      <c r="F2107" s="748">
        <v>161200</v>
      </c>
      <c r="G2107" s="14">
        <f t="shared" si="39"/>
        <v>-161200</v>
      </c>
      <c r="H2107" s="1236"/>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5" t="s">
        <v>7468</v>
      </c>
    </row>
    <row r="2125" spans="1:8" x14ac:dyDescent="0.25">
      <c r="A2125" s="113">
        <v>44510</v>
      </c>
      <c r="B2125" s="21" t="s">
        <v>7112</v>
      </c>
      <c r="C2125" s="13" t="s">
        <v>7467</v>
      </c>
      <c r="D2125" s="766"/>
      <c r="E2125" s="22"/>
      <c r="F2125" s="19">
        <v>30988</v>
      </c>
      <c r="G2125" s="14">
        <f t="shared" si="39"/>
        <v>-30988</v>
      </c>
      <c r="H2125" s="1215"/>
    </row>
    <row r="2126" spans="1:8" x14ac:dyDescent="0.25">
      <c r="A2126" s="113">
        <v>44510</v>
      </c>
      <c r="B2126" s="21" t="s">
        <v>6955</v>
      </c>
      <c r="C2126" s="13" t="s">
        <v>7467</v>
      </c>
      <c r="D2126" s="766"/>
      <c r="E2126" s="22"/>
      <c r="F2126" s="19">
        <v>21999</v>
      </c>
      <c r="G2126" s="14">
        <f t="shared" si="39"/>
        <v>-21999</v>
      </c>
      <c r="H2126" s="1215"/>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6" t="s">
        <v>7523</v>
      </c>
    </row>
    <row r="2141" spans="1:8" x14ac:dyDescent="0.25">
      <c r="A2141" s="113">
        <v>44529</v>
      </c>
      <c r="B2141" s="21" t="s">
        <v>6508</v>
      </c>
      <c r="C2141" s="13" t="s">
        <v>180</v>
      </c>
      <c r="D2141" s="766"/>
      <c r="E2141" s="22"/>
      <c r="F2141" s="19">
        <v>27915</v>
      </c>
      <c r="G2141" s="14">
        <f t="shared" si="39"/>
        <v>-27915</v>
      </c>
      <c r="H2141" s="1236"/>
    </row>
    <row r="2142" spans="1:8" x14ac:dyDescent="0.25">
      <c r="A2142" s="113">
        <v>44532</v>
      </c>
      <c r="B2142" s="21" t="s">
        <v>6408</v>
      </c>
      <c r="C2142" s="13" t="s">
        <v>1803</v>
      </c>
      <c r="D2142" s="766"/>
      <c r="E2142" s="22"/>
      <c r="F2142" s="19">
        <v>110233</v>
      </c>
      <c r="G2142" s="14">
        <f t="shared" si="39"/>
        <v>-110233</v>
      </c>
      <c r="H2142" s="1237" t="s">
        <v>7537</v>
      </c>
    </row>
    <row r="2143" spans="1:8" x14ac:dyDescent="0.25">
      <c r="A2143" s="113">
        <v>44532</v>
      </c>
      <c r="B2143" s="21" t="s">
        <v>6508</v>
      </c>
      <c r="C2143" s="13" t="s">
        <v>1803</v>
      </c>
      <c r="D2143" s="766"/>
      <c r="E2143" s="22"/>
      <c r="F2143" s="19">
        <v>230169</v>
      </c>
      <c r="G2143" s="14">
        <f t="shared" si="39"/>
        <v>-230169</v>
      </c>
      <c r="H2143" s="1237"/>
    </row>
    <row r="2144" spans="1:8" x14ac:dyDescent="0.25">
      <c r="A2144" s="113">
        <v>44532</v>
      </c>
      <c r="B2144" s="21" t="s">
        <v>6511</v>
      </c>
      <c r="C2144" s="13" t="s">
        <v>1803</v>
      </c>
      <c r="D2144" s="766"/>
      <c r="E2144" s="22"/>
      <c r="F2144" s="19">
        <v>136986</v>
      </c>
      <c r="G2144" s="14">
        <f t="shared" si="39"/>
        <v>-136986</v>
      </c>
      <c r="H2144" s="1237"/>
    </row>
    <row r="2145" spans="1:8" x14ac:dyDescent="0.25">
      <c r="A2145" s="113">
        <v>44532</v>
      </c>
      <c r="B2145" s="21" t="s">
        <v>6720</v>
      </c>
      <c r="C2145" s="13" t="s">
        <v>1803</v>
      </c>
      <c r="D2145" s="766"/>
      <c r="E2145" s="22"/>
      <c r="F2145" s="19">
        <v>10112</v>
      </c>
      <c r="G2145" s="14">
        <f t="shared" si="39"/>
        <v>-10112</v>
      </c>
      <c r="H2145" s="1237"/>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5" t="s">
        <v>7556</v>
      </c>
    </row>
    <row r="2149" spans="1:8" x14ac:dyDescent="0.25">
      <c r="A2149" s="113">
        <v>44538</v>
      </c>
      <c r="B2149" s="21" t="s">
        <v>2652</v>
      </c>
      <c r="C2149" s="13" t="s">
        <v>5681</v>
      </c>
      <c r="D2149" s="766"/>
      <c r="E2149" s="22"/>
      <c r="F2149" s="19">
        <v>72300</v>
      </c>
      <c r="G2149" s="14">
        <f t="shared" ref="G2149:G2191" si="40">E2149-F2149</f>
        <v>-72300</v>
      </c>
      <c r="H2149" s="1235"/>
    </row>
    <row r="2150" spans="1:8" x14ac:dyDescent="0.25">
      <c r="A2150" s="113">
        <v>44538</v>
      </c>
      <c r="B2150" s="21" t="s">
        <v>6408</v>
      </c>
      <c r="C2150" s="13" t="s">
        <v>5681</v>
      </c>
      <c r="D2150" s="766"/>
      <c r="E2150" s="22"/>
      <c r="F2150" s="19">
        <v>9500</v>
      </c>
      <c r="G2150" s="14">
        <f t="shared" si="40"/>
        <v>-9500</v>
      </c>
      <c r="H2150" s="1235"/>
    </row>
    <row r="2151" spans="1:8" x14ac:dyDescent="0.25">
      <c r="A2151" s="113">
        <v>44538</v>
      </c>
      <c r="B2151" s="21" t="s">
        <v>6511</v>
      </c>
      <c r="C2151" s="13" t="s">
        <v>5681</v>
      </c>
      <c r="D2151" s="766"/>
      <c r="E2151" s="22"/>
      <c r="F2151" s="19">
        <v>59100</v>
      </c>
      <c r="G2151" s="14">
        <f t="shared" si="40"/>
        <v>-59100</v>
      </c>
      <c r="H2151" s="1235"/>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40" t="s">
        <v>7676</v>
      </c>
    </row>
    <row r="2176" spans="1:8" x14ac:dyDescent="0.25">
      <c r="A2176" s="113">
        <v>44610</v>
      </c>
      <c r="B2176" s="21" t="s">
        <v>6955</v>
      </c>
      <c r="C2176" s="746" t="s">
        <v>7467</v>
      </c>
      <c r="D2176" s="766"/>
      <c r="E2176" s="747"/>
      <c r="F2176" s="748">
        <f>50900+252</f>
        <v>51152</v>
      </c>
      <c r="G2176" s="747">
        <f t="shared" si="40"/>
        <v>-51152</v>
      </c>
      <c r="H2176" s="1240"/>
    </row>
    <row r="2177" spans="1:8" x14ac:dyDescent="0.25">
      <c r="A2177" s="113">
        <v>44610</v>
      </c>
      <c r="B2177" s="21" t="s">
        <v>7067</v>
      </c>
      <c r="C2177" s="746" t="s">
        <v>7467</v>
      </c>
      <c r="D2177" s="766"/>
      <c r="E2177" s="747"/>
      <c r="F2177" s="748">
        <v>30105</v>
      </c>
      <c r="G2177" s="747">
        <f t="shared" si="40"/>
        <v>-30105</v>
      </c>
      <c r="H2177" s="1240"/>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5" t="s">
        <v>7896</v>
      </c>
    </row>
    <row r="2190" spans="1:8" x14ac:dyDescent="0.25">
      <c r="A2190" s="113">
        <v>44627</v>
      </c>
      <c r="B2190" s="21" t="s">
        <v>37</v>
      </c>
      <c r="C2190" s="13" t="s">
        <v>7242</v>
      </c>
      <c r="D2190" s="766"/>
      <c r="E2190" s="22"/>
      <c r="F2190" s="19">
        <v>66360</v>
      </c>
      <c r="G2190" s="14">
        <f t="shared" si="40"/>
        <v>-66360</v>
      </c>
      <c r="H2190" s="1215"/>
    </row>
    <row r="2191" spans="1:8" x14ac:dyDescent="0.25">
      <c r="A2191" s="113">
        <v>44627</v>
      </c>
      <c r="B2191" s="21" t="s">
        <v>1400</v>
      </c>
      <c r="C2191" s="746" t="s">
        <v>166</v>
      </c>
      <c r="D2191" s="766"/>
      <c r="E2191" s="747"/>
      <c r="F2191" s="747">
        <v>204468</v>
      </c>
      <c r="G2191" s="747">
        <f t="shared" si="40"/>
        <v>-204468</v>
      </c>
      <c r="H2191" s="1202" t="s">
        <v>7786</v>
      </c>
    </row>
    <row r="2192" spans="1:8" x14ac:dyDescent="0.25">
      <c r="A2192" s="113">
        <v>44627</v>
      </c>
      <c r="B2192" s="21" t="s">
        <v>7067</v>
      </c>
      <c r="C2192" s="746" t="s">
        <v>166</v>
      </c>
      <c r="D2192" s="766"/>
      <c r="E2192" s="747"/>
      <c r="F2192" s="747">
        <v>12627</v>
      </c>
      <c r="G2192" s="747">
        <f t="shared" ref="G2192:G2312" si="41">E2192-F2192</f>
        <v>-12627</v>
      </c>
      <c r="H2192" s="1202"/>
    </row>
    <row r="2193" spans="1:8" x14ac:dyDescent="0.25">
      <c r="A2193" s="113">
        <v>44627</v>
      </c>
      <c r="B2193" s="21" t="s">
        <v>7657</v>
      </c>
      <c r="C2193" s="746" t="s">
        <v>166</v>
      </c>
      <c r="D2193" s="766"/>
      <c r="E2193" s="747"/>
      <c r="F2193" s="747">
        <v>80000</v>
      </c>
      <c r="G2193" s="747">
        <f t="shared" si="41"/>
        <v>-80000</v>
      </c>
      <c r="H2193" s="1202"/>
    </row>
    <row r="2194" spans="1:8" x14ac:dyDescent="0.25">
      <c r="A2194" s="113">
        <v>44627</v>
      </c>
      <c r="B2194" s="21" t="s">
        <v>6955</v>
      </c>
      <c r="C2194" s="746" t="s">
        <v>166</v>
      </c>
      <c r="D2194" s="766"/>
      <c r="E2194" s="747"/>
      <c r="F2194" s="747">
        <v>2905</v>
      </c>
      <c r="G2194" s="747">
        <f t="shared" si="41"/>
        <v>-2905</v>
      </c>
      <c r="H2194" s="1202"/>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4" t="s">
        <v>7705</v>
      </c>
    </row>
    <row r="2202" spans="1:8" x14ac:dyDescent="0.25">
      <c r="A2202" s="113">
        <v>44627</v>
      </c>
      <c r="B2202" s="21" t="s">
        <v>7657</v>
      </c>
      <c r="C2202" s="13" t="s">
        <v>7242</v>
      </c>
      <c r="D2202" s="778" t="s">
        <v>7704</v>
      </c>
      <c r="E2202" s="22">
        <v>19800</v>
      </c>
      <c r="F2202" s="19"/>
      <c r="G2202" s="20">
        <f t="shared" si="41"/>
        <v>19800</v>
      </c>
      <c r="H2202" s="1244"/>
    </row>
    <row r="2203" spans="1:8" x14ac:dyDescent="0.25">
      <c r="A2203" s="113">
        <v>44637</v>
      </c>
      <c r="B2203" s="21" t="s">
        <v>7657</v>
      </c>
      <c r="C2203" s="13" t="s">
        <v>5681</v>
      </c>
      <c r="D2203" s="766">
        <v>35</v>
      </c>
      <c r="E2203" s="22">
        <f>11300+8400+7000+11700+2500</f>
        <v>40900</v>
      </c>
      <c r="F2203" s="19"/>
      <c r="G2203" s="20">
        <f t="shared" si="41"/>
        <v>40900</v>
      </c>
      <c r="H2203" s="1244" t="s">
        <v>7705</v>
      </c>
    </row>
    <row r="2204" spans="1:8" x14ac:dyDescent="0.25">
      <c r="A2204" s="113">
        <v>44637</v>
      </c>
      <c r="B2204" s="21" t="s">
        <v>7555</v>
      </c>
      <c r="C2204" s="13" t="s">
        <v>5681</v>
      </c>
      <c r="D2204" s="766">
        <v>35</v>
      </c>
      <c r="E2204" s="22">
        <f>7600+3500</f>
        <v>11100</v>
      </c>
      <c r="F2204" s="19"/>
      <c r="G2204" s="20">
        <f t="shared" si="41"/>
        <v>11100</v>
      </c>
      <c r="H2204" s="1244"/>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9" t="s">
        <v>7748</v>
      </c>
    </row>
    <row r="2220" spans="1:8" x14ac:dyDescent="0.25">
      <c r="A2220" s="113">
        <v>44645</v>
      </c>
      <c r="B2220" s="21" t="s">
        <v>6505</v>
      </c>
      <c r="C2220" s="13" t="s">
        <v>166</v>
      </c>
      <c r="D2220" s="766"/>
      <c r="E2220" s="22"/>
      <c r="F2220" s="19">
        <v>51585</v>
      </c>
      <c r="G2220" s="14">
        <f t="shared" si="41"/>
        <v>-51585</v>
      </c>
      <c r="H2220" s="1199"/>
    </row>
    <row r="2221" spans="1:8" x14ac:dyDescent="0.25">
      <c r="A2221" s="113">
        <v>44645</v>
      </c>
      <c r="B2221" s="21" t="s">
        <v>7657</v>
      </c>
      <c r="C2221" s="13" t="s">
        <v>166</v>
      </c>
      <c r="D2221" s="766"/>
      <c r="E2221" s="22"/>
      <c r="F2221" s="19">
        <v>122000</v>
      </c>
      <c r="G2221" s="14">
        <f t="shared" si="41"/>
        <v>-122000</v>
      </c>
      <c r="H2221" s="1199"/>
    </row>
    <row r="2222" spans="1:8" x14ac:dyDescent="0.25">
      <c r="A2222" s="113">
        <v>44645</v>
      </c>
      <c r="B2222" s="21" t="s">
        <v>37</v>
      </c>
      <c r="C2222" s="13" t="s">
        <v>166</v>
      </c>
      <c r="D2222" s="766"/>
      <c r="E2222" s="22"/>
      <c r="F2222" s="19">
        <v>8000</v>
      </c>
      <c r="G2222" s="14">
        <f t="shared" si="41"/>
        <v>-8000</v>
      </c>
      <c r="H2222" s="1199"/>
    </row>
    <row r="2223" spans="1:8" x14ac:dyDescent="0.25">
      <c r="A2223" s="113">
        <v>44645</v>
      </c>
      <c r="B2223" s="21" t="s">
        <v>7555</v>
      </c>
      <c r="C2223" s="13" t="s">
        <v>166</v>
      </c>
      <c r="D2223" s="766"/>
      <c r="E2223" s="22"/>
      <c r="F2223" s="19">
        <v>7857</v>
      </c>
      <c r="G2223" s="14">
        <f t="shared" si="41"/>
        <v>-7857</v>
      </c>
      <c r="H2223" s="1199"/>
    </row>
    <row r="2224" spans="1:8" x14ac:dyDescent="0.25">
      <c r="A2224" s="113">
        <v>44651</v>
      </c>
      <c r="B2224" s="21" t="s">
        <v>7067</v>
      </c>
      <c r="C2224" s="13" t="s">
        <v>164</v>
      </c>
      <c r="D2224" s="766"/>
      <c r="E2224" s="22"/>
      <c r="F2224" s="19">
        <v>100000</v>
      </c>
      <c r="G2224" s="14">
        <f t="shared" si="41"/>
        <v>-100000</v>
      </c>
      <c r="H2224" s="1202" t="s">
        <v>7750</v>
      </c>
    </row>
    <row r="2225" spans="1:8" x14ac:dyDescent="0.25">
      <c r="A2225" s="113">
        <v>44651</v>
      </c>
      <c r="B2225" s="21" t="s">
        <v>7112</v>
      </c>
      <c r="C2225" s="13" t="s">
        <v>164</v>
      </c>
      <c r="D2225" s="766"/>
      <c r="E2225" s="22"/>
      <c r="F2225" s="19">
        <v>100000</v>
      </c>
      <c r="G2225" s="14">
        <f t="shared" si="41"/>
        <v>-100000</v>
      </c>
      <c r="H2225" s="1202"/>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200" t="s">
        <v>7754</v>
      </c>
    </row>
    <row r="2232" spans="1:8" x14ac:dyDescent="0.25">
      <c r="A2232" s="113">
        <v>44651</v>
      </c>
      <c r="B2232" s="21" t="s">
        <v>7732</v>
      </c>
      <c r="C2232" s="13" t="s">
        <v>180</v>
      </c>
      <c r="D2232" s="766" t="s">
        <v>3918</v>
      </c>
      <c r="E2232" s="22"/>
      <c r="F2232" s="19">
        <v>710</v>
      </c>
      <c r="G2232" s="14">
        <f t="shared" si="41"/>
        <v>-710</v>
      </c>
      <c r="H2232" s="1200"/>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200" t="s">
        <v>7813</v>
      </c>
    </row>
    <row r="2243" spans="1:8" x14ac:dyDescent="0.25">
      <c r="A2243" s="113">
        <v>44669</v>
      </c>
      <c r="B2243" s="21" t="s">
        <v>7657</v>
      </c>
      <c r="C2243" s="13" t="s">
        <v>7242</v>
      </c>
      <c r="D2243" s="766"/>
      <c r="E2243" s="22"/>
      <c r="F2243" s="19">
        <v>14740</v>
      </c>
      <c r="G2243" s="14">
        <f t="shared" si="41"/>
        <v>-14740</v>
      </c>
      <c r="H2243" s="1200"/>
    </row>
    <row r="2244" spans="1:8" x14ac:dyDescent="0.25">
      <c r="A2244" s="113">
        <v>44669</v>
      </c>
      <c r="B2244" s="21" t="s">
        <v>7112</v>
      </c>
      <c r="C2244" s="13" t="s">
        <v>7242</v>
      </c>
      <c r="D2244" s="766"/>
      <c r="E2244" s="22"/>
      <c r="F2244" s="19">
        <v>12000</v>
      </c>
      <c r="G2244" s="14">
        <f t="shared" si="41"/>
        <v>-12000</v>
      </c>
      <c r="H2244" s="1200"/>
    </row>
    <row r="2245" spans="1:8" x14ac:dyDescent="0.25">
      <c r="A2245" s="113">
        <v>44669</v>
      </c>
      <c r="B2245" s="21" t="s">
        <v>7555</v>
      </c>
      <c r="C2245" s="13" t="s">
        <v>7242</v>
      </c>
      <c r="D2245" s="766"/>
      <c r="E2245" s="22"/>
      <c r="F2245" s="19">
        <v>14230</v>
      </c>
      <c r="G2245" s="14">
        <f t="shared" si="41"/>
        <v>-14230</v>
      </c>
      <c r="H2245" s="1200"/>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1" t="s">
        <v>7845</v>
      </c>
    </row>
    <row r="2251" spans="1:8" x14ac:dyDescent="0.25">
      <c r="A2251" s="716">
        <v>44676</v>
      </c>
      <c r="B2251" s="717" t="s">
        <v>3946</v>
      </c>
      <c r="C2251" s="718" t="s">
        <v>438</v>
      </c>
      <c r="D2251" s="766"/>
      <c r="E2251" s="719"/>
      <c r="F2251" s="720">
        <v>2600</v>
      </c>
      <c r="G2251" s="719">
        <f t="shared" si="41"/>
        <v>-2600</v>
      </c>
      <c r="H2251" s="1201"/>
    </row>
    <row r="2252" spans="1:8" x14ac:dyDescent="0.25">
      <c r="A2252" s="716">
        <v>44676</v>
      </c>
      <c r="B2252" s="717" t="s">
        <v>7112</v>
      </c>
      <c r="C2252" s="718" t="s">
        <v>438</v>
      </c>
      <c r="D2252" s="766"/>
      <c r="E2252" s="719"/>
      <c r="F2252" s="720">
        <v>24420</v>
      </c>
      <c r="G2252" s="719">
        <f t="shared" si="41"/>
        <v>-24420</v>
      </c>
      <c r="H2252" s="1201"/>
    </row>
    <row r="2253" spans="1:8" x14ac:dyDescent="0.25">
      <c r="A2253" s="716">
        <v>44676</v>
      </c>
      <c r="B2253" s="717" t="s">
        <v>1400</v>
      </c>
      <c r="C2253" s="718" t="s">
        <v>438</v>
      </c>
      <c r="D2253" s="766"/>
      <c r="E2253" s="719"/>
      <c r="F2253" s="720">
        <v>57690</v>
      </c>
      <c r="G2253" s="719">
        <f t="shared" si="41"/>
        <v>-57690</v>
      </c>
      <c r="H2253" s="1201"/>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03" t="s">
        <v>7992</v>
      </c>
    </row>
    <row r="2268" spans="1:8" x14ac:dyDescent="0.25">
      <c r="A2268" s="113">
        <v>44695</v>
      </c>
      <c r="B2268" s="21" t="s">
        <v>7112</v>
      </c>
      <c r="C2268" s="13" t="s">
        <v>166</v>
      </c>
      <c r="D2268" s="766"/>
      <c r="E2268" s="22"/>
      <c r="F2268" s="19">
        <v>3880</v>
      </c>
      <c r="G2268" s="14">
        <f t="shared" si="41"/>
        <v>-3880</v>
      </c>
      <c r="H2268" s="1203"/>
    </row>
    <row r="2269" spans="1:8" x14ac:dyDescent="0.25">
      <c r="A2269" s="113">
        <v>44695</v>
      </c>
      <c r="B2269" s="21" t="s">
        <v>7555</v>
      </c>
      <c r="C2269" s="13" t="s">
        <v>166</v>
      </c>
      <c r="D2269" s="766"/>
      <c r="E2269" s="22"/>
      <c r="F2269" s="19">
        <v>25143</v>
      </c>
      <c r="G2269" s="14">
        <f t="shared" si="41"/>
        <v>-25143</v>
      </c>
      <c r="H2269" s="1203"/>
    </row>
    <row r="2270" spans="1:8" x14ac:dyDescent="0.25">
      <c r="A2270" s="113">
        <v>44695</v>
      </c>
      <c r="B2270" s="21" t="s">
        <v>1400</v>
      </c>
      <c r="C2270" s="13" t="s">
        <v>166</v>
      </c>
      <c r="D2270" s="766"/>
      <c r="E2270" s="22"/>
      <c r="F2270" s="19">
        <v>116480</v>
      </c>
      <c r="G2270" s="14">
        <f t="shared" si="41"/>
        <v>-116480</v>
      </c>
      <c r="H2270" s="1203"/>
    </row>
    <row r="2271" spans="1:8" x14ac:dyDescent="0.25">
      <c r="A2271" s="113">
        <v>44695</v>
      </c>
      <c r="B2271" s="21" t="s">
        <v>7746</v>
      </c>
      <c r="C2271" s="13" t="s">
        <v>166</v>
      </c>
      <c r="D2271" s="766"/>
      <c r="E2271" s="22"/>
      <c r="F2271" s="19">
        <v>24000</v>
      </c>
      <c r="G2271" s="14">
        <f t="shared" si="41"/>
        <v>-24000</v>
      </c>
      <c r="H2271" s="1203"/>
    </row>
    <row r="2272" spans="1:8" x14ac:dyDescent="0.25">
      <c r="A2272" s="113">
        <v>44695</v>
      </c>
      <c r="B2272" s="21" t="s">
        <v>7817</v>
      </c>
      <c r="C2272" s="13" t="s">
        <v>166</v>
      </c>
      <c r="D2272" s="766"/>
      <c r="E2272" s="22"/>
      <c r="F2272" s="19">
        <v>15820</v>
      </c>
      <c r="G2272" s="14">
        <f t="shared" si="41"/>
        <v>-15820</v>
      </c>
      <c r="H2272" s="1203"/>
    </row>
    <row r="2273" spans="1:8" x14ac:dyDescent="0.25">
      <c r="A2273" s="113">
        <v>44695</v>
      </c>
      <c r="B2273" s="21" t="s">
        <v>3945</v>
      </c>
      <c r="C2273" s="13" t="s">
        <v>166</v>
      </c>
      <c r="D2273" s="766"/>
      <c r="E2273" s="22"/>
      <c r="F2273" s="19">
        <v>5200</v>
      </c>
      <c r="G2273" s="14">
        <f t="shared" si="41"/>
        <v>-5200</v>
      </c>
      <c r="H2273" s="1203"/>
    </row>
    <row r="2274" spans="1:8" x14ac:dyDescent="0.25">
      <c r="A2274" s="113">
        <v>44695</v>
      </c>
      <c r="B2274" s="21" t="s">
        <v>1400</v>
      </c>
      <c r="C2274" s="13" t="s">
        <v>166</v>
      </c>
      <c r="D2274" s="766"/>
      <c r="E2274" s="22"/>
      <c r="F2274" s="19">
        <v>84852</v>
      </c>
      <c r="G2274" s="14">
        <f t="shared" si="41"/>
        <v>-84852</v>
      </c>
      <c r="H2274" s="1203"/>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4" t="s">
        <v>7900</v>
      </c>
    </row>
    <row r="2279" spans="1:8" x14ac:dyDescent="0.25">
      <c r="A2279" s="113">
        <v>44709</v>
      </c>
      <c r="B2279" s="21" t="s">
        <v>7067</v>
      </c>
      <c r="C2279" s="13" t="s">
        <v>164</v>
      </c>
      <c r="D2279" s="766"/>
      <c r="E2279" s="22"/>
      <c r="F2279" s="19">
        <v>49174</v>
      </c>
      <c r="G2279" s="14">
        <f t="shared" si="41"/>
        <v>-49174</v>
      </c>
      <c r="H2279" s="1204"/>
    </row>
    <row r="2280" spans="1:8" x14ac:dyDescent="0.25">
      <c r="A2280" s="113">
        <v>44709</v>
      </c>
      <c r="B2280" s="21" t="s">
        <v>7112</v>
      </c>
      <c r="C2280" s="13" t="s">
        <v>164</v>
      </c>
      <c r="D2280" s="766"/>
      <c r="E2280" s="22"/>
      <c r="F2280" s="19">
        <v>36997</v>
      </c>
      <c r="G2280" s="14">
        <f t="shared" si="41"/>
        <v>-36997</v>
      </c>
      <c r="H2280" s="1204"/>
    </row>
    <row r="2281" spans="1:8" x14ac:dyDescent="0.25">
      <c r="A2281" s="113">
        <v>44709</v>
      </c>
      <c r="B2281" s="21" t="s">
        <v>7555</v>
      </c>
      <c r="C2281" s="13" t="s">
        <v>164</v>
      </c>
      <c r="D2281" s="766"/>
      <c r="E2281" s="22"/>
      <c r="F2281" s="19">
        <v>4174</v>
      </c>
      <c r="G2281" s="14">
        <f t="shared" si="41"/>
        <v>-4174</v>
      </c>
      <c r="H2281" s="1204"/>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4" t="s">
        <v>7901</v>
      </c>
    </row>
    <row r="2285" spans="1:8" x14ac:dyDescent="0.25">
      <c r="A2285" s="113">
        <v>44711</v>
      </c>
      <c r="B2285" s="21" t="s">
        <v>7555</v>
      </c>
      <c r="C2285" s="13" t="s">
        <v>5681</v>
      </c>
      <c r="D2285" s="766"/>
      <c r="E2285" s="22"/>
      <c r="F2285" s="19">
        <v>5700</v>
      </c>
      <c r="G2285" s="14">
        <f t="shared" si="41"/>
        <v>-5700</v>
      </c>
      <c r="H2285" s="1204"/>
    </row>
    <row r="2286" spans="1:8" x14ac:dyDescent="0.25">
      <c r="A2286" s="113">
        <v>44711</v>
      </c>
      <c r="B2286" s="21" t="s">
        <v>7746</v>
      </c>
      <c r="C2286" s="13" t="s">
        <v>5681</v>
      </c>
      <c r="D2286" s="766"/>
      <c r="E2286" s="22"/>
      <c r="F2286" s="19">
        <v>74800</v>
      </c>
      <c r="G2286" s="14">
        <f t="shared" si="41"/>
        <v>-74800</v>
      </c>
      <c r="H2286" s="1204"/>
    </row>
    <row r="2287" spans="1:8" x14ac:dyDescent="0.25">
      <c r="A2287" s="113">
        <v>44711</v>
      </c>
      <c r="B2287" s="21" t="s">
        <v>7555</v>
      </c>
      <c r="C2287" s="13" t="s">
        <v>7242</v>
      </c>
      <c r="D2287" s="766"/>
      <c r="E2287" s="22"/>
      <c r="F2287" s="19">
        <v>50320</v>
      </c>
      <c r="G2287" s="14">
        <f t="shared" si="41"/>
        <v>-50320</v>
      </c>
      <c r="H2287" s="1204" t="s">
        <v>7902</v>
      </c>
    </row>
    <row r="2288" spans="1:8" x14ac:dyDescent="0.25">
      <c r="A2288" s="113">
        <v>44711</v>
      </c>
      <c r="B2288" s="21" t="s">
        <v>7657</v>
      </c>
      <c r="C2288" s="13" t="s">
        <v>7242</v>
      </c>
      <c r="D2288" s="766"/>
      <c r="E2288" s="22"/>
      <c r="F2288" s="19">
        <v>8180</v>
      </c>
      <c r="G2288" s="14">
        <f t="shared" si="41"/>
        <v>-8180</v>
      </c>
      <c r="H2288" s="1204"/>
    </row>
    <row r="2289" spans="1:8" x14ac:dyDescent="0.25">
      <c r="A2289" s="113">
        <v>44711</v>
      </c>
      <c r="B2289" s="21" t="s">
        <v>7817</v>
      </c>
      <c r="C2289" s="13" t="s">
        <v>7242</v>
      </c>
      <c r="D2289" s="766"/>
      <c r="E2289" s="22"/>
      <c r="F2289" s="19">
        <v>17000</v>
      </c>
      <c r="G2289" s="14">
        <f t="shared" si="41"/>
        <v>-17000</v>
      </c>
      <c r="H2289" s="1204"/>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4" t="s">
        <v>1157</v>
      </c>
    </row>
    <row r="2293" spans="1:8" x14ac:dyDescent="0.25">
      <c r="A2293" s="113">
        <v>44712</v>
      </c>
      <c r="B2293" s="21" t="s">
        <v>6408</v>
      </c>
      <c r="C2293" s="13" t="s">
        <v>3011</v>
      </c>
      <c r="D2293" s="766"/>
      <c r="E2293" s="22"/>
      <c r="F2293" s="19">
        <v>28567</v>
      </c>
      <c r="G2293" s="14">
        <f t="shared" si="41"/>
        <v>-28567</v>
      </c>
      <c r="H2293" s="1204"/>
    </row>
    <row r="2294" spans="1:8" x14ac:dyDescent="0.25">
      <c r="A2294" s="113">
        <v>44712</v>
      </c>
      <c r="B2294" s="21" t="s">
        <v>6511</v>
      </c>
      <c r="C2294" s="13" t="s">
        <v>3011</v>
      </c>
      <c r="D2294" s="766"/>
      <c r="E2294" s="22"/>
      <c r="F2294" s="19">
        <v>3053</v>
      </c>
      <c r="G2294" s="14">
        <f t="shared" si="41"/>
        <v>-3053</v>
      </c>
      <c r="H2294" s="1204"/>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5" t="s">
        <v>7995</v>
      </c>
    </row>
    <row r="2305" spans="1:8" x14ac:dyDescent="0.25">
      <c r="A2305" s="113">
        <v>44726</v>
      </c>
      <c r="B2305" s="21" t="s">
        <v>7921</v>
      </c>
      <c r="C2305" s="13" t="s">
        <v>166</v>
      </c>
      <c r="D2305" s="766"/>
      <c r="E2305" s="22"/>
      <c r="F2305" s="19">
        <v>132000</v>
      </c>
      <c r="G2305" s="14">
        <f t="shared" si="41"/>
        <v>-132000</v>
      </c>
      <c r="H2305" s="1245"/>
    </row>
    <row r="2306" spans="1:8" x14ac:dyDescent="0.25">
      <c r="A2306" s="113">
        <v>44726</v>
      </c>
      <c r="B2306" s="21" t="s">
        <v>7921</v>
      </c>
      <c r="C2306" s="13" t="s">
        <v>166</v>
      </c>
      <c r="D2306" s="766"/>
      <c r="E2306" s="22"/>
      <c r="F2306" s="19">
        <v>151650</v>
      </c>
      <c r="G2306" s="14">
        <f t="shared" si="41"/>
        <v>-151650</v>
      </c>
      <c r="H2306" s="1245"/>
    </row>
    <row r="2307" spans="1:8" x14ac:dyDescent="0.25">
      <c r="A2307" s="113">
        <v>44726</v>
      </c>
      <c r="B2307" s="21" t="s">
        <v>7921</v>
      </c>
      <c r="C2307" s="13" t="s">
        <v>166</v>
      </c>
      <c r="D2307" s="766"/>
      <c r="E2307" s="22"/>
      <c r="F2307" s="19">
        <f>500000-F2306-F2305-F2304</f>
        <v>60560</v>
      </c>
      <c r="G2307" s="14">
        <f t="shared" si="41"/>
        <v>-60560</v>
      </c>
      <c r="H2307" s="1245"/>
    </row>
    <row r="2308" spans="1:8" ht="15.75" customHeight="1" x14ac:dyDescent="0.25">
      <c r="A2308" s="113">
        <v>44726</v>
      </c>
      <c r="B2308" s="21" t="s">
        <v>2933</v>
      </c>
      <c r="C2308" s="13" t="s">
        <v>161</v>
      </c>
      <c r="D2308" s="766"/>
      <c r="E2308" s="22"/>
      <c r="F2308" s="19">
        <v>21337</v>
      </c>
      <c r="G2308" s="14">
        <f t="shared" si="41"/>
        <v>-21337</v>
      </c>
      <c r="H2308" s="1246" t="s">
        <v>7964</v>
      </c>
    </row>
    <row r="2309" spans="1:8" ht="15.75" customHeight="1" x14ac:dyDescent="0.25">
      <c r="A2309" s="113">
        <v>44726</v>
      </c>
      <c r="B2309" s="21" t="s">
        <v>7732</v>
      </c>
      <c r="C2309" s="13" t="s">
        <v>161</v>
      </c>
      <c r="D2309" s="766"/>
      <c r="E2309" s="22"/>
      <c r="F2309" s="19">
        <v>44651</v>
      </c>
      <c r="G2309" s="14">
        <f t="shared" si="41"/>
        <v>-44651</v>
      </c>
      <c r="H2309" s="1246"/>
    </row>
    <row r="2310" spans="1:8" ht="15.75" customHeight="1" x14ac:dyDescent="0.25">
      <c r="A2310" s="113">
        <v>44726</v>
      </c>
      <c r="B2310" s="21" t="s">
        <v>7746</v>
      </c>
      <c r="C2310" s="13" t="s">
        <v>161</v>
      </c>
      <c r="D2310" s="766"/>
      <c r="E2310" s="22"/>
      <c r="F2310" s="19">
        <v>33179</v>
      </c>
      <c r="G2310" s="14">
        <f t="shared" si="41"/>
        <v>-33179</v>
      </c>
      <c r="H2310" s="1246"/>
    </row>
    <row r="2311" spans="1:8" ht="16.5" customHeight="1" x14ac:dyDescent="0.25">
      <c r="A2311" s="113">
        <v>44726</v>
      </c>
      <c r="B2311" s="21" t="s">
        <v>7817</v>
      </c>
      <c r="C2311" s="13" t="s">
        <v>161</v>
      </c>
      <c r="D2311" s="766"/>
      <c r="E2311" s="22"/>
      <c r="F2311" s="19">
        <v>58530</v>
      </c>
      <c r="G2311" s="14">
        <f t="shared" si="41"/>
        <v>-58530</v>
      </c>
      <c r="H2311" s="1246"/>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9" t="s">
        <v>8541</v>
      </c>
    </row>
    <row r="2439" spans="1:8" x14ac:dyDescent="0.25">
      <c r="A2439" s="113">
        <v>44859</v>
      </c>
      <c r="B2439" s="21" t="s">
        <v>8077</v>
      </c>
      <c r="C2439" s="13" t="s">
        <v>166</v>
      </c>
      <c r="D2439" s="766"/>
      <c r="E2439" s="22"/>
      <c r="F2439" s="19">
        <v>31200</v>
      </c>
      <c r="G2439" s="14">
        <f t="shared" si="47"/>
        <v>-31200</v>
      </c>
      <c r="H2439" s="1219"/>
    </row>
    <row r="2440" spans="1:8" x14ac:dyDescent="0.25">
      <c r="A2440" s="113">
        <v>44859</v>
      </c>
      <c r="B2440" s="21" t="s">
        <v>8559</v>
      </c>
      <c r="C2440" s="13" t="s">
        <v>166</v>
      </c>
      <c r="D2440" s="766"/>
      <c r="E2440" s="22"/>
      <c r="F2440" s="19">
        <v>109718</v>
      </c>
      <c r="G2440" s="14">
        <f t="shared" si="47"/>
        <v>-109718</v>
      </c>
      <c r="H2440" s="1219"/>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6" t="s">
        <v>8554</v>
      </c>
    </row>
    <row r="2445" spans="1:8" x14ac:dyDescent="0.25">
      <c r="A2445" s="113">
        <v>44860</v>
      </c>
      <c r="B2445" s="21" t="s">
        <v>6505</v>
      </c>
      <c r="C2445" s="13" t="s">
        <v>2196</v>
      </c>
      <c r="D2445" s="766"/>
      <c r="E2445" s="22"/>
      <c r="F2445" s="19">
        <v>23920</v>
      </c>
      <c r="G2445" s="14">
        <f t="shared" si="47"/>
        <v>-23920</v>
      </c>
      <c r="H2445" s="1236"/>
    </row>
    <row r="2446" spans="1:8" x14ac:dyDescent="0.25">
      <c r="A2446" s="113">
        <v>44860</v>
      </c>
      <c r="B2446" s="21" t="s">
        <v>8559</v>
      </c>
      <c r="C2446" s="13" t="s">
        <v>2196</v>
      </c>
      <c r="D2446" s="766"/>
      <c r="E2446" s="22"/>
      <c r="F2446" s="19">
        <v>11080</v>
      </c>
      <c r="G2446" s="14">
        <f t="shared" si="47"/>
        <v>-11080</v>
      </c>
      <c r="H2446" s="1236"/>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5" t="s">
        <v>8627</v>
      </c>
    </row>
    <row r="2469" spans="1:8" x14ac:dyDescent="0.25">
      <c r="A2469" s="113">
        <v>44872</v>
      </c>
      <c r="B2469" s="21" t="s">
        <v>7817</v>
      </c>
      <c r="C2469" s="13" t="s">
        <v>162</v>
      </c>
      <c r="D2469" s="766"/>
      <c r="E2469" s="22"/>
      <c r="F2469" s="19">
        <v>35000</v>
      </c>
      <c r="G2469" s="14">
        <f t="shared" si="47"/>
        <v>-35000</v>
      </c>
      <c r="H2469" s="1215"/>
    </row>
    <row r="2470" spans="1:8" x14ac:dyDescent="0.25">
      <c r="A2470" s="113">
        <v>44872</v>
      </c>
      <c r="B2470" s="21" t="s">
        <v>7921</v>
      </c>
      <c r="C2470" s="13" t="s">
        <v>162</v>
      </c>
      <c r="D2470" s="766"/>
      <c r="E2470" s="22"/>
      <c r="F2470" s="19">
        <v>26000</v>
      </c>
      <c r="G2470" s="14">
        <f t="shared" si="47"/>
        <v>-26000</v>
      </c>
      <c r="H2470" s="1215"/>
    </row>
    <row r="2471" spans="1:8" x14ac:dyDescent="0.25">
      <c r="A2471" s="113">
        <v>44872</v>
      </c>
      <c r="B2471" s="21" t="s">
        <v>8077</v>
      </c>
      <c r="C2471" s="13" t="s">
        <v>162</v>
      </c>
      <c r="D2471" s="766"/>
      <c r="E2471" s="22"/>
      <c r="F2471" s="19">
        <v>32000</v>
      </c>
      <c r="G2471" s="14">
        <f t="shared" si="47"/>
        <v>-32000</v>
      </c>
      <c r="H2471" s="1215"/>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5" t="s">
        <v>8676</v>
      </c>
    </row>
    <row r="2487" spans="1:8" x14ac:dyDescent="0.25">
      <c r="A2487" s="113">
        <v>44882</v>
      </c>
      <c r="B2487" s="21" t="s">
        <v>8043</v>
      </c>
      <c r="C2487" s="13" t="s">
        <v>161</v>
      </c>
      <c r="D2487" s="766"/>
      <c r="E2487" s="22"/>
      <c r="F2487" s="19">
        <v>60000</v>
      </c>
      <c r="G2487" s="14">
        <f t="shared" si="48"/>
        <v>-60000</v>
      </c>
      <c r="H2487" s="1215"/>
    </row>
    <row r="2488" spans="1:8" x14ac:dyDescent="0.25">
      <c r="A2488" s="113">
        <v>44882</v>
      </c>
      <c r="B2488" s="21" t="s">
        <v>7817</v>
      </c>
      <c r="C2488" s="13" t="s">
        <v>161</v>
      </c>
      <c r="D2488" s="766"/>
      <c r="E2488" s="22"/>
      <c r="F2488" s="19">
        <v>95</v>
      </c>
      <c r="G2488" s="14">
        <f t="shared" si="48"/>
        <v>-95</v>
      </c>
      <c r="H2488" s="1215" t="s">
        <v>4977</v>
      </c>
    </row>
    <row r="2489" spans="1:8" x14ac:dyDescent="0.25">
      <c r="A2489" s="113">
        <v>44882</v>
      </c>
      <c r="B2489" s="21" t="s">
        <v>8043</v>
      </c>
      <c r="C2489" s="13" t="s">
        <v>161</v>
      </c>
      <c r="D2489" s="766"/>
      <c r="E2489" s="22"/>
      <c r="F2489" s="19">
        <v>383</v>
      </c>
      <c r="G2489" s="14">
        <f t="shared" si="48"/>
        <v>-383</v>
      </c>
      <c r="H2489" s="1215"/>
    </row>
    <row r="2490" spans="1:8" x14ac:dyDescent="0.25">
      <c r="A2490" s="113">
        <v>44882</v>
      </c>
      <c r="B2490" s="21" t="s">
        <v>7921</v>
      </c>
      <c r="C2490" s="13" t="s">
        <v>8394</v>
      </c>
      <c r="D2490" s="766"/>
      <c r="E2490" s="22"/>
      <c r="F2490" s="19">
        <v>100000</v>
      </c>
      <c r="G2490" s="14">
        <f t="shared" si="48"/>
        <v>-100000</v>
      </c>
      <c r="H2490" s="1214" t="s">
        <v>8635</v>
      </c>
    </row>
    <row r="2491" spans="1:8" x14ac:dyDescent="0.25">
      <c r="A2491" s="113">
        <v>44882</v>
      </c>
      <c r="B2491" s="21" t="s">
        <v>8043</v>
      </c>
      <c r="C2491" s="13" t="s">
        <v>8394</v>
      </c>
      <c r="D2491" s="766"/>
      <c r="E2491" s="22"/>
      <c r="F2491" s="19">
        <v>100000</v>
      </c>
      <c r="G2491" s="14">
        <f t="shared" si="48"/>
        <v>-100000</v>
      </c>
      <c r="H2491" s="1214"/>
    </row>
    <row r="2492" spans="1:8" x14ac:dyDescent="0.25">
      <c r="A2492" s="113">
        <v>44882</v>
      </c>
      <c r="B2492" s="21" t="s">
        <v>8559</v>
      </c>
      <c r="C2492" s="13" t="s">
        <v>8394</v>
      </c>
      <c r="D2492" s="766"/>
      <c r="E2492" s="22"/>
      <c r="F2492" s="19">
        <v>200000</v>
      </c>
      <c r="G2492" s="14">
        <f t="shared" si="48"/>
        <v>-200000</v>
      </c>
      <c r="H2492" s="1214"/>
    </row>
    <row r="2493" spans="1:8" x14ac:dyDescent="0.25">
      <c r="A2493" s="113">
        <v>44882</v>
      </c>
      <c r="B2493" s="21" t="s">
        <v>8532</v>
      </c>
      <c r="C2493" s="13" t="s">
        <v>8394</v>
      </c>
      <c r="D2493" s="766"/>
      <c r="E2493" s="22"/>
      <c r="F2493" s="19">
        <v>100000</v>
      </c>
      <c r="G2493" s="14">
        <f t="shared" si="48"/>
        <v>-100000</v>
      </c>
      <c r="H2493" s="1214"/>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4" t="s">
        <v>8721</v>
      </c>
    </row>
    <row r="2509" spans="1:8" x14ac:dyDescent="0.25">
      <c r="A2509" s="113">
        <v>44888</v>
      </c>
      <c r="B2509" s="21" t="s">
        <v>7953</v>
      </c>
      <c r="C2509" s="13" t="s">
        <v>180</v>
      </c>
      <c r="D2509" s="766"/>
      <c r="E2509" s="22"/>
      <c r="F2509" s="19">
        <v>28000</v>
      </c>
      <c r="G2509" s="14">
        <f t="shared" si="48"/>
        <v>-28000</v>
      </c>
      <c r="H2509" s="1204"/>
    </row>
    <row r="2510" spans="1:8" x14ac:dyDescent="0.25">
      <c r="A2510" s="113">
        <v>44888</v>
      </c>
      <c r="B2510" s="21" t="s">
        <v>8043</v>
      </c>
      <c r="C2510" s="13" t="s">
        <v>180</v>
      </c>
      <c r="D2510" s="766"/>
      <c r="E2510" s="22"/>
      <c r="F2510" s="19">
        <v>100000</v>
      </c>
      <c r="G2510" s="14">
        <f t="shared" si="48"/>
        <v>-100000</v>
      </c>
      <c r="H2510" s="1204"/>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9" t="s">
        <v>8635</v>
      </c>
    </row>
    <row r="2524" spans="1:8" x14ac:dyDescent="0.25">
      <c r="A2524" s="113">
        <v>44889</v>
      </c>
      <c r="B2524" s="21" t="s">
        <v>8043</v>
      </c>
      <c r="C2524" s="13" t="s">
        <v>8394</v>
      </c>
      <c r="D2524" s="766"/>
      <c r="E2524" s="22"/>
      <c r="F2524" s="19">
        <v>50117</v>
      </c>
      <c r="G2524" s="14">
        <f t="shared" si="48"/>
        <v>-50117</v>
      </c>
      <c r="H2524" s="1199"/>
    </row>
    <row r="2525" spans="1:8" x14ac:dyDescent="0.25">
      <c r="A2525" s="113">
        <v>44889</v>
      </c>
      <c r="B2525" s="21" t="s">
        <v>8077</v>
      </c>
      <c r="C2525" s="13" t="s">
        <v>8394</v>
      </c>
      <c r="D2525" s="766"/>
      <c r="E2525" s="22"/>
      <c r="F2525" s="19">
        <v>13496</v>
      </c>
      <c r="G2525" s="14">
        <f t="shared" si="48"/>
        <v>-13496</v>
      </c>
      <c r="H2525" s="1199"/>
    </row>
    <row r="2526" spans="1:8" x14ac:dyDescent="0.25">
      <c r="A2526" s="113">
        <v>44889</v>
      </c>
      <c r="B2526" s="21" t="s">
        <v>8559</v>
      </c>
      <c r="C2526" s="13" t="s">
        <v>8394</v>
      </c>
      <c r="D2526" s="766"/>
      <c r="E2526" s="22"/>
      <c r="F2526" s="19">
        <v>115599</v>
      </c>
      <c r="G2526" s="14">
        <f t="shared" si="48"/>
        <v>-115599</v>
      </c>
      <c r="H2526" s="1199"/>
    </row>
    <row r="2527" spans="1:8" x14ac:dyDescent="0.25">
      <c r="A2527" s="113">
        <v>44889</v>
      </c>
      <c r="B2527" s="21" t="s">
        <v>8532</v>
      </c>
      <c r="C2527" s="13" t="s">
        <v>8394</v>
      </c>
      <c r="D2527" s="766"/>
      <c r="E2527" s="22"/>
      <c r="F2527" s="19">
        <v>72562</v>
      </c>
      <c r="G2527" s="14">
        <f t="shared" si="48"/>
        <v>-72562</v>
      </c>
      <c r="H2527" s="1199"/>
    </row>
    <row r="2528" spans="1:8" x14ac:dyDescent="0.25">
      <c r="A2528" s="113">
        <v>44889</v>
      </c>
      <c r="B2528" s="21" t="s">
        <v>8657</v>
      </c>
      <c r="C2528" s="13" t="s">
        <v>8394</v>
      </c>
      <c r="D2528" s="766"/>
      <c r="E2528" s="22"/>
      <c r="F2528" s="19">
        <f>500000-F2527-F2526-F2525-F2524-F2523</f>
        <v>197007</v>
      </c>
      <c r="G2528" s="14">
        <f t="shared" si="48"/>
        <v>-197007</v>
      </c>
      <c r="H2528" s="1199"/>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43" t="s">
        <v>8824</v>
      </c>
    </row>
    <row r="2555" spans="1:8" x14ac:dyDescent="0.25">
      <c r="A2555" s="113">
        <v>44902</v>
      </c>
      <c r="B2555" s="10" t="s">
        <v>8339</v>
      </c>
      <c r="C2555" s="11" t="s">
        <v>2196</v>
      </c>
      <c r="F2555" s="9">
        <v>39210</v>
      </c>
      <c r="G2555" s="6">
        <f t="shared" si="48"/>
        <v>-39210</v>
      </c>
      <c r="H2555" s="1243"/>
    </row>
    <row r="2556" spans="1:8" x14ac:dyDescent="0.25">
      <c r="A2556" s="113">
        <v>44902</v>
      </c>
      <c r="B2556" s="10" t="s">
        <v>8559</v>
      </c>
      <c r="C2556" s="11" t="s">
        <v>2196</v>
      </c>
      <c r="F2556" s="9">
        <v>18450</v>
      </c>
      <c r="G2556" s="6">
        <f t="shared" si="48"/>
        <v>-18450</v>
      </c>
      <c r="H2556" s="1243"/>
    </row>
    <row r="2557" spans="1:8" x14ac:dyDescent="0.25">
      <c r="A2557" s="113">
        <v>44902</v>
      </c>
      <c r="B2557" s="10" t="s">
        <v>8657</v>
      </c>
      <c r="C2557" s="11" t="s">
        <v>2196</v>
      </c>
      <c r="F2557" s="9">
        <v>80000</v>
      </c>
      <c r="G2557" s="6">
        <f t="shared" si="48"/>
        <v>-80000</v>
      </c>
      <c r="H2557" s="1243"/>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03" t="s">
        <v>8851</v>
      </c>
    </row>
    <row r="2565" spans="1:8" x14ac:dyDescent="0.25">
      <c r="A2565" s="113">
        <v>44907</v>
      </c>
      <c r="B2565" s="743" t="s">
        <v>3946</v>
      </c>
      <c r="C2565" s="750" t="s">
        <v>438</v>
      </c>
      <c r="D2565" s="779"/>
      <c r="E2565" s="751"/>
      <c r="F2565" s="752">
        <v>68000</v>
      </c>
      <c r="G2565" s="753">
        <f t="shared" si="48"/>
        <v>-68000</v>
      </c>
      <c r="H2565" s="1203"/>
    </row>
    <row r="2566" spans="1:8" x14ac:dyDescent="0.25">
      <c r="A2566" s="113">
        <v>44907</v>
      </c>
      <c r="B2566" s="743" t="s">
        <v>1400</v>
      </c>
      <c r="C2566" s="750" t="s">
        <v>438</v>
      </c>
      <c r="D2566" s="779"/>
      <c r="E2566" s="751"/>
      <c r="F2566" s="752">
        <v>7600</v>
      </c>
      <c r="G2566" s="753">
        <f t="shared" si="48"/>
        <v>-7600</v>
      </c>
      <c r="H2566" s="1203"/>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42" t="s">
        <v>8869</v>
      </c>
    </row>
    <row r="2575" spans="1:8" x14ac:dyDescent="0.25">
      <c r="A2575" s="113">
        <v>44910</v>
      </c>
      <c r="B2575" s="743" t="s">
        <v>6505</v>
      </c>
      <c r="C2575" s="750" t="s">
        <v>164</v>
      </c>
      <c r="D2575" s="779"/>
      <c r="E2575" s="751"/>
      <c r="F2575" s="752">
        <v>9328</v>
      </c>
      <c r="G2575" s="753">
        <f t="shared" si="48"/>
        <v>-9328</v>
      </c>
      <c r="H2575" s="1242"/>
    </row>
    <row r="2576" spans="1:8" x14ac:dyDescent="0.25">
      <c r="A2576" s="113">
        <v>44910</v>
      </c>
      <c r="B2576" s="743" t="s">
        <v>7067</v>
      </c>
      <c r="C2576" s="750" t="s">
        <v>164</v>
      </c>
      <c r="D2576" s="779"/>
      <c r="E2576" s="751"/>
      <c r="F2576" s="752">
        <v>247</v>
      </c>
      <c r="G2576" s="753">
        <f t="shared" si="48"/>
        <v>-247</v>
      </c>
      <c r="H2576" s="1242"/>
    </row>
    <row r="2577" spans="1:8" x14ac:dyDescent="0.25">
      <c r="A2577" s="113">
        <v>44910</v>
      </c>
      <c r="B2577" s="743" t="s">
        <v>1400</v>
      </c>
      <c r="C2577" s="750" t="s">
        <v>164</v>
      </c>
      <c r="D2577" s="779"/>
      <c r="E2577" s="751"/>
      <c r="F2577" s="752">
        <v>23076</v>
      </c>
      <c r="G2577" s="753">
        <f t="shared" si="48"/>
        <v>-23076</v>
      </c>
      <c r="H2577" s="1242"/>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41" t="s">
        <v>8896</v>
      </c>
    </row>
    <row r="2583" spans="1:8" x14ac:dyDescent="0.25">
      <c r="A2583" s="113">
        <v>44914</v>
      </c>
      <c r="B2583" s="743" t="s">
        <v>6511</v>
      </c>
      <c r="C2583" s="750" t="s">
        <v>3011</v>
      </c>
      <c r="D2583" s="779"/>
      <c r="E2583" s="751"/>
      <c r="F2583" s="752">
        <v>11000</v>
      </c>
      <c r="G2583" s="753">
        <f t="shared" si="48"/>
        <v>-11000</v>
      </c>
      <c r="H2583" s="1241"/>
    </row>
    <row r="2584" spans="1:8" x14ac:dyDescent="0.25">
      <c r="A2584" s="113">
        <v>44914</v>
      </c>
      <c r="B2584" s="743" t="s">
        <v>8043</v>
      </c>
      <c r="C2584" s="750" t="s">
        <v>3011</v>
      </c>
      <c r="D2584" s="779"/>
      <c r="E2584" s="751"/>
      <c r="F2584" s="752">
        <v>25000</v>
      </c>
      <c r="G2584" s="753">
        <f t="shared" si="48"/>
        <v>-25000</v>
      </c>
      <c r="H2584" s="1241"/>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7" t="s">
        <v>8989</v>
      </c>
    </row>
    <row r="2616" spans="1:8" x14ac:dyDescent="0.25">
      <c r="A2616" s="113">
        <v>44933</v>
      </c>
      <c r="B2616" s="21" t="s">
        <v>7921</v>
      </c>
      <c r="C2616" s="13" t="s">
        <v>8456</v>
      </c>
      <c r="D2616" s="766"/>
      <c r="E2616" s="22"/>
      <c r="F2616" s="19">
        <v>42000</v>
      </c>
      <c r="G2616" s="14">
        <f t="shared" si="48"/>
        <v>-42000</v>
      </c>
      <c r="H2616" s="1168"/>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83" t="s">
        <v>9034</v>
      </c>
    </row>
    <row r="2626" spans="1:8" x14ac:dyDescent="0.25">
      <c r="A2626" s="113">
        <v>44942</v>
      </c>
      <c r="B2626" s="21" t="s">
        <v>7921</v>
      </c>
      <c r="C2626" s="13" t="s">
        <v>166</v>
      </c>
      <c r="D2626" s="766"/>
      <c r="E2626" s="783"/>
      <c r="F2626" s="142">
        <v>25000</v>
      </c>
      <c r="G2626" s="784">
        <f t="shared" si="48"/>
        <v>-25000</v>
      </c>
      <c r="H2626" s="1150"/>
    </row>
    <row r="2627" spans="1:8" x14ac:dyDescent="0.25">
      <c r="A2627" s="113">
        <v>44942</v>
      </c>
      <c r="B2627" s="21" t="s">
        <v>8339</v>
      </c>
      <c r="C2627" s="13" t="s">
        <v>166</v>
      </c>
      <c r="D2627" s="766"/>
      <c r="E2627" s="783"/>
      <c r="F2627" s="142">
        <v>69000</v>
      </c>
      <c r="G2627" s="784">
        <f t="shared" si="48"/>
        <v>-69000</v>
      </c>
      <c r="H2627" s="1150"/>
    </row>
    <row r="2628" spans="1:8" x14ac:dyDescent="0.25">
      <c r="A2628" s="113">
        <v>44942</v>
      </c>
      <c r="B2628" s="21" t="s">
        <v>8559</v>
      </c>
      <c r="C2628" s="13" t="s">
        <v>166</v>
      </c>
      <c r="D2628" s="766"/>
      <c r="E2628" s="783"/>
      <c r="F2628" s="142">
        <v>15282</v>
      </c>
      <c r="G2628" s="784">
        <f t="shared" si="48"/>
        <v>-15282</v>
      </c>
      <c r="H2628" s="1150"/>
    </row>
    <row r="2629" spans="1:8" ht="16.5" thickBot="1" x14ac:dyDescent="0.3">
      <c r="A2629" s="113">
        <v>44942</v>
      </c>
      <c r="B2629" s="21" t="s">
        <v>8532</v>
      </c>
      <c r="C2629" s="13" t="s">
        <v>166</v>
      </c>
      <c r="D2629" s="766"/>
      <c r="E2629" s="783"/>
      <c r="F2629" s="786">
        <v>47891</v>
      </c>
      <c r="G2629" s="784">
        <f t="shared" si="48"/>
        <v>-47891</v>
      </c>
      <c r="H2629" s="1151"/>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7" t="s">
        <v>9075</v>
      </c>
    </row>
    <row r="2636" spans="1:8" x14ac:dyDescent="0.25">
      <c r="A2636" s="113">
        <v>44949</v>
      </c>
      <c r="B2636" s="21" t="s">
        <v>8339</v>
      </c>
      <c r="C2636" s="13" t="s">
        <v>169</v>
      </c>
      <c r="D2636" s="766"/>
      <c r="E2636" s="22"/>
      <c r="F2636" s="19">
        <v>65227</v>
      </c>
      <c r="G2636" s="784">
        <f t="shared" si="48"/>
        <v>-65227</v>
      </c>
      <c r="H2636" s="1168"/>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83" t="s">
        <v>10316</v>
      </c>
    </row>
    <row r="2651" spans="1:8" x14ac:dyDescent="0.25">
      <c r="A2651" s="113">
        <v>44957</v>
      </c>
      <c r="B2651" s="21" t="s">
        <v>8657</v>
      </c>
      <c r="C2651" s="13" t="s">
        <v>7242</v>
      </c>
      <c r="D2651" s="766"/>
      <c r="E2651" s="22"/>
      <c r="F2651" s="19">
        <v>443603</v>
      </c>
      <c r="G2651" s="14">
        <f t="shared" ref="G2651" si="49">E2651-F2651</f>
        <v>-443603</v>
      </c>
      <c r="H2651" s="1151"/>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6" t="s">
        <v>9307</v>
      </c>
      <c r="E2657" s="22">
        <v>56000</v>
      </c>
      <c r="F2657" s="19"/>
      <c r="G2657" s="14">
        <f t="shared" si="48"/>
        <v>56000</v>
      </c>
      <c r="H2657" s="922" t="s">
        <v>9308</v>
      </c>
    </row>
    <row r="2658" spans="1:8" x14ac:dyDescent="0.25">
      <c r="A2658" s="113">
        <v>44965</v>
      </c>
      <c r="B2658" s="21" t="s">
        <v>8043</v>
      </c>
      <c r="C2658" s="13" t="s">
        <v>169</v>
      </c>
      <c r="D2658" s="1187"/>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7" t="s">
        <v>9309</v>
      </c>
    </row>
    <row r="2660" spans="1:8" x14ac:dyDescent="0.25">
      <c r="A2660" s="113">
        <v>44965</v>
      </c>
      <c r="B2660" s="21" t="s">
        <v>8339</v>
      </c>
      <c r="C2660" s="13" t="s">
        <v>169</v>
      </c>
      <c r="D2660" s="766"/>
      <c r="E2660" s="22"/>
      <c r="F2660" s="19">
        <v>10173</v>
      </c>
      <c r="G2660" s="14">
        <f t="shared" si="48"/>
        <v>-10173</v>
      </c>
      <c r="H2660" s="1148"/>
    </row>
    <row r="2661" spans="1:8" x14ac:dyDescent="0.25">
      <c r="A2661" s="113">
        <v>44965</v>
      </c>
      <c r="B2661" s="21" t="s">
        <v>8876</v>
      </c>
      <c r="C2661" s="13" t="s">
        <v>169</v>
      </c>
      <c r="D2661" s="766"/>
      <c r="E2661" s="22"/>
      <c r="F2661" s="19">
        <v>23827</v>
      </c>
      <c r="G2661" s="14">
        <f t="shared" si="48"/>
        <v>-23827</v>
      </c>
      <c r="H2661" s="1149"/>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6" t="s">
        <v>9325</v>
      </c>
      <c r="E2663" s="22">
        <f>6336+15840+24960+43680</f>
        <v>90816</v>
      </c>
      <c r="F2663" s="19"/>
      <c r="G2663" s="14">
        <f t="shared" si="48"/>
        <v>90816</v>
      </c>
      <c r="H2663" s="1184" t="s">
        <v>9326</v>
      </c>
    </row>
    <row r="2664" spans="1:8" x14ac:dyDescent="0.25">
      <c r="A2664" s="113">
        <v>44967</v>
      </c>
      <c r="B2664" s="21" t="s">
        <v>8043</v>
      </c>
      <c r="C2664" s="13" t="s">
        <v>5187</v>
      </c>
      <c r="D2664" s="1187"/>
      <c r="E2664" s="22">
        <f>5032+5596</f>
        <v>10628</v>
      </c>
      <c r="F2664" s="19"/>
      <c r="G2664" s="14">
        <f t="shared" si="48"/>
        <v>10628</v>
      </c>
      <c r="H2664" s="1185"/>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6" t="s">
        <v>9350</v>
      </c>
      <c r="E2666" s="22">
        <f>15552+18000</f>
        <v>33552</v>
      </c>
      <c r="F2666" s="19"/>
      <c r="G2666" s="14">
        <f t="shared" si="48"/>
        <v>33552</v>
      </c>
      <c r="H2666" s="1184" t="s">
        <v>9326</v>
      </c>
    </row>
    <row r="2667" spans="1:8" x14ac:dyDescent="0.25">
      <c r="A2667" s="113">
        <v>44967</v>
      </c>
      <c r="B2667" s="21" t="s">
        <v>8339</v>
      </c>
      <c r="C2667" s="13" t="s">
        <v>5187</v>
      </c>
      <c r="D2667" s="1187"/>
      <c r="E2667" s="22">
        <v>28080</v>
      </c>
      <c r="F2667" s="19"/>
      <c r="G2667" s="14">
        <f t="shared" si="48"/>
        <v>28080</v>
      </c>
      <c r="H2667" s="1185"/>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6" t="s">
        <v>9351</v>
      </c>
    </row>
    <row r="2685" spans="1:8" x14ac:dyDescent="0.25">
      <c r="A2685" s="113">
        <v>44973</v>
      </c>
      <c r="B2685" s="21" t="s">
        <v>8077</v>
      </c>
      <c r="C2685" s="13" t="s">
        <v>5187</v>
      </c>
      <c r="D2685" s="766"/>
      <c r="E2685" s="22"/>
      <c r="F2685" s="19">
        <v>63132</v>
      </c>
      <c r="G2685" s="14">
        <f t="shared" si="48"/>
        <v>-63132</v>
      </c>
      <c r="H2685" s="1197"/>
    </row>
    <row r="2686" spans="1:8" x14ac:dyDescent="0.25">
      <c r="A2686" s="113">
        <v>44973</v>
      </c>
      <c r="B2686" s="21" t="s">
        <v>8339</v>
      </c>
      <c r="C2686" s="13" t="s">
        <v>5187</v>
      </c>
      <c r="D2686" s="766"/>
      <c r="E2686" s="22"/>
      <c r="F2686" s="19">
        <v>98924</v>
      </c>
      <c r="G2686" s="14">
        <f t="shared" si="48"/>
        <v>-98924</v>
      </c>
      <c r="H2686" s="1198"/>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5" t="s">
        <v>9458</v>
      </c>
    </row>
    <row r="2702" spans="1:8" x14ac:dyDescent="0.25">
      <c r="A2702" s="113">
        <v>45001</v>
      </c>
      <c r="B2702" s="21" t="s">
        <v>8532</v>
      </c>
      <c r="C2702" s="13" t="s">
        <v>166</v>
      </c>
      <c r="D2702" s="766"/>
      <c r="E2702" s="22"/>
      <c r="F2702" s="19">
        <v>15069</v>
      </c>
      <c r="G2702" s="14">
        <f t="shared" si="48"/>
        <v>-15069</v>
      </c>
      <c r="H2702" s="1156"/>
    </row>
    <row r="2703" spans="1:8" x14ac:dyDescent="0.25">
      <c r="A2703" s="113">
        <v>45001</v>
      </c>
      <c r="B2703" s="21" t="s">
        <v>8657</v>
      </c>
      <c r="C2703" s="13" t="s">
        <v>166</v>
      </c>
      <c r="D2703" s="766"/>
      <c r="E2703" s="22"/>
      <c r="F2703" s="19">
        <v>848690</v>
      </c>
      <c r="G2703" s="14">
        <f t="shared" si="48"/>
        <v>-848690</v>
      </c>
      <c r="H2703" s="1156"/>
    </row>
    <row r="2704" spans="1:8" x14ac:dyDescent="0.25">
      <c r="A2704" s="113">
        <v>45001</v>
      </c>
      <c r="B2704" s="21" t="s">
        <v>8868</v>
      </c>
      <c r="C2704" s="13" t="s">
        <v>166</v>
      </c>
      <c r="D2704" s="766"/>
      <c r="E2704" s="22"/>
      <c r="F2704" s="19">
        <v>78000</v>
      </c>
      <c r="G2704" s="14">
        <f t="shared" si="48"/>
        <v>-78000</v>
      </c>
      <c r="H2704" s="1156"/>
    </row>
    <row r="2705" spans="1:8" x14ac:dyDescent="0.25">
      <c r="A2705" s="113">
        <v>45001</v>
      </c>
      <c r="B2705" s="21" t="s">
        <v>8876</v>
      </c>
      <c r="C2705" s="13" t="s">
        <v>166</v>
      </c>
      <c r="D2705" s="766"/>
      <c r="E2705" s="22"/>
      <c r="F2705" s="19">
        <v>115000</v>
      </c>
      <c r="G2705" s="14">
        <f t="shared" si="48"/>
        <v>-115000</v>
      </c>
      <c r="H2705" s="1157"/>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0" t="s">
        <v>9479</v>
      </c>
    </row>
    <row r="2709" spans="1:8" x14ac:dyDescent="0.25">
      <c r="A2709" s="113">
        <v>45002</v>
      </c>
      <c r="B2709" s="21" t="s">
        <v>8868</v>
      </c>
      <c r="C2709" s="13" t="s">
        <v>180</v>
      </c>
      <c r="D2709" s="766"/>
      <c r="E2709" s="22"/>
      <c r="F2709" s="19">
        <v>164160</v>
      </c>
      <c r="G2709" s="14">
        <f t="shared" si="48"/>
        <v>-164160</v>
      </c>
      <c r="H2709" s="1211"/>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0" t="s">
        <v>9007</v>
      </c>
    </row>
    <row r="2714" spans="1:8" x14ac:dyDescent="0.25">
      <c r="A2714" s="113">
        <v>45005</v>
      </c>
      <c r="B2714" s="21" t="s">
        <v>8657</v>
      </c>
      <c r="C2714" s="13" t="s">
        <v>8394</v>
      </c>
      <c r="D2714" s="766"/>
      <c r="E2714" s="22"/>
      <c r="F2714" s="19">
        <v>371446</v>
      </c>
      <c r="G2714" s="14">
        <f t="shared" si="53"/>
        <v>-371446</v>
      </c>
      <c r="H2714" s="1211"/>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2" t="s">
        <v>9283</v>
      </c>
      <c r="E2726" s="22">
        <v>28496</v>
      </c>
      <c r="F2726" s="19"/>
      <c r="G2726" s="14">
        <f t="shared" si="53"/>
        <v>28496</v>
      </c>
      <c r="H2726" s="1184" t="s">
        <v>9326</v>
      </c>
    </row>
    <row r="2727" spans="1:8" x14ac:dyDescent="0.25">
      <c r="A2727" s="113">
        <v>45019</v>
      </c>
      <c r="B2727" s="21" t="s">
        <v>3946</v>
      </c>
      <c r="C2727" s="13" t="s">
        <v>8394</v>
      </c>
      <c r="D2727" s="1213"/>
      <c r="E2727" s="22">
        <v>8745</v>
      </c>
      <c r="F2727" s="19"/>
      <c r="G2727" s="14">
        <f t="shared" si="53"/>
        <v>8745</v>
      </c>
      <c r="H2727" s="1185"/>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6" t="s">
        <v>9602</v>
      </c>
      <c r="E2731" s="22">
        <v>20000</v>
      </c>
      <c r="F2731" s="19"/>
      <c r="G2731" s="14">
        <f t="shared" si="53"/>
        <v>20000</v>
      </c>
      <c r="H2731" s="1184" t="s">
        <v>9326</v>
      </c>
    </row>
    <row r="2732" spans="1:8" x14ac:dyDescent="0.25">
      <c r="A2732" s="113">
        <v>45024</v>
      </c>
      <c r="B2732" s="21" t="s">
        <v>8043</v>
      </c>
      <c r="C2732" s="13" t="s">
        <v>5187</v>
      </c>
      <c r="D2732" s="1187"/>
      <c r="E2732" s="22">
        <v>15000</v>
      </c>
      <c r="F2732" s="19"/>
      <c r="G2732" s="14">
        <f t="shared" si="53"/>
        <v>15000</v>
      </c>
      <c r="H2732" s="1185"/>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4" t="s">
        <v>12277</v>
      </c>
    </row>
    <row r="2736" spans="1:8" x14ac:dyDescent="0.25">
      <c r="A2736" s="113">
        <v>45026</v>
      </c>
      <c r="B2736" s="21" t="s">
        <v>8339</v>
      </c>
      <c r="C2736" s="13" t="s">
        <v>5187</v>
      </c>
      <c r="D2736" s="766"/>
      <c r="E2736" s="22"/>
      <c r="F2736" s="19">
        <v>20624</v>
      </c>
      <c r="G2736" s="14">
        <f t="shared" si="53"/>
        <v>-20624</v>
      </c>
      <c r="H2736" s="1165"/>
    </row>
    <row r="2737" spans="1:8" x14ac:dyDescent="0.25">
      <c r="A2737" s="113">
        <v>45026</v>
      </c>
      <c r="B2737" s="21" t="s">
        <v>8876</v>
      </c>
      <c r="C2737" s="13" t="s">
        <v>5187</v>
      </c>
      <c r="D2737" s="766"/>
      <c r="E2737" s="22"/>
      <c r="F2737" s="19">
        <v>34826</v>
      </c>
      <c r="G2737" s="14">
        <f t="shared" si="53"/>
        <v>-34826</v>
      </c>
      <c r="H2737" s="1166"/>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9" t="s">
        <v>9656</v>
      </c>
    </row>
    <row r="2742" spans="1:8" ht="15.75" customHeight="1" x14ac:dyDescent="0.25">
      <c r="A2742" s="113">
        <v>45029</v>
      </c>
      <c r="B2742" s="21" t="s">
        <v>7657</v>
      </c>
      <c r="C2742" s="13" t="s">
        <v>5681</v>
      </c>
      <c r="D2742" s="766"/>
      <c r="E2742" s="783"/>
      <c r="F2742" s="142">
        <v>40900</v>
      </c>
      <c r="G2742" s="784">
        <f t="shared" si="53"/>
        <v>-40900</v>
      </c>
      <c r="H2742" s="1170"/>
    </row>
    <row r="2743" spans="1:8" ht="15.75" customHeight="1" x14ac:dyDescent="0.25">
      <c r="A2743" s="113">
        <v>45029</v>
      </c>
      <c r="B2743" s="21" t="s">
        <v>7555</v>
      </c>
      <c r="C2743" s="13" t="s">
        <v>5681</v>
      </c>
      <c r="D2743" s="766"/>
      <c r="E2743" s="783"/>
      <c r="F2743" s="142">
        <v>5400</v>
      </c>
      <c r="G2743" s="784">
        <f t="shared" si="53"/>
        <v>-5400</v>
      </c>
      <c r="H2743" s="1170"/>
    </row>
    <row r="2744" spans="1:8" ht="16.5" thickBot="1" x14ac:dyDescent="0.3">
      <c r="A2744" s="113">
        <v>45029</v>
      </c>
      <c r="B2744" s="21" t="s">
        <v>8657</v>
      </c>
      <c r="C2744" s="13" t="s">
        <v>5681</v>
      </c>
      <c r="D2744" s="766"/>
      <c r="E2744" s="783"/>
      <c r="F2744" s="786">
        <v>40520</v>
      </c>
      <c r="G2744" s="784">
        <f t="shared" si="53"/>
        <v>-40520</v>
      </c>
      <c r="H2744" s="1171"/>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9" t="s">
        <v>9656</v>
      </c>
    </row>
    <row r="2747" spans="1:8" x14ac:dyDescent="0.25">
      <c r="A2747" s="113">
        <v>45031</v>
      </c>
      <c r="B2747" s="21" t="s">
        <v>8876</v>
      </c>
      <c r="C2747" s="13" t="s">
        <v>169</v>
      </c>
      <c r="D2747" s="766"/>
      <c r="E2747" s="783"/>
      <c r="F2747" s="142">
        <v>18365</v>
      </c>
      <c r="G2747" s="784">
        <f t="shared" si="53"/>
        <v>-18365</v>
      </c>
      <c r="H2747" s="1170"/>
    </row>
    <row r="2748" spans="1:8" x14ac:dyDescent="0.25">
      <c r="A2748" s="113">
        <v>45031</v>
      </c>
      <c r="B2748" s="21" t="s">
        <v>9409</v>
      </c>
      <c r="C2748" s="13" t="s">
        <v>169</v>
      </c>
      <c r="D2748" s="766"/>
      <c r="E2748" s="783"/>
      <c r="F2748" s="142">
        <v>20500</v>
      </c>
      <c r="G2748" s="784">
        <f t="shared" si="53"/>
        <v>-20500</v>
      </c>
      <c r="H2748" s="1170"/>
    </row>
    <row r="2749" spans="1:8" ht="16.5" thickBot="1" x14ac:dyDescent="0.3">
      <c r="A2749" s="113">
        <v>45031</v>
      </c>
      <c r="B2749" s="21" t="s">
        <v>9409</v>
      </c>
      <c r="C2749" s="13" t="s">
        <v>169</v>
      </c>
      <c r="D2749" s="766"/>
      <c r="E2749" s="783"/>
      <c r="F2749" s="786">
        <v>4135</v>
      </c>
      <c r="G2749" s="784">
        <f t="shared" si="53"/>
        <v>-4135</v>
      </c>
      <c r="H2749" s="1171"/>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80" t="s">
        <v>9726</v>
      </c>
    </row>
    <row r="2754" spans="1:8" x14ac:dyDescent="0.25">
      <c r="A2754" s="113">
        <v>45035</v>
      </c>
      <c r="B2754" s="21" t="s">
        <v>8657</v>
      </c>
      <c r="C2754" s="13" t="s">
        <v>8394</v>
      </c>
      <c r="D2754" s="766"/>
      <c r="E2754" s="783"/>
      <c r="F2754" s="142">
        <v>51861</v>
      </c>
      <c r="G2754" s="14">
        <f t="shared" si="54"/>
        <v>-51861</v>
      </c>
      <c r="H2754" s="1181"/>
    </row>
    <row r="2755" spans="1:8" x14ac:dyDescent="0.25">
      <c r="A2755" s="113">
        <v>45035</v>
      </c>
      <c r="B2755" s="21" t="s">
        <v>8876</v>
      </c>
      <c r="C2755" s="13" t="s">
        <v>8394</v>
      </c>
      <c r="D2755" s="766"/>
      <c r="E2755" s="783"/>
      <c r="F2755" s="142">
        <v>17015</v>
      </c>
      <c r="G2755" s="14">
        <f t="shared" si="54"/>
        <v>-17015</v>
      </c>
      <c r="H2755" s="1181"/>
    </row>
    <row r="2756" spans="1:8" x14ac:dyDescent="0.25">
      <c r="A2756" s="113">
        <v>45035</v>
      </c>
      <c r="B2756" s="21" t="s">
        <v>9507</v>
      </c>
      <c r="C2756" s="13" t="s">
        <v>8394</v>
      </c>
      <c r="D2756" s="766"/>
      <c r="E2756" s="783"/>
      <c r="F2756" s="142">
        <v>28496</v>
      </c>
      <c r="G2756" s="14">
        <f t="shared" si="54"/>
        <v>-28496</v>
      </c>
      <c r="H2756" s="1181"/>
    </row>
    <row r="2757" spans="1:8" x14ac:dyDescent="0.25">
      <c r="A2757" s="113">
        <v>45035</v>
      </c>
      <c r="B2757" s="21" t="s">
        <v>9356</v>
      </c>
      <c r="C2757" s="13" t="s">
        <v>8394</v>
      </c>
      <c r="D2757" s="766"/>
      <c r="E2757" s="955"/>
      <c r="F2757" s="147">
        <v>93883</v>
      </c>
      <c r="G2757" s="14">
        <f t="shared" si="54"/>
        <v>-93883</v>
      </c>
      <c r="H2757" s="1182"/>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8" t="s">
        <v>9738</v>
      </c>
    </row>
    <row r="2762" spans="1:8" x14ac:dyDescent="0.25">
      <c r="A2762" s="113">
        <v>45043</v>
      </c>
      <c r="B2762" s="21" t="s">
        <v>8657</v>
      </c>
      <c r="C2762" s="13" t="s">
        <v>8394</v>
      </c>
      <c r="D2762" s="766"/>
      <c r="E2762" s="22"/>
      <c r="F2762" s="19">
        <v>447612</v>
      </c>
      <c r="G2762" s="14">
        <f t="shared" si="54"/>
        <v>-447612</v>
      </c>
      <c r="H2762" s="1179"/>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7" t="s">
        <v>9800</v>
      </c>
    </row>
    <row r="2769" spans="1:8" x14ac:dyDescent="0.25">
      <c r="A2769" s="113">
        <v>45049</v>
      </c>
      <c r="B2769" s="21" t="s">
        <v>9661</v>
      </c>
      <c r="C2769" s="13" t="s">
        <v>8394</v>
      </c>
      <c r="D2769" s="766"/>
      <c r="E2769" s="22"/>
      <c r="F2769" s="19">
        <f>730000-F2768</f>
        <v>235093</v>
      </c>
      <c r="G2769" s="14">
        <f t="shared" si="54"/>
        <v>-235093</v>
      </c>
      <c r="H2769" s="1172"/>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7" t="s">
        <v>9848</v>
      </c>
    </row>
    <row r="2779" spans="1:8" ht="16.5" thickBot="1" x14ac:dyDescent="0.3">
      <c r="A2779" s="113">
        <v>45056</v>
      </c>
      <c r="B2779" s="21" t="s">
        <v>9356</v>
      </c>
      <c r="C2779" s="13" t="s">
        <v>169</v>
      </c>
      <c r="D2779" s="766"/>
      <c r="E2779" s="783"/>
      <c r="F2779" s="786">
        <v>124699</v>
      </c>
      <c r="G2779" s="784">
        <f t="shared" si="54"/>
        <v>-124699</v>
      </c>
      <c r="H2779" s="1168"/>
    </row>
    <row r="2780" spans="1:8" x14ac:dyDescent="0.25">
      <c r="A2780" s="113">
        <v>45056</v>
      </c>
      <c r="B2780" s="21" t="s">
        <v>8876</v>
      </c>
      <c r="C2780" s="13" t="s">
        <v>180</v>
      </c>
      <c r="D2780" s="766"/>
      <c r="E2780" s="783"/>
      <c r="F2780" s="785">
        <v>380920</v>
      </c>
      <c r="G2780" s="784">
        <f t="shared" si="54"/>
        <v>-380920</v>
      </c>
      <c r="H2780" s="1167" t="s">
        <v>9849</v>
      </c>
    </row>
    <row r="2781" spans="1:8" ht="16.5" thickBot="1" x14ac:dyDescent="0.3">
      <c r="A2781" s="113">
        <v>45056</v>
      </c>
      <c r="B2781" s="21" t="s">
        <v>9409</v>
      </c>
      <c r="C2781" s="13" t="s">
        <v>180</v>
      </c>
      <c r="D2781" s="766"/>
      <c r="E2781" s="783"/>
      <c r="F2781" s="786">
        <v>192080</v>
      </c>
      <c r="G2781" s="784">
        <f t="shared" si="54"/>
        <v>-192080</v>
      </c>
      <c r="H2781" s="1168"/>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7" t="s">
        <v>12276</v>
      </c>
    </row>
    <row r="2784" spans="1:8" x14ac:dyDescent="0.25">
      <c r="A2784" s="113">
        <v>45056</v>
      </c>
      <c r="B2784" s="21" t="s">
        <v>8876</v>
      </c>
      <c r="C2784" s="13" t="s">
        <v>5187</v>
      </c>
      <c r="D2784" s="766"/>
      <c r="E2784" s="22"/>
      <c r="F2784" s="112">
        <v>150000</v>
      </c>
      <c r="G2784" s="14">
        <f t="shared" si="54"/>
        <v>-150000</v>
      </c>
      <c r="H2784" s="1172"/>
    </row>
    <row r="2785" spans="1:8" x14ac:dyDescent="0.25">
      <c r="A2785" s="113">
        <v>45056</v>
      </c>
      <c r="B2785" s="21" t="s">
        <v>8876</v>
      </c>
      <c r="C2785" s="13" t="s">
        <v>5187</v>
      </c>
      <c r="D2785" s="766"/>
      <c r="E2785" s="22"/>
      <c r="F2785" s="112">
        <v>35000</v>
      </c>
      <c r="G2785" s="14">
        <f t="shared" si="54"/>
        <v>-35000</v>
      </c>
      <c r="H2785" s="1172"/>
    </row>
    <row r="2786" spans="1:8" x14ac:dyDescent="0.25">
      <c r="A2786" s="113">
        <v>45056</v>
      </c>
      <c r="B2786" s="21" t="s">
        <v>8876</v>
      </c>
      <c r="C2786" s="13" t="s">
        <v>5187</v>
      </c>
      <c r="D2786" s="766"/>
      <c r="E2786" s="22"/>
      <c r="F2786" s="112">
        <v>5000</v>
      </c>
      <c r="G2786" s="14">
        <f t="shared" si="54"/>
        <v>-5000</v>
      </c>
      <c r="H2786" s="1168"/>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5" t="s">
        <v>10317</v>
      </c>
    </row>
    <row r="2826" spans="1:8" x14ac:dyDescent="0.25">
      <c r="A2826" s="113">
        <v>45076</v>
      </c>
      <c r="B2826" s="21" t="s">
        <v>8043</v>
      </c>
      <c r="C2826" s="13" t="s">
        <v>7242</v>
      </c>
      <c r="D2826" s="766"/>
      <c r="E2826" s="22"/>
      <c r="F2826" s="19">
        <v>141655</v>
      </c>
      <c r="G2826" s="14">
        <f t="shared" si="54"/>
        <v>-141655</v>
      </c>
      <c r="H2826" s="1156"/>
    </row>
    <row r="2827" spans="1:8" x14ac:dyDescent="0.25">
      <c r="A2827" s="113">
        <v>45076</v>
      </c>
      <c r="B2827" s="21" t="s">
        <v>8339</v>
      </c>
      <c r="C2827" s="13" t="s">
        <v>7242</v>
      </c>
      <c r="D2827" s="766"/>
      <c r="E2827" s="22"/>
      <c r="F2827" s="19">
        <v>27798</v>
      </c>
      <c r="G2827" s="14">
        <f t="shared" si="54"/>
        <v>-27798</v>
      </c>
      <c r="H2827" s="1156"/>
    </row>
    <row r="2828" spans="1:8" x14ac:dyDescent="0.25">
      <c r="A2828" s="113">
        <v>45076</v>
      </c>
      <c r="B2828" s="21" t="s">
        <v>8559</v>
      </c>
      <c r="C2828" s="13" t="s">
        <v>7242</v>
      </c>
      <c r="D2828" s="766"/>
      <c r="E2828" s="22"/>
      <c r="F2828" s="19">
        <v>65342</v>
      </c>
      <c r="G2828" s="14">
        <f t="shared" si="54"/>
        <v>-65342</v>
      </c>
      <c r="H2828" s="1156"/>
    </row>
    <row r="2829" spans="1:8" x14ac:dyDescent="0.25">
      <c r="A2829" s="113">
        <v>45076</v>
      </c>
      <c r="B2829" s="21" t="s">
        <v>8657</v>
      </c>
      <c r="C2829" s="13" t="s">
        <v>7242</v>
      </c>
      <c r="D2829" s="766"/>
      <c r="E2829" s="22"/>
      <c r="F2829" s="19">
        <v>188071</v>
      </c>
      <c r="G2829" s="14">
        <f t="shared" si="54"/>
        <v>-188071</v>
      </c>
      <c r="H2829" s="1156"/>
    </row>
    <row r="2830" spans="1:8" x14ac:dyDescent="0.25">
      <c r="A2830" s="113">
        <v>45076</v>
      </c>
      <c r="B2830" s="21" t="s">
        <v>8868</v>
      </c>
      <c r="C2830" s="13" t="s">
        <v>7242</v>
      </c>
      <c r="D2830" s="766"/>
      <c r="E2830" s="22"/>
      <c r="F2830" s="19">
        <v>3983</v>
      </c>
      <c r="G2830" s="14">
        <f t="shared" si="54"/>
        <v>-3983</v>
      </c>
      <c r="H2830" s="1156"/>
    </row>
    <row r="2831" spans="1:8" x14ac:dyDescent="0.25">
      <c r="A2831" s="113">
        <v>45076</v>
      </c>
      <c r="B2831" s="21" t="s">
        <v>8876</v>
      </c>
      <c r="C2831" s="13" t="s">
        <v>7242</v>
      </c>
      <c r="D2831" s="766"/>
      <c r="E2831" s="22"/>
      <c r="F2831" s="19">
        <v>48076</v>
      </c>
      <c r="G2831" s="14">
        <f t="shared" si="54"/>
        <v>-48076</v>
      </c>
      <c r="H2831" s="1156"/>
    </row>
    <row r="2832" spans="1:8" x14ac:dyDescent="0.25">
      <c r="A2832" s="113">
        <v>45076</v>
      </c>
      <c r="B2832" s="21" t="s">
        <v>9409</v>
      </c>
      <c r="C2832" s="13" t="s">
        <v>7242</v>
      </c>
      <c r="D2832" s="766"/>
      <c r="E2832" s="22"/>
      <c r="F2832" s="19">
        <v>48076</v>
      </c>
      <c r="G2832" s="14">
        <f t="shared" si="54"/>
        <v>-48076</v>
      </c>
      <c r="H2832" s="1157"/>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3" t="s">
        <v>10127</v>
      </c>
    </row>
    <row r="2876" spans="1:8" x14ac:dyDescent="0.25">
      <c r="A2876" s="113">
        <v>45086</v>
      </c>
      <c r="B2876" s="21" t="s">
        <v>8043</v>
      </c>
      <c r="C2876" s="13" t="s">
        <v>7467</v>
      </c>
      <c r="D2876" s="766"/>
      <c r="E2876" s="783"/>
      <c r="F2876" s="142">
        <v>176124</v>
      </c>
      <c r="G2876" s="784">
        <f t="shared" ref="G2876:G2943" si="57">E2876-F2876</f>
        <v>-176124</v>
      </c>
      <c r="H2876" s="1175"/>
    </row>
    <row r="2877" spans="1:8" x14ac:dyDescent="0.25">
      <c r="A2877" s="113">
        <v>45086</v>
      </c>
      <c r="B2877" s="21" t="s">
        <v>8339</v>
      </c>
      <c r="C2877" s="13" t="s">
        <v>7467</v>
      </c>
      <c r="D2877" s="766"/>
      <c r="E2877" s="783"/>
      <c r="F2877" s="142">
        <v>265939</v>
      </c>
      <c r="G2877" s="784">
        <f t="shared" si="57"/>
        <v>-265939</v>
      </c>
      <c r="H2877" s="1175"/>
    </row>
    <row r="2878" spans="1:8" x14ac:dyDescent="0.25">
      <c r="A2878" s="113">
        <v>45086</v>
      </c>
      <c r="B2878" s="21" t="s">
        <v>8559</v>
      </c>
      <c r="C2878" s="13" t="s">
        <v>7467</v>
      </c>
      <c r="D2878" s="766"/>
      <c r="E2878" s="783"/>
      <c r="F2878" s="142">
        <v>245863</v>
      </c>
      <c r="G2878" s="784">
        <f t="shared" si="57"/>
        <v>-245863</v>
      </c>
      <c r="H2878" s="1175"/>
    </row>
    <row r="2879" spans="1:8" ht="16.5" thickBot="1" x14ac:dyDescent="0.3">
      <c r="A2879" s="113">
        <v>45086</v>
      </c>
      <c r="B2879" s="21" t="s">
        <v>8876</v>
      </c>
      <c r="C2879" s="13" t="s">
        <v>7467</v>
      </c>
      <c r="D2879" s="766"/>
      <c r="E2879" s="783"/>
      <c r="F2879" s="786">
        <v>201031</v>
      </c>
      <c r="G2879" s="784">
        <f t="shared" si="57"/>
        <v>-201031</v>
      </c>
      <c r="H2879" s="1174"/>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5" t="s">
        <v>10127</v>
      </c>
    </row>
    <row r="2883" spans="1:8" x14ac:dyDescent="0.25">
      <c r="A2883" s="113">
        <v>45089</v>
      </c>
      <c r="B2883" s="21" t="s">
        <v>9661</v>
      </c>
      <c r="C2883" s="13" t="s">
        <v>8394</v>
      </c>
      <c r="D2883" s="766"/>
      <c r="E2883" s="22"/>
      <c r="F2883" s="19">
        <v>100000</v>
      </c>
      <c r="G2883" s="14">
        <f t="shared" si="57"/>
        <v>-100000</v>
      </c>
      <c r="H2883" s="1176"/>
    </row>
    <row r="2884" spans="1:8" x14ac:dyDescent="0.25">
      <c r="A2884" s="113">
        <v>45089</v>
      </c>
      <c r="B2884" s="21" t="s">
        <v>8657</v>
      </c>
      <c r="C2884" s="13" t="s">
        <v>8394</v>
      </c>
      <c r="D2884" s="766"/>
      <c r="E2884" s="22"/>
      <c r="F2884" s="19">
        <v>350000</v>
      </c>
      <c r="G2884" s="14">
        <f t="shared" si="57"/>
        <v>-350000</v>
      </c>
      <c r="H2884" s="1177"/>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7" t="s">
        <v>10233</v>
      </c>
    </row>
    <row r="2895" spans="1:8" x14ac:dyDescent="0.25">
      <c r="A2895" s="113">
        <v>45094</v>
      </c>
      <c r="B2895" s="21" t="s">
        <v>9769</v>
      </c>
      <c r="C2895" s="13" t="s">
        <v>180</v>
      </c>
      <c r="D2895" s="766"/>
      <c r="E2895" s="783"/>
      <c r="F2895" s="142">
        <v>49080</v>
      </c>
      <c r="G2895" s="784">
        <f t="shared" si="57"/>
        <v>-49080</v>
      </c>
      <c r="H2895" s="1148"/>
    </row>
    <row r="2896" spans="1:8" x14ac:dyDescent="0.25">
      <c r="A2896" s="113">
        <v>45094</v>
      </c>
      <c r="B2896" s="21" t="s">
        <v>10296</v>
      </c>
      <c r="C2896" s="13" t="s">
        <v>180</v>
      </c>
      <c r="D2896" s="766"/>
      <c r="E2896" s="783"/>
      <c r="F2896" s="147">
        <v>151960</v>
      </c>
      <c r="G2896" s="784">
        <f t="shared" si="57"/>
        <v>-151960</v>
      </c>
      <c r="H2896" s="1148"/>
    </row>
    <row r="2897" spans="1:8" ht="16.5" thickBot="1" x14ac:dyDescent="0.3">
      <c r="A2897" s="113">
        <v>45094</v>
      </c>
      <c r="B2897" s="21" t="s">
        <v>10232</v>
      </c>
      <c r="C2897" s="13" t="s">
        <v>180</v>
      </c>
      <c r="D2897" s="766"/>
      <c r="E2897" s="783"/>
      <c r="F2897" s="786">
        <f>875000-F2896-F2895-F2894</f>
        <v>3960</v>
      </c>
      <c r="G2897" s="784">
        <f t="shared" si="57"/>
        <v>-3960</v>
      </c>
      <c r="H2897" s="1149"/>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7" t="s">
        <v>10256</v>
      </c>
    </row>
    <row r="2910" spans="1:8" x14ac:dyDescent="0.25">
      <c r="A2910" s="113">
        <v>45096</v>
      </c>
      <c r="B2910" s="21" t="s">
        <v>9967</v>
      </c>
      <c r="C2910" s="13" t="s">
        <v>169</v>
      </c>
      <c r="D2910" s="766"/>
      <c r="E2910" s="783"/>
      <c r="F2910" s="152">
        <v>23382</v>
      </c>
      <c r="G2910" s="784">
        <f t="shared" si="57"/>
        <v>-23382</v>
      </c>
      <c r="H2910" s="1148"/>
    </row>
    <row r="2911" spans="1:8" ht="16.5" thickBot="1" x14ac:dyDescent="0.3">
      <c r="A2911" s="113">
        <v>45096</v>
      </c>
      <c r="B2911" s="21" t="s">
        <v>9986</v>
      </c>
      <c r="C2911" s="13" t="s">
        <v>169</v>
      </c>
      <c r="D2911" s="766"/>
      <c r="E2911" s="783"/>
      <c r="F2911" s="296">
        <v>102854</v>
      </c>
      <c r="G2911" s="784">
        <f t="shared" si="57"/>
        <v>-102854</v>
      </c>
      <c r="H2911" s="1149"/>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7" t="s">
        <v>10235</v>
      </c>
    </row>
    <row r="2915" spans="1:8" x14ac:dyDescent="0.25">
      <c r="A2915" s="113">
        <v>45096</v>
      </c>
      <c r="B2915" s="21" t="s">
        <v>6505</v>
      </c>
      <c r="C2915" s="13" t="s">
        <v>164</v>
      </c>
      <c r="D2915" s="766"/>
      <c r="E2915" s="22"/>
      <c r="F2915" s="19">
        <v>1320</v>
      </c>
      <c r="G2915" s="14">
        <f t="shared" si="57"/>
        <v>-1320</v>
      </c>
      <c r="H2915" s="1172"/>
    </row>
    <row r="2916" spans="1:8" x14ac:dyDescent="0.25">
      <c r="A2916" s="113">
        <v>45096</v>
      </c>
      <c r="B2916" s="21" t="s">
        <v>8868</v>
      </c>
      <c r="C2916" s="13" t="s">
        <v>164</v>
      </c>
      <c r="D2916" s="766"/>
      <c r="E2916" s="22"/>
      <c r="F2916" s="19">
        <v>2773</v>
      </c>
      <c r="G2916" s="14">
        <f t="shared" si="57"/>
        <v>-2773</v>
      </c>
      <c r="H2916" s="1172"/>
    </row>
    <row r="2917" spans="1:8" x14ac:dyDescent="0.25">
      <c r="A2917" s="113">
        <v>45096</v>
      </c>
      <c r="B2917" s="21" t="s">
        <v>9356</v>
      </c>
      <c r="C2917" s="13" t="s">
        <v>164</v>
      </c>
      <c r="D2917" s="766"/>
      <c r="E2917" s="22"/>
      <c r="F2917" s="19">
        <v>12911</v>
      </c>
      <c r="G2917" s="14">
        <f t="shared" si="57"/>
        <v>-12911</v>
      </c>
      <c r="H2917" s="1172"/>
    </row>
    <row r="2918" spans="1:8" x14ac:dyDescent="0.25">
      <c r="A2918" s="113">
        <v>45096</v>
      </c>
      <c r="B2918" s="21" t="s">
        <v>9507</v>
      </c>
      <c r="C2918" s="13" t="s">
        <v>164</v>
      </c>
      <c r="D2918" s="766"/>
      <c r="E2918" s="22"/>
      <c r="F2918" s="19">
        <v>3303</v>
      </c>
      <c r="G2918" s="14">
        <f t="shared" si="57"/>
        <v>-3303</v>
      </c>
      <c r="H2918" s="1172"/>
    </row>
    <row r="2919" spans="1:8" x14ac:dyDescent="0.25">
      <c r="A2919" s="113">
        <v>45096</v>
      </c>
      <c r="B2919" s="21" t="s">
        <v>10911</v>
      </c>
      <c r="C2919" s="13" t="s">
        <v>164</v>
      </c>
      <c r="D2919" s="766"/>
      <c r="E2919" s="22"/>
      <c r="F2919" s="19">
        <v>64935</v>
      </c>
      <c r="G2919" s="14">
        <f t="shared" si="57"/>
        <v>-64935</v>
      </c>
      <c r="H2919" s="1172"/>
    </row>
    <row r="2920" spans="1:8" x14ac:dyDescent="0.25">
      <c r="A2920" s="113">
        <v>45096</v>
      </c>
      <c r="B2920" s="21" t="s">
        <v>9967</v>
      </c>
      <c r="C2920" s="13" t="s">
        <v>164</v>
      </c>
      <c r="D2920" s="766"/>
      <c r="E2920" s="22"/>
      <c r="F2920" s="19">
        <v>5073</v>
      </c>
      <c r="G2920" s="14">
        <f t="shared" si="57"/>
        <v>-5073</v>
      </c>
      <c r="H2920" s="1172"/>
    </row>
    <row r="2921" spans="1:8" x14ac:dyDescent="0.25">
      <c r="A2921" s="113">
        <v>45096</v>
      </c>
      <c r="B2921" s="21" t="s">
        <v>9986</v>
      </c>
      <c r="C2921" s="13" t="s">
        <v>164</v>
      </c>
      <c r="D2921" s="766"/>
      <c r="E2921" s="22"/>
      <c r="F2921" s="110">
        <f>100000-F2920-F2919-3485-F2917-F2916-F2915-F2914</f>
        <v>2239</v>
      </c>
      <c r="G2921" s="14">
        <f t="shared" si="57"/>
        <v>-2239</v>
      </c>
      <c r="H2921" s="1168"/>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90" t="s">
        <v>10127</v>
      </c>
    </row>
    <row r="2926" spans="1:8" x14ac:dyDescent="0.25">
      <c r="A2926" s="113">
        <v>45099</v>
      </c>
      <c r="B2926" s="21" t="s">
        <v>9769</v>
      </c>
      <c r="C2926" s="13" t="s">
        <v>8394</v>
      </c>
      <c r="D2926" s="766"/>
      <c r="E2926" s="783"/>
      <c r="F2926" s="214">
        <v>500000</v>
      </c>
      <c r="G2926" s="784">
        <f t="shared" si="57"/>
        <v>-500000</v>
      </c>
      <c r="H2926" s="1191"/>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5" t="s">
        <v>10398</v>
      </c>
    </row>
    <row r="2932" spans="1:8" ht="15.75" customHeight="1" x14ac:dyDescent="0.25">
      <c r="A2932" s="113">
        <v>45104</v>
      </c>
      <c r="B2932" s="21" t="s">
        <v>9409</v>
      </c>
      <c r="C2932" s="13" t="s">
        <v>7242</v>
      </c>
      <c r="D2932" s="766"/>
      <c r="E2932" s="22"/>
      <c r="F2932" s="19">
        <v>116894</v>
      </c>
      <c r="G2932" s="14">
        <f t="shared" si="57"/>
        <v>-116894</v>
      </c>
      <c r="H2932" s="1156"/>
    </row>
    <row r="2933" spans="1:8" x14ac:dyDescent="0.25">
      <c r="A2933" s="113">
        <v>45104</v>
      </c>
      <c r="B2933" s="21"/>
      <c r="C2933" s="13" t="s">
        <v>7242</v>
      </c>
      <c r="D2933" s="766"/>
      <c r="E2933" s="22"/>
      <c r="F2933" s="19">
        <v>13918</v>
      </c>
      <c r="G2933" s="14">
        <f t="shared" si="57"/>
        <v>-13918</v>
      </c>
      <c r="H2933" s="1157"/>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52" t="s">
        <v>10325</v>
      </c>
    </row>
    <row r="2940" spans="1:8" x14ac:dyDescent="0.25">
      <c r="A2940" s="113">
        <v>45112</v>
      </c>
      <c r="B2940" s="21" t="s">
        <v>8868</v>
      </c>
      <c r="C2940" s="13" t="s">
        <v>8394</v>
      </c>
      <c r="D2940" s="766"/>
      <c r="E2940" s="22"/>
      <c r="F2940" s="19">
        <v>200000</v>
      </c>
      <c r="G2940" s="14">
        <f t="shared" si="57"/>
        <v>-200000</v>
      </c>
      <c r="H2940" s="1153"/>
    </row>
    <row r="2941" spans="1:8" x14ac:dyDescent="0.25">
      <c r="A2941" s="113">
        <v>45112</v>
      </c>
      <c r="B2941" s="21" t="s">
        <v>9356</v>
      </c>
      <c r="C2941" s="13" t="s">
        <v>8394</v>
      </c>
      <c r="D2941" s="766"/>
      <c r="E2941" s="22"/>
      <c r="F2941" s="19">
        <v>270000</v>
      </c>
      <c r="G2941" s="14">
        <f t="shared" si="57"/>
        <v>-270000</v>
      </c>
      <c r="H2941" s="1153"/>
    </row>
    <row r="2942" spans="1:8" x14ac:dyDescent="0.25">
      <c r="A2942" s="113">
        <v>45112</v>
      </c>
      <c r="B2942" s="21" t="s">
        <v>9661</v>
      </c>
      <c r="C2942" s="13" t="s">
        <v>8394</v>
      </c>
      <c r="D2942" s="766"/>
      <c r="E2942" s="22"/>
      <c r="F2942" s="19">
        <v>430000</v>
      </c>
      <c r="G2942" s="14">
        <f t="shared" si="57"/>
        <v>-430000</v>
      </c>
      <c r="H2942" s="1153"/>
    </row>
    <row r="2943" spans="1:8" x14ac:dyDescent="0.25">
      <c r="A2943" s="113">
        <v>45112</v>
      </c>
      <c r="B2943" s="21" t="s">
        <v>10151</v>
      </c>
      <c r="C2943" s="13" t="s">
        <v>8394</v>
      </c>
      <c r="D2943" s="766"/>
      <c r="E2943" s="22"/>
      <c r="F2943" s="19">
        <v>50000</v>
      </c>
      <c r="G2943" s="14">
        <f t="shared" si="57"/>
        <v>-50000</v>
      </c>
      <c r="H2943" s="1154"/>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5" t="s">
        <v>10473</v>
      </c>
      <c r="E2950" s="783">
        <v>130000</v>
      </c>
      <c r="F2950" s="19"/>
      <c r="G2950" s="14">
        <f t="shared" si="60"/>
        <v>130000</v>
      </c>
      <c r="H2950" s="343" t="s">
        <v>9279</v>
      </c>
    </row>
    <row r="2951" spans="1:8" x14ac:dyDescent="0.25">
      <c r="A2951" s="113">
        <v>45118</v>
      </c>
      <c r="B2951" s="21" t="s">
        <v>8868</v>
      </c>
      <c r="C2951" s="13" t="s">
        <v>166</v>
      </c>
      <c r="D2951" s="1206"/>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6" t="s">
        <v>10480</v>
      </c>
      <c r="J2961" s="128"/>
    </row>
    <row r="2962" spans="1:10" x14ac:dyDescent="0.25">
      <c r="A2962" s="113">
        <v>45124</v>
      </c>
      <c r="B2962" s="21" t="s">
        <v>9769</v>
      </c>
      <c r="C2962" s="13" t="s">
        <v>166</v>
      </c>
      <c r="D2962" s="766"/>
      <c r="E2962" s="22"/>
      <c r="F2962" s="19">
        <v>66000</v>
      </c>
      <c r="G2962" s="14">
        <f t="shared" si="60"/>
        <v>-66000</v>
      </c>
      <c r="H2962" s="1176"/>
    </row>
    <row r="2963" spans="1:10" x14ac:dyDescent="0.25">
      <c r="A2963" s="113">
        <v>45124</v>
      </c>
      <c r="B2963" s="21" t="s">
        <v>9967</v>
      </c>
      <c r="C2963" s="13" t="s">
        <v>166</v>
      </c>
      <c r="D2963" s="766"/>
      <c r="E2963" s="22"/>
      <c r="F2963" s="19">
        <v>15800</v>
      </c>
      <c r="G2963" s="14">
        <f t="shared" si="60"/>
        <v>-15800</v>
      </c>
      <c r="H2963" s="1176"/>
    </row>
    <row r="2964" spans="1:10" x14ac:dyDescent="0.25">
      <c r="A2964" s="113">
        <v>45124</v>
      </c>
      <c r="B2964" s="21" t="s">
        <v>10471</v>
      </c>
      <c r="C2964" s="13" t="s">
        <v>166</v>
      </c>
      <c r="D2964" s="766"/>
      <c r="E2964" s="22"/>
      <c r="F2964" s="19">
        <v>13260</v>
      </c>
      <c r="G2964" s="14">
        <f t="shared" si="60"/>
        <v>-13260</v>
      </c>
      <c r="H2964" s="1176"/>
    </row>
    <row r="2965" spans="1:10" x14ac:dyDescent="0.25">
      <c r="A2965" s="113">
        <v>45124</v>
      </c>
      <c r="B2965" s="21" t="s">
        <v>8657</v>
      </c>
      <c r="C2965" s="13" t="s">
        <v>166</v>
      </c>
      <c r="D2965" s="766"/>
      <c r="E2965" s="22"/>
      <c r="F2965" s="19">
        <v>290840</v>
      </c>
      <c r="G2965" s="14">
        <f t="shared" si="60"/>
        <v>-290840</v>
      </c>
      <c r="H2965" s="1177"/>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7" t="s">
        <v>10510</v>
      </c>
    </row>
    <row r="2975" spans="1:10" ht="16.5" thickBot="1" x14ac:dyDescent="0.3">
      <c r="A2975" s="113">
        <v>45125</v>
      </c>
      <c r="B2975" s="21" t="s">
        <v>10471</v>
      </c>
      <c r="C2975" s="13" t="s">
        <v>166</v>
      </c>
      <c r="D2975" s="766"/>
      <c r="E2975" s="783"/>
      <c r="F2975" s="786">
        <v>130000</v>
      </c>
      <c r="G2975" s="784">
        <f t="shared" si="60"/>
        <v>-130000</v>
      </c>
      <c r="H2975" s="1168"/>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7" t="s">
        <v>10551</v>
      </c>
    </row>
    <row r="2982" spans="1:8" x14ac:dyDescent="0.25">
      <c r="A2982" s="113">
        <v>45127</v>
      </c>
      <c r="B2982" s="21" t="s">
        <v>8868</v>
      </c>
      <c r="C2982" s="13" t="s">
        <v>8394</v>
      </c>
      <c r="D2982" s="766"/>
      <c r="E2982" s="783"/>
      <c r="F2982" s="142">
        <v>182717</v>
      </c>
      <c r="G2982" s="784">
        <f t="shared" si="60"/>
        <v>-182717</v>
      </c>
      <c r="H2982" s="1208"/>
    </row>
    <row r="2983" spans="1:8" x14ac:dyDescent="0.25">
      <c r="A2983" s="113">
        <v>45127</v>
      </c>
      <c r="B2983" s="21" t="s">
        <v>9356</v>
      </c>
      <c r="C2983" s="13" t="s">
        <v>8394</v>
      </c>
      <c r="D2983" s="766"/>
      <c r="E2983" s="783"/>
      <c r="F2983" s="142">
        <v>190000</v>
      </c>
      <c r="G2983" s="784">
        <f t="shared" si="60"/>
        <v>-190000</v>
      </c>
      <c r="H2983" s="1208"/>
    </row>
    <row r="2984" spans="1:8" x14ac:dyDescent="0.25">
      <c r="A2984" s="113">
        <v>45127</v>
      </c>
      <c r="B2984" s="21" t="s">
        <v>9661</v>
      </c>
      <c r="C2984" s="13" t="s">
        <v>8394</v>
      </c>
      <c r="D2984" s="766"/>
      <c r="E2984" s="783"/>
      <c r="F2984" s="142">
        <v>45196</v>
      </c>
      <c r="G2984" s="784">
        <f t="shared" si="60"/>
        <v>-45196</v>
      </c>
      <c r="H2984" s="1208"/>
    </row>
    <row r="2985" spans="1:8" x14ac:dyDescent="0.25">
      <c r="A2985" s="113">
        <v>45127</v>
      </c>
      <c r="B2985" s="21" t="s">
        <v>9769</v>
      </c>
      <c r="C2985" s="13" t="s">
        <v>8394</v>
      </c>
      <c r="D2985" s="766"/>
      <c r="E2985" s="783"/>
      <c r="F2985" s="142">
        <v>190000</v>
      </c>
      <c r="G2985" s="784">
        <f t="shared" si="60"/>
        <v>-190000</v>
      </c>
      <c r="H2985" s="1208"/>
    </row>
    <row r="2986" spans="1:8" x14ac:dyDescent="0.25">
      <c r="A2986" s="113">
        <v>45127</v>
      </c>
      <c r="B2986" s="21" t="s">
        <v>10151</v>
      </c>
      <c r="C2986" s="13" t="s">
        <v>8394</v>
      </c>
      <c r="D2986" s="766"/>
      <c r="E2986" s="783"/>
      <c r="F2986" s="142">
        <v>190000</v>
      </c>
      <c r="G2986" s="784">
        <f t="shared" si="60"/>
        <v>-190000</v>
      </c>
      <c r="H2986" s="1208"/>
    </row>
    <row r="2987" spans="1:8" ht="16.5" thickBot="1" x14ac:dyDescent="0.3">
      <c r="A2987" s="113">
        <v>45127</v>
      </c>
      <c r="B2987" s="21" t="s">
        <v>10296</v>
      </c>
      <c r="C2987" s="13" t="s">
        <v>8394</v>
      </c>
      <c r="D2987" s="766"/>
      <c r="E2987" s="783"/>
      <c r="F2987" s="786">
        <v>190000</v>
      </c>
      <c r="G2987" s="784">
        <f t="shared" si="60"/>
        <v>-190000</v>
      </c>
      <c r="H2987" s="1209"/>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3" t="s">
        <v>10752</v>
      </c>
    </row>
    <row r="3030" spans="1:8" x14ac:dyDescent="0.25">
      <c r="A3030" s="113">
        <v>45153</v>
      </c>
      <c r="B3030" s="21" t="s">
        <v>8876</v>
      </c>
      <c r="C3030" s="13" t="s">
        <v>7467</v>
      </c>
      <c r="D3030" s="766"/>
      <c r="E3030" s="22"/>
      <c r="F3030" s="19">
        <v>201658</v>
      </c>
      <c r="G3030" s="14">
        <f t="shared" si="60"/>
        <v>-201658</v>
      </c>
      <c r="H3030" s="1175"/>
    </row>
    <row r="3031" spans="1:8" x14ac:dyDescent="0.25">
      <c r="A3031" s="113">
        <v>45153</v>
      </c>
      <c r="B3031" s="21" t="s">
        <v>9661</v>
      </c>
      <c r="C3031" s="13" t="s">
        <v>7467</v>
      </c>
      <c r="D3031" s="766"/>
      <c r="E3031" s="22"/>
      <c r="F3031" s="19">
        <v>482460</v>
      </c>
      <c r="G3031" s="14">
        <f t="shared" si="60"/>
        <v>-482460</v>
      </c>
      <c r="H3031" s="1174"/>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61" t="s">
        <v>10848</v>
      </c>
    </row>
    <row r="3034" spans="1:8" x14ac:dyDescent="0.25">
      <c r="A3034" s="113">
        <v>45154</v>
      </c>
      <c r="B3034" s="21" t="s">
        <v>9356</v>
      </c>
      <c r="C3034" s="13" t="s">
        <v>8394</v>
      </c>
      <c r="D3034" s="766"/>
      <c r="E3034" s="783"/>
      <c r="F3034" s="142">
        <v>150000</v>
      </c>
      <c r="G3034" s="784">
        <f t="shared" ref="G3034:G3171" si="62">E3034-F3034</f>
        <v>-150000</v>
      </c>
      <c r="H3034" s="1162"/>
    </row>
    <row r="3035" spans="1:8" x14ac:dyDescent="0.25">
      <c r="A3035" s="113">
        <v>45154</v>
      </c>
      <c r="B3035" s="21" t="s">
        <v>9769</v>
      </c>
      <c r="C3035" s="13" t="s">
        <v>8394</v>
      </c>
      <c r="D3035" s="766"/>
      <c r="E3035" s="783"/>
      <c r="F3035" s="142">
        <v>372320</v>
      </c>
      <c r="G3035" s="784">
        <f t="shared" si="62"/>
        <v>-372320</v>
      </c>
      <c r="H3035" s="1162"/>
    </row>
    <row r="3036" spans="1:8" x14ac:dyDescent="0.25">
      <c r="A3036" s="113">
        <v>45154</v>
      </c>
      <c r="B3036" s="21" t="s">
        <v>10151</v>
      </c>
      <c r="C3036" s="13" t="s">
        <v>8394</v>
      </c>
      <c r="D3036" s="766"/>
      <c r="E3036" s="783"/>
      <c r="F3036" s="142">
        <v>300000</v>
      </c>
      <c r="G3036" s="784">
        <f t="shared" si="62"/>
        <v>-300000</v>
      </c>
      <c r="H3036" s="1162"/>
    </row>
    <row r="3037" spans="1:8" x14ac:dyDescent="0.25">
      <c r="A3037" s="113">
        <v>45154</v>
      </c>
      <c r="B3037" s="983" t="s">
        <v>10379</v>
      </c>
      <c r="C3037" s="13" t="s">
        <v>8394</v>
      </c>
      <c r="D3037" s="766"/>
      <c r="E3037" s="783"/>
      <c r="F3037" s="142">
        <v>100000</v>
      </c>
      <c r="G3037" s="784">
        <f t="shared" si="62"/>
        <v>-100000</v>
      </c>
      <c r="H3037" s="1162"/>
    </row>
    <row r="3038" spans="1:8" x14ac:dyDescent="0.25">
      <c r="A3038" s="266">
        <v>45154</v>
      </c>
      <c r="B3038" s="978" t="s">
        <v>10232</v>
      </c>
      <c r="C3038" s="54" t="s">
        <v>8394</v>
      </c>
      <c r="D3038" s="777"/>
      <c r="E3038" s="955"/>
      <c r="F3038" s="147">
        <v>5602</v>
      </c>
      <c r="G3038" s="979">
        <f t="shared" si="62"/>
        <v>-5602</v>
      </c>
      <c r="H3038" s="1163"/>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9" t="s">
        <v>10806</v>
      </c>
      <c r="E3044" s="22">
        <v>20300</v>
      </c>
      <c r="F3044" s="19"/>
      <c r="G3044" s="14">
        <f t="shared" si="62"/>
        <v>20300</v>
      </c>
      <c r="H3044" s="1190" t="s">
        <v>9326</v>
      </c>
    </row>
    <row r="3045" spans="1:8" ht="15.75" customHeight="1" x14ac:dyDescent="0.25">
      <c r="A3045" s="113">
        <v>45156</v>
      </c>
      <c r="B3045" s="983" t="s">
        <v>10379</v>
      </c>
      <c r="C3045" s="13" t="s">
        <v>166</v>
      </c>
      <c r="D3045" s="1189"/>
      <c r="E3045" s="22">
        <v>45000</v>
      </c>
      <c r="F3045" s="19"/>
      <c r="G3045" s="14">
        <f t="shared" si="62"/>
        <v>45000</v>
      </c>
      <c r="H3045" s="1191"/>
    </row>
    <row r="3046" spans="1:8" x14ac:dyDescent="0.25">
      <c r="A3046" s="113">
        <v>45156</v>
      </c>
      <c r="B3046" s="21" t="s">
        <v>8657</v>
      </c>
      <c r="C3046" s="13" t="s">
        <v>166</v>
      </c>
      <c r="D3046" s="766"/>
      <c r="E3046" s="22"/>
      <c r="F3046" s="19">
        <v>64845</v>
      </c>
      <c r="G3046" s="14">
        <f t="shared" si="62"/>
        <v>-64845</v>
      </c>
      <c r="H3046" s="1195" t="s">
        <v>10843</v>
      </c>
    </row>
    <row r="3047" spans="1:8" x14ac:dyDescent="0.25">
      <c r="A3047" s="113">
        <v>45156</v>
      </c>
      <c r="B3047" s="21" t="s">
        <v>8868</v>
      </c>
      <c r="C3047" s="13" t="s">
        <v>166</v>
      </c>
      <c r="D3047" s="766"/>
      <c r="E3047" s="22"/>
      <c r="F3047" s="19">
        <v>22500</v>
      </c>
      <c r="G3047" s="14">
        <f t="shared" si="62"/>
        <v>-22500</v>
      </c>
      <c r="H3047" s="1176"/>
    </row>
    <row r="3048" spans="1:8" x14ac:dyDescent="0.25">
      <c r="A3048" s="113">
        <v>45156</v>
      </c>
      <c r="B3048" s="21" t="s">
        <v>10151</v>
      </c>
      <c r="C3048" s="13" t="s">
        <v>166</v>
      </c>
      <c r="D3048" s="766"/>
      <c r="E3048" s="22"/>
      <c r="F3048" s="19">
        <v>19260</v>
      </c>
      <c r="G3048" s="14">
        <f t="shared" si="62"/>
        <v>-19260</v>
      </c>
      <c r="H3048" s="1176"/>
    </row>
    <row r="3049" spans="1:8" x14ac:dyDescent="0.25">
      <c r="A3049" s="113">
        <v>45156</v>
      </c>
      <c r="B3049" s="21" t="s">
        <v>10471</v>
      </c>
      <c r="C3049" s="13" t="s">
        <v>166</v>
      </c>
      <c r="D3049" s="766"/>
      <c r="E3049" s="22"/>
      <c r="F3049" s="19">
        <v>34640</v>
      </c>
      <c r="G3049" s="14">
        <f t="shared" si="62"/>
        <v>-34640</v>
      </c>
      <c r="H3049" s="1176"/>
    </row>
    <row r="3050" spans="1:8" x14ac:dyDescent="0.25">
      <c r="A3050" s="113">
        <v>45156</v>
      </c>
      <c r="B3050" s="983" t="s">
        <v>10379</v>
      </c>
      <c r="C3050" s="13" t="s">
        <v>166</v>
      </c>
      <c r="D3050" s="766"/>
      <c r="E3050" s="22"/>
      <c r="F3050" s="19">
        <v>58755</v>
      </c>
      <c r="G3050" s="14">
        <f t="shared" si="62"/>
        <v>-58755</v>
      </c>
      <c r="H3050" s="1177"/>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61" t="s">
        <v>10848</v>
      </c>
    </row>
    <row r="3066" spans="1:8" x14ac:dyDescent="0.25">
      <c r="A3066" s="113">
        <v>45161</v>
      </c>
      <c r="B3066" s="983" t="s">
        <v>10296</v>
      </c>
      <c r="C3066" s="140" t="s">
        <v>8394</v>
      </c>
      <c r="D3066" s="984"/>
      <c r="E3066" s="783"/>
      <c r="F3066" s="142">
        <v>112135</v>
      </c>
      <c r="G3066" s="784">
        <f t="shared" si="62"/>
        <v>-112135</v>
      </c>
      <c r="H3066" s="1162"/>
    </row>
    <row r="3067" spans="1:8" x14ac:dyDescent="0.25">
      <c r="A3067" s="113">
        <v>45161</v>
      </c>
      <c r="B3067" s="21" t="s">
        <v>9356</v>
      </c>
      <c r="C3067" s="140" t="s">
        <v>8394</v>
      </c>
      <c r="D3067" s="984"/>
      <c r="E3067" s="783"/>
      <c r="F3067" s="142">
        <v>22065</v>
      </c>
      <c r="G3067" s="784">
        <f t="shared" si="62"/>
        <v>-22065</v>
      </c>
      <c r="H3067" s="1162"/>
    </row>
    <row r="3068" spans="1:8" x14ac:dyDescent="0.25">
      <c r="A3068" s="113">
        <v>45161</v>
      </c>
      <c r="B3068" s="983" t="s">
        <v>10151</v>
      </c>
      <c r="C3068" s="140" t="s">
        <v>8394</v>
      </c>
      <c r="D3068" s="984"/>
      <c r="E3068" s="783"/>
      <c r="F3068" s="142">
        <v>300000</v>
      </c>
      <c r="G3068" s="784">
        <f t="shared" si="62"/>
        <v>-300000</v>
      </c>
      <c r="H3068" s="1162"/>
    </row>
    <row r="3069" spans="1:8" x14ac:dyDescent="0.25">
      <c r="A3069" s="113">
        <v>45161</v>
      </c>
      <c r="B3069" s="983" t="s">
        <v>10379</v>
      </c>
      <c r="C3069" s="140" t="s">
        <v>8394</v>
      </c>
      <c r="D3069" s="984"/>
      <c r="E3069" s="783"/>
      <c r="F3069" s="142">
        <v>200000</v>
      </c>
      <c r="G3069" s="784">
        <f t="shared" si="62"/>
        <v>-200000</v>
      </c>
      <c r="H3069" s="1162"/>
    </row>
    <row r="3070" spans="1:8" ht="16.5" thickBot="1" x14ac:dyDescent="0.3">
      <c r="A3070" s="113">
        <v>45161</v>
      </c>
      <c r="B3070" s="983" t="s">
        <v>10232</v>
      </c>
      <c r="C3070" s="986" t="s">
        <v>8394</v>
      </c>
      <c r="D3070" s="984"/>
      <c r="E3070" s="783"/>
      <c r="F3070" s="786">
        <v>337781</v>
      </c>
      <c r="G3070" s="784">
        <f t="shared" si="62"/>
        <v>-337781</v>
      </c>
      <c r="H3070" s="1163"/>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92" t="s">
        <v>10856</v>
      </c>
    </row>
    <row r="3080" spans="1:8" x14ac:dyDescent="0.25">
      <c r="A3080" s="113">
        <v>45164</v>
      </c>
      <c r="B3080" s="21" t="s">
        <v>9967</v>
      </c>
      <c r="C3080" s="13" t="s">
        <v>169</v>
      </c>
      <c r="D3080" s="766"/>
      <c r="E3080" s="783"/>
      <c r="F3080" s="142">
        <v>23382</v>
      </c>
      <c r="G3080" s="784">
        <f t="shared" si="62"/>
        <v>-23382</v>
      </c>
      <c r="H3080" s="1193"/>
    </row>
    <row r="3081" spans="1:8" x14ac:dyDescent="0.25">
      <c r="A3081" s="113">
        <v>45164</v>
      </c>
      <c r="B3081" s="21" t="s">
        <v>9986</v>
      </c>
      <c r="C3081" s="13" t="s">
        <v>169</v>
      </c>
      <c r="D3081" s="766"/>
      <c r="E3081" s="783"/>
      <c r="F3081" s="142">
        <v>37222</v>
      </c>
      <c r="G3081" s="784">
        <f t="shared" si="62"/>
        <v>-37222</v>
      </c>
      <c r="H3081" s="1193"/>
    </row>
    <row r="3082" spans="1:8" x14ac:dyDescent="0.25">
      <c r="A3082" s="113">
        <v>45164</v>
      </c>
      <c r="B3082" s="21" t="s">
        <v>10296</v>
      </c>
      <c r="C3082" s="13" t="s">
        <v>169</v>
      </c>
      <c r="D3082" s="766"/>
      <c r="E3082" s="783"/>
      <c r="F3082" s="142">
        <v>129892</v>
      </c>
      <c r="G3082" s="784">
        <f t="shared" si="62"/>
        <v>-129892</v>
      </c>
      <c r="H3082" s="1193"/>
    </row>
    <row r="3083" spans="1:8" ht="16.5" thickBot="1" x14ac:dyDescent="0.3">
      <c r="A3083" s="113">
        <v>45164</v>
      </c>
      <c r="B3083" s="21" t="s">
        <v>10571</v>
      </c>
      <c r="C3083" s="13" t="s">
        <v>169</v>
      </c>
      <c r="D3083" s="766"/>
      <c r="E3083" s="783"/>
      <c r="F3083" s="786">
        <v>7300</v>
      </c>
      <c r="G3083" s="784">
        <f t="shared" si="62"/>
        <v>-7300</v>
      </c>
      <c r="H3083" s="1194"/>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9" t="s">
        <v>10876</v>
      </c>
    </row>
    <row r="3086" spans="1:8" x14ac:dyDescent="0.25">
      <c r="A3086" s="113">
        <v>45164</v>
      </c>
      <c r="B3086" s="21" t="s">
        <v>10296</v>
      </c>
      <c r="C3086" s="13" t="s">
        <v>1803</v>
      </c>
      <c r="D3086" s="766"/>
      <c r="E3086" s="783"/>
      <c r="F3086" s="142">
        <v>4870</v>
      </c>
      <c r="G3086" s="784">
        <f t="shared" si="62"/>
        <v>-4870</v>
      </c>
      <c r="H3086" s="1170"/>
    </row>
    <row r="3087" spans="1:8" ht="16.5" thickBot="1" x14ac:dyDescent="0.3">
      <c r="A3087" s="113">
        <v>45164</v>
      </c>
      <c r="B3087" s="21" t="s">
        <v>10909</v>
      </c>
      <c r="C3087" s="13" t="s">
        <v>1803</v>
      </c>
      <c r="D3087" s="766"/>
      <c r="E3087" s="955"/>
      <c r="F3087" s="786">
        <v>75050</v>
      </c>
      <c r="G3087" s="979">
        <f t="shared" si="62"/>
        <v>-75050</v>
      </c>
      <c r="H3087" s="1171"/>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7" t="s">
        <v>11006</v>
      </c>
    </row>
    <row r="3112" spans="1:8" x14ac:dyDescent="0.25">
      <c r="A3112" s="113">
        <v>45174</v>
      </c>
      <c r="B3112" s="21" t="s">
        <v>10571</v>
      </c>
      <c r="C3112" s="13" t="s">
        <v>180</v>
      </c>
      <c r="D3112" s="766"/>
      <c r="E3112" s="22"/>
      <c r="F3112" s="19">
        <v>120960</v>
      </c>
      <c r="G3112" s="14">
        <f t="shared" si="62"/>
        <v>-120960</v>
      </c>
      <c r="H3112" s="1172"/>
    </row>
    <row r="3113" spans="1:8" x14ac:dyDescent="0.25">
      <c r="A3113" s="113">
        <v>45174</v>
      </c>
      <c r="B3113" s="21" t="s">
        <v>10379</v>
      </c>
      <c r="C3113" s="13" t="s">
        <v>180</v>
      </c>
      <c r="D3113" s="766"/>
      <c r="E3113" s="22"/>
      <c r="F3113" s="19">
        <v>4960</v>
      </c>
      <c r="G3113" s="14">
        <f t="shared" si="62"/>
        <v>-4960</v>
      </c>
      <c r="H3113" s="1168"/>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6" t="s">
        <v>11163</v>
      </c>
      <c r="E3153" s="22">
        <v>35941</v>
      </c>
      <c r="F3153" s="19"/>
      <c r="G3153" s="14">
        <f t="shared" si="62"/>
        <v>35941</v>
      </c>
      <c r="H3153" s="13"/>
    </row>
    <row r="3154" spans="1:8" x14ac:dyDescent="0.25">
      <c r="A3154" s="113">
        <v>45190</v>
      </c>
      <c r="B3154" s="21" t="s">
        <v>11075</v>
      </c>
      <c r="C3154" s="13" t="s">
        <v>8394</v>
      </c>
      <c r="D3154" s="1187"/>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6" t="s">
        <v>11165</v>
      </c>
      <c r="E3156" s="22">
        <v>3870</v>
      </c>
      <c r="F3156" s="19"/>
      <c r="G3156" s="14">
        <f t="shared" si="62"/>
        <v>3870</v>
      </c>
      <c r="H3156" s="13"/>
    </row>
    <row r="3157" spans="1:8" x14ac:dyDescent="0.25">
      <c r="A3157" s="113">
        <v>45190</v>
      </c>
      <c r="B3157" s="21" t="s">
        <v>11075</v>
      </c>
      <c r="C3157" s="13" t="s">
        <v>8394</v>
      </c>
      <c r="D3157" s="1187"/>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8" t="s">
        <v>11173</v>
      </c>
    </row>
    <row r="3172" spans="1:8" x14ac:dyDescent="0.25">
      <c r="A3172" s="113">
        <v>45188</v>
      </c>
      <c r="B3172" s="21" t="s">
        <v>9967</v>
      </c>
      <c r="C3172" s="13" t="s">
        <v>164</v>
      </c>
      <c r="D3172" s="766"/>
      <c r="E3172" s="783"/>
      <c r="F3172" s="142">
        <v>1260</v>
      </c>
      <c r="G3172" s="784">
        <f t="shared" ref="G3172:G3273" si="64">E3172-F3172</f>
        <v>-1260</v>
      </c>
      <c r="H3172" s="1159"/>
    </row>
    <row r="3173" spans="1:8" x14ac:dyDescent="0.25">
      <c r="A3173" s="113">
        <v>45188</v>
      </c>
      <c r="B3173" s="21" t="s">
        <v>9986</v>
      </c>
      <c r="C3173" s="13" t="s">
        <v>164</v>
      </c>
      <c r="D3173" s="766"/>
      <c r="E3173" s="783"/>
      <c r="F3173" s="142">
        <v>9626</v>
      </c>
      <c r="G3173" s="784">
        <f t="shared" si="64"/>
        <v>-9626</v>
      </c>
      <c r="H3173" s="1159"/>
    </row>
    <row r="3174" spans="1:8" x14ac:dyDescent="0.25">
      <c r="A3174" s="113">
        <v>45188</v>
      </c>
      <c r="B3174" s="21" t="s">
        <v>10151</v>
      </c>
      <c r="C3174" s="13" t="s">
        <v>164</v>
      </c>
      <c r="D3174" s="766"/>
      <c r="E3174" s="783"/>
      <c r="F3174" s="142">
        <v>6023</v>
      </c>
      <c r="G3174" s="784">
        <f t="shared" si="64"/>
        <v>-6023</v>
      </c>
      <c r="H3174" s="1159"/>
    </row>
    <row r="3175" spans="1:8" x14ac:dyDescent="0.25">
      <c r="A3175" s="113">
        <v>45188</v>
      </c>
      <c r="B3175" s="21" t="s">
        <v>10296</v>
      </c>
      <c r="C3175" s="13" t="s">
        <v>164</v>
      </c>
      <c r="D3175" s="766"/>
      <c r="E3175" s="783"/>
      <c r="F3175" s="142">
        <v>6055</v>
      </c>
      <c r="G3175" s="784">
        <f t="shared" si="64"/>
        <v>-6055</v>
      </c>
      <c r="H3175" s="1159"/>
    </row>
    <row r="3176" spans="1:8" x14ac:dyDescent="0.25">
      <c r="A3176" s="113">
        <v>45188</v>
      </c>
      <c r="B3176" s="21" t="s">
        <v>10471</v>
      </c>
      <c r="C3176" s="13" t="s">
        <v>164</v>
      </c>
      <c r="D3176" s="766"/>
      <c r="E3176" s="783"/>
      <c r="F3176" s="142">
        <v>60002</v>
      </c>
      <c r="G3176" s="784">
        <f t="shared" si="64"/>
        <v>-60002</v>
      </c>
      <c r="H3176" s="1159"/>
    </row>
    <row r="3177" spans="1:8" x14ac:dyDescent="0.25">
      <c r="A3177" s="113">
        <v>45188</v>
      </c>
      <c r="B3177" s="21" t="s">
        <v>10232</v>
      </c>
      <c r="C3177" s="13" t="s">
        <v>164</v>
      </c>
      <c r="D3177" s="766"/>
      <c r="E3177" s="783"/>
      <c r="F3177" s="142">
        <v>9551</v>
      </c>
      <c r="G3177" s="784">
        <f t="shared" si="64"/>
        <v>-9551</v>
      </c>
      <c r="H3177" s="1159"/>
    </row>
    <row r="3178" spans="1:8" x14ac:dyDescent="0.25">
      <c r="A3178" s="113">
        <v>45188</v>
      </c>
      <c r="B3178" s="21" t="s">
        <v>9356</v>
      </c>
      <c r="C3178" s="13" t="s">
        <v>164</v>
      </c>
      <c r="D3178" s="766"/>
      <c r="E3178" s="783"/>
      <c r="F3178" s="142">
        <v>20807</v>
      </c>
      <c r="G3178" s="784">
        <f t="shared" si="64"/>
        <v>-20807</v>
      </c>
      <c r="H3178" s="1159"/>
    </row>
    <row r="3179" spans="1:8" ht="16.5" thickBot="1" x14ac:dyDescent="0.3">
      <c r="A3179" s="113">
        <v>45188</v>
      </c>
      <c r="B3179" s="21" t="s">
        <v>10379</v>
      </c>
      <c r="C3179" s="13" t="s">
        <v>164</v>
      </c>
      <c r="D3179" s="766"/>
      <c r="E3179" s="783"/>
      <c r="F3179" s="786">
        <v>14924</v>
      </c>
      <c r="G3179" s="784">
        <f t="shared" si="64"/>
        <v>-14924</v>
      </c>
      <c r="H3179" s="1160"/>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7" t="s">
        <v>11172</v>
      </c>
    </row>
    <row r="3183" spans="1:8" x14ac:dyDescent="0.25">
      <c r="A3183" s="113">
        <v>45190</v>
      </c>
      <c r="B3183" s="21" t="s">
        <v>10571</v>
      </c>
      <c r="C3183" s="13" t="s">
        <v>169</v>
      </c>
      <c r="D3183" s="766"/>
      <c r="E3183" s="783"/>
      <c r="F3183" s="142">
        <v>100000</v>
      </c>
      <c r="G3183" s="784">
        <f t="shared" si="64"/>
        <v>-100000</v>
      </c>
      <c r="H3183" s="1172"/>
    </row>
    <row r="3184" spans="1:8" ht="16.5" thickBot="1" x14ac:dyDescent="0.3">
      <c r="A3184" s="113">
        <v>45190</v>
      </c>
      <c r="B3184" s="21" t="s">
        <v>9356</v>
      </c>
      <c r="C3184" s="13" t="s">
        <v>169</v>
      </c>
      <c r="D3184" s="766"/>
      <c r="E3184" s="783"/>
      <c r="F3184" s="786">
        <v>300000</v>
      </c>
      <c r="G3184" s="784">
        <f t="shared" si="64"/>
        <v>-300000</v>
      </c>
      <c r="H3184" s="1168"/>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7" t="s">
        <v>11224</v>
      </c>
    </row>
    <row r="3192" spans="1:8" x14ac:dyDescent="0.25">
      <c r="A3192" s="113">
        <v>45195</v>
      </c>
      <c r="B3192" s="21" t="s">
        <v>10571</v>
      </c>
      <c r="C3192" s="13" t="s">
        <v>8394</v>
      </c>
      <c r="D3192" s="766"/>
      <c r="E3192" s="783"/>
      <c r="F3192" s="152">
        <v>11574</v>
      </c>
      <c r="G3192" s="784">
        <f t="shared" si="64"/>
        <v>-11574</v>
      </c>
      <c r="H3192" s="1172"/>
    </row>
    <row r="3193" spans="1:8" x14ac:dyDescent="0.25">
      <c r="A3193" s="113">
        <v>45195</v>
      </c>
      <c r="B3193" s="21" t="s">
        <v>9356</v>
      </c>
      <c r="C3193" s="13" t="s">
        <v>8394</v>
      </c>
      <c r="D3193" s="766"/>
      <c r="E3193" s="783"/>
      <c r="F3193" s="152">
        <v>120076</v>
      </c>
      <c r="G3193" s="784">
        <f t="shared" si="64"/>
        <v>-120076</v>
      </c>
      <c r="H3193" s="1172"/>
    </row>
    <row r="3194" spans="1:8" x14ac:dyDescent="0.25">
      <c r="A3194" s="113">
        <v>45195</v>
      </c>
      <c r="B3194" s="21" t="s">
        <v>10379</v>
      </c>
      <c r="C3194" s="13" t="s">
        <v>8394</v>
      </c>
      <c r="D3194" s="766"/>
      <c r="E3194" s="783"/>
      <c r="F3194" s="152">
        <v>209438</v>
      </c>
      <c r="G3194" s="784">
        <f t="shared" si="64"/>
        <v>-209438</v>
      </c>
      <c r="H3194" s="1172"/>
    </row>
    <row r="3195" spans="1:8" x14ac:dyDescent="0.25">
      <c r="A3195" s="113">
        <v>45195</v>
      </c>
      <c r="B3195" s="21" t="s">
        <v>11075</v>
      </c>
      <c r="C3195" s="13" t="s">
        <v>8394</v>
      </c>
      <c r="D3195" s="766"/>
      <c r="E3195" s="783"/>
      <c r="F3195" s="152">
        <v>203556</v>
      </c>
      <c r="G3195" s="784">
        <f t="shared" si="64"/>
        <v>-203556</v>
      </c>
      <c r="H3195" s="1172"/>
    </row>
    <row r="3196" spans="1:8" ht="16.5" customHeight="1" thickBot="1" x14ac:dyDescent="0.3">
      <c r="A3196" s="113">
        <v>45195</v>
      </c>
      <c r="B3196" s="21" t="s">
        <v>10576</v>
      </c>
      <c r="C3196" s="13" t="s">
        <v>8394</v>
      </c>
      <c r="D3196" s="766"/>
      <c r="E3196" s="783"/>
      <c r="F3196" s="296">
        <v>296860</v>
      </c>
      <c r="G3196" s="784">
        <f t="shared" si="64"/>
        <v>-296860</v>
      </c>
      <c r="H3196" s="1168"/>
    </row>
    <row r="3197" spans="1:8" x14ac:dyDescent="0.25">
      <c r="A3197" s="113">
        <v>45195</v>
      </c>
      <c r="B3197" s="21" t="s">
        <v>10571</v>
      </c>
      <c r="C3197" s="13" t="s">
        <v>7467</v>
      </c>
      <c r="D3197" s="766"/>
      <c r="E3197" s="783"/>
      <c r="F3197" s="785">
        <v>586928</v>
      </c>
      <c r="G3197" s="784">
        <f t="shared" si="64"/>
        <v>-586928</v>
      </c>
      <c r="H3197" s="1147" t="s">
        <v>11213</v>
      </c>
    </row>
    <row r="3198" spans="1:8" x14ac:dyDescent="0.25">
      <c r="A3198" s="113">
        <v>45195</v>
      </c>
      <c r="B3198" s="21" t="s">
        <v>9661</v>
      </c>
      <c r="C3198" s="13" t="s">
        <v>7467</v>
      </c>
      <c r="D3198" s="766"/>
      <c r="E3198" s="783"/>
      <c r="F3198" s="142">
        <v>130436</v>
      </c>
      <c r="G3198" s="784">
        <f t="shared" si="64"/>
        <v>-130436</v>
      </c>
      <c r="H3198" s="1148"/>
    </row>
    <row r="3199" spans="1:8" ht="16.5" thickBot="1" x14ac:dyDescent="0.3">
      <c r="A3199" s="113">
        <v>45195</v>
      </c>
      <c r="B3199" s="21" t="s">
        <v>10296</v>
      </c>
      <c r="C3199" s="13" t="s">
        <v>7467</v>
      </c>
      <c r="D3199" s="766"/>
      <c r="E3199" s="783"/>
      <c r="F3199" s="786">
        <v>82636</v>
      </c>
      <c r="G3199" s="784">
        <f t="shared" si="64"/>
        <v>-82636</v>
      </c>
      <c r="H3199" s="1149"/>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7" t="s">
        <v>11172</v>
      </c>
    </row>
    <row r="3203" spans="1:8" x14ac:dyDescent="0.25">
      <c r="A3203" s="113">
        <v>45195</v>
      </c>
      <c r="B3203" s="21" t="s">
        <v>10151</v>
      </c>
      <c r="C3203" s="13" t="s">
        <v>7467</v>
      </c>
      <c r="D3203" s="766"/>
      <c r="E3203" s="783"/>
      <c r="F3203" s="152">
        <v>228360</v>
      </c>
      <c r="G3203" s="784">
        <f t="shared" si="64"/>
        <v>-228360</v>
      </c>
      <c r="H3203" s="1172"/>
    </row>
    <row r="3204" spans="1:8" x14ac:dyDescent="0.25">
      <c r="A3204" s="113">
        <v>45195</v>
      </c>
      <c r="B3204" s="21" t="s">
        <v>9986</v>
      </c>
      <c r="C3204" s="13" t="s">
        <v>7467</v>
      </c>
      <c r="D3204" s="766"/>
      <c r="E3204" s="783"/>
      <c r="F3204" s="152">
        <v>35755</v>
      </c>
      <c r="G3204" s="784">
        <f t="shared" si="64"/>
        <v>-35755</v>
      </c>
      <c r="H3204" s="1172"/>
    </row>
    <row r="3205" spans="1:8" ht="16.5" thickBot="1" x14ac:dyDescent="0.3">
      <c r="A3205" s="113">
        <v>45195</v>
      </c>
      <c r="B3205" s="21" t="s">
        <v>11075</v>
      </c>
      <c r="C3205" s="13" t="s">
        <v>7467</v>
      </c>
      <c r="D3205" s="766"/>
      <c r="E3205" s="783"/>
      <c r="F3205" s="296">
        <f>500000-F3204-F3203-F3202</f>
        <v>203425</v>
      </c>
      <c r="G3205" s="784">
        <f t="shared" si="64"/>
        <v>-203425</v>
      </c>
      <c r="H3205" s="1168"/>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7" t="s">
        <v>11172</v>
      </c>
    </row>
    <row r="3219" spans="1:8" x14ac:dyDescent="0.25">
      <c r="A3219" s="113">
        <v>45202</v>
      </c>
      <c r="B3219" s="21" t="s">
        <v>8868</v>
      </c>
      <c r="C3219" s="13" t="s">
        <v>168</v>
      </c>
      <c r="D3219" s="766"/>
      <c r="E3219" s="783"/>
      <c r="F3219" s="152">
        <v>227720</v>
      </c>
      <c r="G3219" s="784">
        <f t="shared" si="64"/>
        <v>-227720</v>
      </c>
      <c r="H3219" s="1172"/>
    </row>
    <row r="3220" spans="1:8" x14ac:dyDescent="0.25">
      <c r="A3220" s="113">
        <v>45202</v>
      </c>
      <c r="B3220" s="21" t="s">
        <v>9507</v>
      </c>
      <c r="C3220" s="13" t="s">
        <v>168</v>
      </c>
      <c r="D3220" s="766"/>
      <c r="E3220" s="783"/>
      <c r="F3220" s="152">
        <v>9820</v>
      </c>
      <c r="G3220" s="784">
        <f t="shared" si="64"/>
        <v>-9820</v>
      </c>
      <c r="H3220" s="1172"/>
    </row>
    <row r="3221" spans="1:8" ht="16.5" thickBot="1" x14ac:dyDescent="0.3">
      <c r="A3221" s="113">
        <v>45202</v>
      </c>
      <c r="B3221" s="21" t="s">
        <v>10296</v>
      </c>
      <c r="C3221" s="13" t="s">
        <v>168</v>
      </c>
      <c r="D3221" s="766"/>
      <c r="E3221" s="783"/>
      <c r="F3221" s="296">
        <v>179260</v>
      </c>
      <c r="G3221" s="784">
        <f t="shared" si="64"/>
        <v>-179260</v>
      </c>
      <c r="H3221" s="1168"/>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7" t="s">
        <v>11395</v>
      </c>
    </row>
    <row r="3274" spans="1:8" x14ac:dyDescent="0.25">
      <c r="A3274" s="113">
        <v>45216</v>
      </c>
      <c r="B3274" s="21" t="s">
        <v>9356</v>
      </c>
      <c r="C3274" s="13" t="s">
        <v>8394</v>
      </c>
      <c r="D3274" s="766"/>
      <c r="E3274" s="22"/>
      <c r="F3274" s="19">
        <v>3763</v>
      </c>
      <c r="G3274" s="14">
        <f t="shared" ref="G3274:G3370" si="65">E3274-F3274</f>
        <v>-3763</v>
      </c>
      <c r="H3274" s="1172"/>
    </row>
    <row r="3275" spans="1:8" x14ac:dyDescent="0.25">
      <c r="A3275" s="113">
        <v>45216</v>
      </c>
      <c r="B3275" s="21" t="s">
        <v>10379</v>
      </c>
      <c r="C3275" s="13" t="s">
        <v>8394</v>
      </c>
      <c r="D3275" s="766"/>
      <c r="E3275" s="22"/>
      <c r="F3275" s="19">
        <v>17368</v>
      </c>
      <c r="G3275" s="14">
        <f t="shared" si="65"/>
        <v>-17368</v>
      </c>
      <c r="H3275" s="1172"/>
    </row>
    <row r="3276" spans="1:8" x14ac:dyDescent="0.25">
      <c r="A3276" s="113">
        <v>45216</v>
      </c>
      <c r="B3276" s="21" t="s">
        <v>11075</v>
      </c>
      <c r="C3276" s="13" t="s">
        <v>8394</v>
      </c>
      <c r="D3276" s="766"/>
      <c r="E3276" s="22"/>
      <c r="F3276" s="19">
        <v>194858</v>
      </c>
      <c r="G3276" s="14">
        <f t="shared" si="65"/>
        <v>-194858</v>
      </c>
      <c r="H3276" s="1172"/>
    </row>
    <row r="3277" spans="1:8" x14ac:dyDescent="0.25">
      <c r="A3277" s="113">
        <v>45216</v>
      </c>
      <c r="B3277" s="21" t="s">
        <v>10232</v>
      </c>
      <c r="C3277" s="13" t="s">
        <v>8394</v>
      </c>
      <c r="D3277" s="766"/>
      <c r="E3277" s="22"/>
      <c r="F3277" s="19">
        <v>650000</v>
      </c>
      <c r="G3277" s="14">
        <f t="shared" si="65"/>
        <v>-650000</v>
      </c>
      <c r="H3277" s="1172"/>
    </row>
    <row r="3278" spans="1:8" x14ac:dyDescent="0.25">
      <c r="A3278" s="113">
        <v>45216</v>
      </c>
      <c r="B3278" s="21" t="s">
        <v>10909</v>
      </c>
      <c r="C3278" s="13" t="s">
        <v>8394</v>
      </c>
      <c r="D3278" s="766"/>
      <c r="E3278" s="22"/>
      <c r="F3278" s="19">
        <v>308871</v>
      </c>
      <c r="G3278" s="14">
        <f t="shared" si="65"/>
        <v>-308871</v>
      </c>
      <c r="H3278" s="1172"/>
    </row>
    <row r="3279" spans="1:8" x14ac:dyDescent="0.25">
      <c r="A3279" s="113">
        <v>45216</v>
      </c>
      <c r="B3279" s="21" t="s">
        <v>10576</v>
      </c>
      <c r="C3279" s="13" t="s">
        <v>8394</v>
      </c>
      <c r="D3279" s="766"/>
      <c r="E3279" s="22"/>
      <c r="F3279" s="19">
        <v>250000</v>
      </c>
      <c r="G3279" s="14">
        <f t="shared" si="65"/>
        <v>-250000</v>
      </c>
      <c r="H3279" s="1168"/>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188" t="s">
        <v>11447</v>
      </c>
      <c r="E3291" s="22">
        <v>20103</v>
      </c>
      <c r="F3291" s="19"/>
      <c r="G3291" s="14">
        <f t="shared" si="65"/>
        <v>20103</v>
      </c>
      <c r="H3291" s="13"/>
    </row>
    <row r="3292" spans="1:8" x14ac:dyDescent="0.25">
      <c r="A3292" s="113">
        <v>45220</v>
      </c>
      <c r="B3292" s="21" t="s">
        <v>11199</v>
      </c>
      <c r="C3292" s="13" t="s">
        <v>8394</v>
      </c>
      <c r="D3292" s="1188"/>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47" t="s">
        <v>11578</v>
      </c>
    </row>
    <row r="3329" spans="1:8" ht="16.5" thickBot="1" x14ac:dyDescent="0.3">
      <c r="A3329" s="113">
        <v>45233</v>
      </c>
      <c r="B3329" s="21" t="s">
        <v>11075</v>
      </c>
      <c r="C3329" s="13" t="s">
        <v>7467</v>
      </c>
      <c r="D3329" s="766"/>
      <c r="E3329" s="783"/>
      <c r="F3329" s="786">
        <v>173681</v>
      </c>
      <c r="G3329" s="784">
        <f t="shared" si="65"/>
        <v>-173681</v>
      </c>
      <c r="H3329" s="1149"/>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47" t="s">
        <v>12284</v>
      </c>
    </row>
    <row r="3394" spans="1:8" x14ac:dyDescent="0.25">
      <c r="A3394" s="113">
        <v>45248</v>
      </c>
      <c r="B3394" s="21" t="s">
        <v>11617</v>
      </c>
      <c r="C3394" s="13" t="s">
        <v>168</v>
      </c>
      <c r="D3394" s="766"/>
      <c r="E3394" s="22"/>
      <c r="F3394" s="110">
        <v>250000</v>
      </c>
      <c r="G3394" s="14">
        <f t="shared" si="67"/>
        <v>-250000</v>
      </c>
      <c r="H3394" s="1149"/>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50" t="s">
        <v>12067</v>
      </c>
    </row>
    <row r="3484" spans="1:8" x14ac:dyDescent="0.25">
      <c r="A3484" s="113">
        <v>45286</v>
      </c>
      <c r="B3484" s="21" t="s">
        <v>10151</v>
      </c>
      <c r="C3484" s="13" t="s">
        <v>166</v>
      </c>
      <c r="D3484" s="766"/>
      <c r="E3484" s="783"/>
      <c r="F3484" s="142">
        <v>21340</v>
      </c>
      <c r="G3484" s="784">
        <f t="shared" si="68"/>
        <v>-21340</v>
      </c>
      <c r="H3484" s="1150"/>
    </row>
    <row r="3485" spans="1:8" x14ac:dyDescent="0.25">
      <c r="A3485" s="113">
        <v>45286</v>
      </c>
      <c r="B3485" s="21" t="s">
        <v>10471</v>
      </c>
      <c r="C3485" s="13" t="s">
        <v>166</v>
      </c>
      <c r="D3485" s="766"/>
      <c r="E3485" s="783"/>
      <c r="F3485" s="142">
        <v>140985</v>
      </c>
      <c r="G3485" s="784">
        <f t="shared" si="68"/>
        <v>-140985</v>
      </c>
      <c r="H3485" s="1150"/>
    </row>
    <row r="3486" spans="1:8" x14ac:dyDescent="0.25">
      <c r="A3486" s="113">
        <v>45286</v>
      </c>
      <c r="B3486" s="21" t="s">
        <v>10232</v>
      </c>
      <c r="C3486" s="13" t="s">
        <v>166</v>
      </c>
      <c r="D3486" s="766"/>
      <c r="E3486" s="783"/>
      <c r="F3486" s="142">
        <v>15980</v>
      </c>
      <c r="G3486" s="784">
        <f t="shared" si="68"/>
        <v>-15980</v>
      </c>
      <c r="H3486" s="1150"/>
    </row>
    <row r="3487" spans="1:8" x14ac:dyDescent="0.25">
      <c r="A3487" s="113">
        <v>45286</v>
      </c>
      <c r="B3487" s="21" t="s">
        <v>10571</v>
      </c>
      <c r="C3487" s="13" t="s">
        <v>166</v>
      </c>
      <c r="D3487" s="766"/>
      <c r="E3487" s="783"/>
      <c r="F3487" s="142">
        <v>45000</v>
      </c>
      <c r="G3487" s="784">
        <f t="shared" si="68"/>
        <v>-45000</v>
      </c>
      <c r="H3487" s="1150"/>
    </row>
    <row r="3488" spans="1:8" x14ac:dyDescent="0.25">
      <c r="A3488" s="113">
        <v>45286</v>
      </c>
      <c r="B3488" s="21" t="s">
        <v>10379</v>
      </c>
      <c r="C3488" s="13" t="s">
        <v>166</v>
      </c>
      <c r="D3488" s="766"/>
      <c r="E3488" s="783"/>
      <c r="F3488" s="142">
        <v>114255</v>
      </c>
      <c r="G3488" s="784">
        <f t="shared" si="68"/>
        <v>-114255</v>
      </c>
      <c r="H3488" s="1150"/>
    </row>
    <row r="3489" spans="1:8" x14ac:dyDescent="0.25">
      <c r="A3489" s="113">
        <v>45286</v>
      </c>
      <c r="B3489" s="21" t="s">
        <v>10909</v>
      </c>
      <c r="C3489" s="13" t="s">
        <v>166</v>
      </c>
      <c r="D3489" s="766"/>
      <c r="E3489" s="783"/>
      <c r="F3489" s="142">
        <v>83530</v>
      </c>
      <c r="G3489" s="784">
        <f t="shared" si="68"/>
        <v>-83530</v>
      </c>
      <c r="H3489" s="1150"/>
    </row>
    <row r="3490" spans="1:8" x14ac:dyDescent="0.25">
      <c r="A3490" s="113">
        <v>45286</v>
      </c>
      <c r="B3490" s="21" t="s">
        <v>11007</v>
      </c>
      <c r="C3490" s="13" t="s">
        <v>166</v>
      </c>
      <c r="D3490" s="766"/>
      <c r="E3490" s="783"/>
      <c r="F3490" s="142">
        <v>65500</v>
      </c>
      <c r="G3490" s="784">
        <f t="shared" si="68"/>
        <v>-65500</v>
      </c>
      <c r="H3490" s="1150"/>
    </row>
    <row r="3491" spans="1:8" x14ac:dyDescent="0.25">
      <c r="A3491" s="113">
        <v>45286</v>
      </c>
      <c r="B3491" s="21" t="s">
        <v>11446</v>
      </c>
      <c r="C3491" s="13" t="s">
        <v>166</v>
      </c>
      <c r="D3491" s="766"/>
      <c r="E3491" s="783"/>
      <c r="F3491" s="142">
        <v>250855</v>
      </c>
      <c r="G3491" s="784">
        <f t="shared" si="68"/>
        <v>-250855</v>
      </c>
      <c r="H3491" s="1150"/>
    </row>
    <row r="3492" spans="1:8" x14ac:dyDescent="0.25">
      <c r="A3492" s="113">
        <v>45286</v>
      </c>
      <c r="B3492" s="21" t="s">
        <v>11617</v>
      </c>
      <c r="C3492" s="13" t="s">
        <v>166</v>
      </c>
      <c r="D3492" s="766"/>
      <c r="E3492" s="783"/>
      <c r="F3492" s="142">
        <v>41135</v>
      </c>
      <c r="G3492" s="784">
        <f t="shared" si="68"/>
        <v>-41135</v>
      </c>
      <c r="H3492" s="1150"/>
    </row>
    <row r="3493" spans="1:8" ht="16.5" thickBot="1" x14ac:dyDescent="0.3">
      <c r="A3493" s="113">
        <v>45286</v>
      </c>
      <c r="B3493" s="30"/>
      <c r="C3493" s="13" t="s">
        <v>166</v>
      </c>
      <c r="D3493" s="766"/>
      <c r="E3493" s="783"/>
      <c r="F3493" s="786">
        <v>205140</v>
      </c>
      <c r="G3493" s="784">
        <f t="shared" si="68"/>
        <v>-205140</v>
      </c>
      <c r="H3493" s="1151"/>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73" t="s">
        <v>12003</v>
      </c>
    </row>
    <row r="3511" spans="1:8" x14ac:dyDescent="0.25">
      <c r="A3511" s="113">
        <v>45294</v>
      </c>
      <c r="B3511" s="21" t="s">
        <v>10379</v>
      </c>
      <c r="C3511" s="13" t="s">
        <v>5681</v>
      </c>
      <c r="D3511" s="766"/>
      <c r="E3511" s="22"/>
      <c r="F3511" s="19">
        <v>190000</v>
      </c>
      <c r="G3511" s="14">
        <f t="shared" si="68"/>
        <v>-190000</v>
      </c>
      <c r="H3511" s="1174"/>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7" t="s">
        <v>12138</v>
      </c>
    </row>
    <row r="3518" spans="1:8" x14ac:dyDescent="0.25">
      <c r="A3518" s="113">
        <v>45295</v>
      </c>
      <c r="B3518" s="21" t="s">
        <v>11446</v>
      </c>
      <c r="C3518" s="13" t="s">
        <v>8394</v>
      </c>
      <c r="D3518" s="766"/>
      <c r="E3518" s="22"/>
      <c r="F3518" s="19">
        <v>250000</v>
      </c>
      <c r="G3518" s="14">
        <f t="shared" si="68"/>
        <v>-250000</v>
      </c>
      <c r="H3518" s="1148"/>
    </row>
    <row r="3519" spans="1:8" x14ac:dyDescent="0.25">
      <c r="A3519" s="113">
        <v>45295</v>
      </c>
      <c r="B3519" s="21" t="s">
        <v>11617</v>
      </c>
      <c r="C3519" s="13" t="s">
        <v>8394</v>
      </c>
      <c r="D3519" s="766"/>
      <c r="E3519" s="22"/>
      <c r="F3519" s="19">
        <v>500000</v>
      </c>
      <c r="G3519" s="14">
        <f t="shared" si="68"/>
        <v>-500000</v>
      </c>
      <c r="H3519" s="1149"/>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67" t="s">
        <v>12311</v>
      </c>
    </row>
    <row r="3528" spans="1:8" x14ac:dyDescent="0.25">
      <c r="A3528" s="113">
        <v>45300</v>
      </c>
      <c r="B3528" s="21" t="s">
        <v>10232</v>
      </c>
      <c r="C3528" s="13" t="s">
        <v>8394</v>
      </c>
      <c r="D3528" s="766"/>
      <c r="E3528" s="22"/>
      <c r="F3528" s="19">
        <v>10470</v>
      </c>
      <c r="G3528" s="14">
        <f t="shared" si="69"/>
        <v>-10470</v>
      </c>
      <c r="H3528" s="1172"/>
    </row>
    <row r="3529" spans="1:8" x14ac:dyDescent="0.25">
      <c r="A3529" s="113">
        <v>45300</v>
      </c>
      <c r="B3529" s="21" t="s">
        <v>10576</v>
      </c>
      <c r="C3529" s="13" t="s">
        <v>8394</v>
      </c>
      <c r="D3529" s="766"/>
      <c r="E3529" s="22"/>
      <c r="F3529" s="19">
        <v>1347</v>
      </c>
      <c r="G3529" s="14">
        <f t="shared" si="69"/>
        <v>-1347</v>
      </c>
      <c r="H3529" s="1172"/>
    </row>
    <row r="3530" spans="1:8" x14ac:dyDescent="0.25">
      <c r="A3530" s="113">
        <v>45300</v>
      </c>
      <c r="B3530" s="21" t="s">
        <v>10909</v>
      </c>
      <c r="C3530" s="13" t="s">
        <v>8394</v>
      </c>
      <c r="D3530" s="766"/>
      <c r="E3530" s="22"/>
      <c r="F3530" s="19">
        <v>187415</v>
      </c>
      <c r="G3530" s="14">
        <f t="shared" si="69"/>
        <v>-187415</v>
      </c>
      <c r="H3530" s="1172"/>
    </row>
    <row r="3531" spans="1:8" x14ac:dyDescent="0.25">
      <c r="A3531" s="113">
        <v>45300</v>
      </c>
      <c r="B3531" s="21" t="s">
        <v>11007</v>
      </c>
      <c r="C3531" s="13" t="s">
        <v>8394</v>
      </c>
      <c r="D3531" s="766"/>
      <c r="E3531" s="22"/>
      <c r="F3531" s="19">
        <v>4390</v>
      </c>
      <c r="G3531" s="14">
        <f t="shared" si="69"/>
        <v>-4390</v>
      </c>
      <c r="H3531" s="1172"/>
    </row>
    <row r="3532" spans="1:8" x14ac:dyDescent="0.25">
      <c r="A3532" s="113">
        <v>45300</v>
      </c>
      <c r="B3532" s="21" t="s">
        <v>11075</v>
      </c>
      <c r="C3532" s="13" t="s">
        <v>8394</v>
      </c>
      <c r="D3532" s="766"/>
      <c r="E3532" s="22"/>
      <c r="F3532" s="19">
        <v>75122</v>
      </c>
      <c r="G3532" s="14">
        <f t="shared" si="69"/>
        <v>-75122</v>
      </c>
      <c r="H3532" s="1172"/>
    </row>
    <row r="3533" spans="1:8" x14ac:dyDescent="0.25">
      <c r="A3533" s="113">
        <v>45300</v>
      </c>
      <c r="B3533" s="21" t="s">
        <v>11446</v>
      </c>
      <c r="C3533" s="13" t="s">
        <v>8394</v>
      </c>
      <c r="D3533" s="766"/>
      <c r="E3533" s="22"/>
      <c r="F3533" s="19">
        <v>130168</v>
      </c>
      <c r="G3533" s="14">
        <f t="shared" si="69"/>
        <v>-130168</v>
      </c>
      <c r="H3533" s="1172"/>
    </row>
    <row r="3534" spans="1:8" x14ac:dyDescent="0.25">
      <c r="A3534" s="113">
        <v>45300</v>
      </c>
      <c r="B3534" s="21" t="s">
        <v>11271</v>
      </c>
      <c r="C3534" s="13" t="s">
        <v>8394</v>
      </c>
      <c r="D3534" s="766"/>
      <c r="E3534" s="22"/>
      <c r="F3534" s="19">
        <v>13416</v>
      </c>
      <c r="G3534" s="14">
        <f t="shared" si="69"/>
        <v>-13416</v>
      </c>
      <c r="H3534" s="1172"/>
    </row>
    <row r="3535" spans="1:8" x14ac:dyDescent="0.25">
      <c r="A3535" s="113">
        <v>45300</v>
      </c>
      <c r="B3535" s="21" t="s">
        <v>11716</v>
      </c>
      <c r="C3535" s="13" t="s">
        <v>8394</v>
      </c>
      <c r="D3535" s="766"/>
      <c r="E3535" s="22"/>
      <c r="F3535" s="19">
        <v>56173</v>
      </c>
      <c r="G3535" s="14">
        <f t="shared" si="69"/>
        <v>-56173</v>
      </c>
      <c r="H3535" s="1172"/>
    </row>
    <row r="3536" spans="1:8" x14ac:dyDescent="0.25">
      <c r="A3536" s="113">
        <v>45300</v>
      </c>
      <c r="B3536" s="21" t="s">
        <v>11511</v>
      </c>
      <c r="C3536" s="13" t="s">
        <v>8394</v>
      </c>
      <c r="D3536" s="766"/>
      <c r="E3536" s="22"/>
      <c r="F3536" s="19">
        <v>73043</v>
      </c>
      <c r="G3536" s="14">
        <f t="shared" si="69"/>
        <v>-73043</v>
      </c>
      <c r="H3536" s="1172"/>
    </row>
    <row r="3537" spans="1:8" x14ac:dyDescent="0.25">
      <c r="A3537" s="113">
        <v>45300</v>
      </c>
      <c r="B3537" s="21" t="s">
        <v>11617</v>
      </c>
      <c r="C3537" s="13" t="s">
        <v>8394</v>
      </c>
      <c r="D3537" s="766"/>
      <c r="E3537" s="22"/>
      <c r="F3537" s="19">
        <v>322676</v>
      </c>
      <c r="G3537" s="14">
        <f t="shared" si="69"/>
        <v>-322676</v>
      </c>
      <c r="H3537" s="1168"/>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47" t="s">
        <v>12283</v>
      </c>
    </row>
    <row r="3544" spans="1:8" x14ac:dyDescent="0.25">
      <c r="A3544" s="113">
        <v>45303</v>
      </c>
      <c r="B3544" s="21" t="s">
        <v>10296</v>
      </c>
      <c r="C3544" s="13" t="s">
        <v>168</v>
      </c>
      <c r="D3544" s="766"/>
      <c r="E3544" s="783"/>
      <c r="F3544" s="142">
        <v>8740</v>
      </c>
      <c r="G3544" s="784">
        <f t="shared" si="69"/>
        <v>-8740</v>
      </c>
      <c r="H3544" s="1148"/>
    </row>
    <row r="3545" spans="1:8" x14ac:dyDescent="0.25">
      <c r="A3545" s="113">
        <v>45303</v>
      </c>
      <c r="B3545" s="21" t="s">
        <v>10571</v>
      </c>
      <c r="C3545" s="13" t="s">
        <v>168</v>
      </c>
      <c r="D3545" s="766"/>
      <c r="E3545" s="783"/>
      <c r="F3545" s="142">
        <v>91300</v>
      </c>
      <c r="G3545" s="784">
        <f t="shared" si="69"/>
        <v>-91300</v>
      </c>
      <c r="H3545" s="1148"/>
    </row>
    <row r="3546" spans="1:8" x14ac:dyDescent="0.25">
      <c r="A3546" s="113">
        <v>45303</v>
      </c>
      <c r="B3546" s="21" t="s">
        <v>7807</v>
      </c>
      <c r="C3546" s="13" t="s">
        <v>168</v>
      </c>
      <c r="D3546" s="766"/>
      <c r="E3546" s="783"/>
      <c r="F3546" s="142">
        <v>10980</v>
      </c>
      <c r="G3546" s="784">
        <f t="shared" si="69"/>
        <v>-10980</v>
      </c>
      <c r="H3546" s="1148"/>
    </row>
    <row r="3547" spans="1:8" x14ac:dyDescent="0.25">
      <c r="A3547" s="113">
        <v>45303</v>
      </c>
      <c r="B3547" s="21" t="s">
        <v>10379</v>
      </c>
      <c r="C3547" s="13" t="s">
        <v>168</v>
      </c>
      <c r="D3547" s="766"/>
      <c r="E3547" s="783"/>
      <c r="F3547" s="142">
        <v>206520</v>
      </c>
      <c r="G3547" s="784">
        <f t="shared" si="69"/>
        <v>-206520</v>
      </c>
      <c r="H3547" s="1148"/>
    </row>
    <row r="3548" spans="1:8" x14ac:dyDescent="0.25">
      <c r="A3548" s="113">
        <v>45303</v>
      </c>
      <c r="B3548" s="21" t="s">
        <v>11271</v>
      </c>
      <c r="C3548" s="13" t="s">
        <v>168</v>
      </c>
      <c r="D3548" s="766"/>
      <c r="E3548" s="783"/>
      <c r="F3548" s="142">
        <v>19640</v>
      </c>
      <c r="G3548" s="784">
        <f t="shared" si="69"/>
        <v>-19640</v>
      </c>
      <c r="H3548" s="1148"/>
    </row>
    <row r="3549" spans="1:8" x14ac:dyDescent="0.25">
      <c r="A3549" s="113">
        <v>45303</v>
      </c>
      <c r="B3549" s="21" t="s">
        <v>10471</v>
      </c>
      <c r="C3549" s="13" t="s">
        <v>168</v>
      </c>
      <c r="D3549" s="766"/>
      <c r="E3549" s="783"/>
      <c r="F3549" s="142">
        <v>259118</v>
      </c>
      <c r="G3549" s="784">
        <f t="shared" si="69"/>
        <v>-259118</v>
      </c>
      <c r="H3549" s="1148"/>
    </row>
    <row r="3550" spans="1:8" ht="16.5" thickBot="1" x14ac:dyDescent="0.3">
      <c r="A3550" s="113">
        <v>45303</v>
      </c>
      <c r="B3550" s="21" t="s">
        <v>10576</v>
      </c>
      <c r="C3550" s="13" t="s">
        <v>168</v>
      </c>
      <c r="D3550" s="766"/>
      <c r="E3550" s="783"/>
      <c r="F3550" s="786">
        <v>5165</v>
      </c>
      <c r="G3550" s="784">
        <f t="shared" si="69"/>
        <v>-5165</v>
      </c>
      <c r="H3550" s="1149"/>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94" si="70">E3601-F3601</f>
        <v>-700000</v>
      </c>
      <c r="H3601" s="13" t="s">
        <v>12362</v>
      </c>
    </row>
    <row r="3602" spans="1:8"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12685</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8559</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8559</v>
      </c>
      <c r="C3632" s="13" t="s">
        <v>8394</v>
      </c>
      <c r="D3632" s="766" t="s">
        <v>12602</v>
      </c>
      <c r="E3632" s="22">
        <v>38932</v>
      </c>
      <c r="F3632" s="19"/>
      <c r="G3632" s="14">
        <f t="shared" si="70"/>
        <v>38932</v>
      </c>
      <c r="H3632" s="13"/>
    </row>
    <row r="3633" spans="1:8" x14ac:dyDescent="0.25">
      <c r="A3633" s="113">
        <v>45337</v>
      </c>
      <c r="B3633" s="21" t="s">
        <v>11897</v>
      </c>
      <c r="C3633" s="13" t="s">
        <v>8394</v>
      </c>
      <c r="D3633" s="766" t="s">
        <v>12603</v>
      </c>
      <c r="E3633" s="22">
        <v>23692</v>
      </c>
      <c r="F3633" s="19"/>
      <c r="G3633" s="14">
        <f t="shared" si="70"/>
        <v>23692</v>
      </c>
      <c r="H3633" s="13"/>
    </row>
    <row r="3634" spans="1:8" x14ac:dyDescent="0.25">
      <c r="A3634" s="113">
        <v>45337</v>
      </c>
      <c r="B3634" s="21" t="s">
        <v>11511</v>
      </c>
      <c r="C3634" s="13" t="s">
        <v>8394</v>
      </c>
      <c r="D3634" s="766" t="s">
        <v>12604</v>
      </c>
      <c r="E3634" s="22">
        <v>59502</v>
      </c>
      <c r="F3634" s="19"/>
      <c r="G3634" s="14">
        <f t="shared" si="70"/>
        <v>59502</v>
      </c>
      <c r="H3634" s="13"/>
    </row>
    <row r="3635" spans="1:8" x14ac:dyDescent="0.25">
      <c r="A3635" s="113">
        <v>45337</v>
      </c>
      <c r="B3635" s="21" t="s">
        <v>12207</v>
      </c>
      <c r="C3635" s="13" t="s">
        <v>8394</v>
      </c>
      <c r="D3635" s="766" t="s">
        <v>12605</v>
      </c>
      <c r="E3635" s="22">
        <v>136842</v>
      </c>
      <c r="F3635" s="19"/>
      <c r="G3635" s="14">
        <f t="shared" si="70"/>
        <v>136842</v>
      </c>
      <c r="H3635" s="13"/>
    </row>
    <row r="3636" spans="1:8" x14ac:dyDescent="0.25">
      <c r="A3636" s="113">
        <v>45337</v>
      </c>
      <c r="B3636" s="21" t="s">
        <v>12247</v>
      </c>
      <c r="C3636" s="13" t="s">
        <v>12388</v>
      </c>
      <c r="D3636" s="766" t="s">
        <v>12611</v>
      </c>
      <c r="E3636" s="22">
        <v>27500</v>
      </c>
      <c r="F3636" s="19"/>
      <c r="G3636" s="14">
        <f t="shared" si="70"/>
        <v>27500</v>
      </c>
      <c r="H3636" s="13"/>
    </row>
    <row r="3637" spans="1:8" x14ac:dyDescent="0.25">
      <c r="A3637" s="113">
        <v>45338</v>
      </c>
      <c r="B3637" s="21" t="s">
        <v>11897</v>
      </c>
      <c r="C3637" s="13" t="s">
        <v>7467</v>
      </c>
      <c r="D3637" s="766" t="s">
        <v>12608</v>
      </c>
      <c r="E3637" s="22">
        <v>549168</v>
      </c>
      <c r="F3637" s="19"/>
      <c r="G3637" s="14">
        <f t="shared" si="70"/>
        <v>549168</v>
      </c>
      <c r="H3637" s="13"/>
    </row>
    <row r="3638" spans="1:8" x14ac:dyDescent="0.25">
      <c r="A3638" s="113">
        <v>45338</v>
      </c>
      <c r="B3638" s="21" t="s">
        <v>11897</v>
      </c>
      <c r="C3638" s="13" t="s">
        <v>7467</v>
      </c>
      <c r="D3638" s="766" t="s">
        <v>12609</v>
      </c>
      <c r="E3638" s="22">
        <v>336414</v>
      </c>
      <c r="F3638" s="19"/>
      <c r="G3638" s="14">
        <f t="shared" si="70"/>
        <v>336414</v>
      </c>
      <c r="H3638" s="13"/>
    </row>
    <row r="3639" spans="1:8" x14ac:dyDescent="0.25">
      <c r="A3639" s="113">
        <v>45339</v>
      </c>
      <c r="B3639" s="21" t="s">
        <v>11897</v>
      </c>
      <c r="C3639" s="13" t="s">
        <v>8394</v>
      </c>
      <c r="D3639" s="766" t="s">
        <v>12606</v>
      </c>
      <c r="E3639" s="22">
        <v>23879</v>
      </c>
      <c r="F3639" s="19"/>
      <c r="G3639" s="14">
        <f t="shared" si="70"/>
        <v>23879</v>
      </c>
      <c r="H3639" s="13"/>
    </row>
    <row r="3640" spans="1:8" x14ac:dyDescent="0.25">
      <c r="A3640" s="113">
        <v>45339</v>
      </c>
      <c r="B3640" s="21" t="s">
        <v>11716</v>
      </c>
      <c r="C3640" s="13" t="s">
        <v>8394</v>
      </c>
      <c r="D3640" s="766" t="s">
        <v>12607</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12544</v>
      </c>
    </row>
    <row r="3643" spans="1:8" x14ac:dyDescent="0.25">
      <c r="A3643" s="113">
        <v>45339</v>
      </c>
      <c r="B3643" s="21" t="s">
        <v>9832</v>
      </c>
      <c r="C3643" s="13" t="s">
        <v>12388</v>
      </c>
      <c r="D3643" s="766"/>
      <c r="E3643" s="22"/>
      <c r="F3643" s="19">
        <v>370000</v>
      </c>
      <c r="G3643" s="14">
        <f t="shared" si="70"/>
        <v>-370000</v>
      </c>
      <c r="H3643" s="13" t="s">
        <v>12544</v>
      </c>
    </row>
    <row r="3644" spans="1:8" x14ac:dyDescent="0.25">
      <c r="A3644" s="113">
        <v>45339</v>
      </c>
      <c r="B3644" s="21" t="s">
        <v>9832</v>
      </c>
      <c r="C3644" s="13" t="s">
        <v>12388</v>
      </c>
      <c r="D3644" s="766"/>
      <c r="E3644" s="22"/>
      <c r="F3644" s="19">
        <v>704800</v>
      </c>
      <c r="G3644" s="14">
        <f t="shared" si="70"/>
        <v>-704800</v>
      </c>
      <c r="H3644" s="13" t="s">
        <v>12545</v>
      </c>
    </row>
    <row r="3645" spans="1:8" x14ac:dyDescent="0.25">
      <c r="A3645" s="113">
        <v>45339</v>
      </c>
      <c r="B3645" s="21" t="s">
        <v>9832</v>
      </c>
      <c r="C3645" s="13" t="s">
        <v>180</v>
      </c>
      <c r="D3645" s="766" t="s">
        <v>12684</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12610</v>
      </c>
      <c r="E3647" s="22">
        <v>1554800</v>
      </c>
      <c r="F3647" s="19"/>
      <c r="G3647" s="14">
        <f t="shared" si="70"/>
        <v>1554800</v>
      </c>
      <c r="H3647" s="13"/>
    </row>
    <row r="3648" spans="1:8" x14ac:dyDescent="0.25">
      <c r="A3648" s="113">
        <v>45342</v>
      </c>
      <c r="B3648" s="21" t="s">
        <v>10909</v>
      </c>
      <c r="C3648" s="13" t="s">
        <v>166</v>
      </c>
      <c r="D3648" s="766" t="s">
        <v>12686</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12566</v>
      </c>
    </row>
    <row r="3651" spans="1:8" x14ac:dyDescent="0.25">
      <c r="A3651" s="113">
        <v>45343</v>
      </c>
      <c r="B3651" s="21" t="s">
        <v>12634</v>
      </c>
      <c r="C3651" s="13" t="s">
        <v>7467</v>
      </c>
      <c r="D3651" s="766" t="s">
        <v>12670</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47" t="s">
        <v>12584</v>
      </c>
    </row>
    <row r="3654" spans="1:8" x14ac:dyDescent="0.25">
      <c r="A3654" s="113">
        <v>45346</v>
      </c>
      <c r="B3654" s="21" t="s">
        <v>10909</v>
      </c>
      <c r="C3654" s="13" t="s">
        <v>180</v>
      </c>
      <c r="D3654" s="766"/>
      <c r="E3654" s="783"/>
      <c r="F3654" s="142">
        <v>164280</v>
      </c>
      <c r="G3654" s="784">
        <f t="shared" si="70"/>
        <v>-164280</v>
      </c>
      <c r="H3654" s="1148"/>
    </row>
    <row r="3655" spans="1:8" x14ac:dyDescent="0.25">
      <c r="A3655" s="113">
        <v>45346</v>
      </c>
      <c r="B3655" s="21" t="s">
        <v>11617</v>
      </c>
      <c r="C3655" s="13" t="s">
        <v>180</v>
      </c>
      <c r="D3655" s="766"/>
      <c r="E3655" s="783"/>
      <c r="F3655" s="142">
        <v>145230</v>
      </c>
      <c r="G3655" s="784">
        <f t="shared" si="70"/>
        <v>-145230</v>
      </c>
      <c r="H3655" s="1148"/>
    </row>
    <row r="3656" spans="1:8" ht="16.5" thickBot="1" x14ac:dyDescent="0.3">
      <c r="A3656" s="113">
        <v>45346</v>
      </c>
      <c r="B3656" s="21" t="s">
        <v>11897</v>
      </c>
      <c r="C3656" s="13" t="s">
        <v>180</v>
      </c>
      <c r="D3656" s="766"/>
      <c r="E3656" s="783"/>
      <c r="F3656" s="786">
        <v>176730</v>
      </c>
      <c r="G3656" s="784">
        <f t="shared" si="70"/>
        <v>-176730</v>
      </c>
      <c r="H3656" s="1149"/>
    </row>
    <row r="3657" spans="1:8" x14ac:dyDescent="0.25">
      <c r="A3657" s="113">
        <v>45341</v>
      </c>
      <c r="B3657" s="736"/>
      <c r="C3657" s="13" t="s">
        <v>166</v>
      </c>
      <c r="D3657" s="766"/>
      <c r="E3657" s="22"/>
      <c r="F3657" s="112">
        <v>653892</v>
      </c>
      <c r="G3657" s="14">
        <f t="shared" si="70"/>
        <v>-653892</v>
      </c>
      <c r="H3657" s="13" t="s">
        <v>12576</v>
      </c>
    </row>
    <row r="3658" spans="1:8" x14ac:dyDescent="0.25">
      <c r="A3658" s="113">
        <v>45342</v>
      </c>
      <c r="B3658" s="21" t="s">
        <v>8559</v>
      </c>
      <c r="C3658" s="13" t="s">
        <v>164</v>
      </c>
      <c r="D3658" s="766" t="s">
        <v>12717</v>
      </c>
      <c r="E3658" s="22">
        <v>75279</v>
      </c>
      <c r="F3658" s="112"/>
      <c r="G3658" s="14">
        <f t="shared" si="70"/>
        <v>75279</v>
      </c>
      <c r="H3658" s="13"/>
    </row>
    <row r="3659" spans="1:8" x14ac:dyDescent="0.25">
      <c r="A3659" s="113">
        <v>45346</v>
      </c>
      <c r="B3659" s="63" t="s">
        <v>9832</v>
      </c>
      <c r="C3659" s="13" t="s">
        <v>164</v>
      </c>
      <c r="D3659" s="766" t="s">
        <v>12718</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12666</v>
      </c>
      <c r="E3661" s="22">
        <v>64376</v>
      </c>
      <c r="F3661" s="112"/>
      <c r="G3661" s="14">
        <f t="shared" si="70"/>
        <v>64376</v>
      </c>
      <c r="H3661" s="13"/>
    </row>
    <row r="3662" spans="1:8" x14ac:dyDescent="0.25">
      <c r="A3662" s="113">
        <v>45348</v>
      </c>
      <c r="B3662" s="21" t="s">
        <v>9832</v>
      </c>
      <c r="C3662" s="13" t="s">
        <v>8394</v>
      </c>
      <c r="D3662" s="766" t="s">
        <v>12667</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12590</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12719</v>
      </c>
      <c r="E3665" s="22">
        <v>2660</v>
      </c>
      <c r="F3665" s="19"/>
      <c r="G3665" s="14">
        <f t="shared" si="71"/>
        <v>2660</v>
      </c>
      <c r="H3665" s="13"/>
    </row>
    <row r="3666" spans="1:8" x14ac:dyDescent="0.25">
      <c r="A3666" s="113">
        <v>45348</v>
      </c>
      <c r="B3666" s="21" t="s">
        <v>9832</v>
      </c>
      <c r="C3666" s="13" t="s">
        <v>164</v>
      </c>
      <c r="D3666" s="766" t="s">
        <v>12720</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12597</v>
      </c>
    </row>
    <row r="3668" spans="1:8" x14ac:dyDescent="0.25">
      <c r="A3668" s="113">
        <v>45349</v>
      </c>
      <c r="B3668" s="21" t="s">
        <v>11897</v>
      </c>
      <c r="C3668" s="13" t="s">
        <v>7467</v>
      </c>
      <c r="D3668" s="766"/>
      <c r="E3668" s="22"/>
      <c r="F3668" s="19">
        <v>1000000</v>
      </c>
      <c r="G3668" s="14">
        <f t="shared" si="70"/>
        <v>-1000000</v>
      </c>
      <c r="H3668" s="13" t="s">
        <v>12613</v>
      </c>
    </row>
    <row r="3669" spans="1:8" x14ac:dyDescent="0.25">
      <c r="A3669" s="113">
        <v>45349</v>
      </c>
      <c r="B3669" s="21" t="s">
        <v>11897</v>
      </c>
      <c r="C3669" s="13" t="s">
        <v>7467</v>
      </c>
      <c r="D3669" s="766" t="s">
        <v>12671</v>
      </c>
      <c r="E3669" s="22">
        <v>123660</v>
      </c>
      <c r="F3669" s="19"/>
      <c r="G3669" s="14">
        <f t="shared" si="70"/>
        <v>123660</v>
      </c>
      <c r="H3669" s="13"/>
    </row>
    <row r="3670" spans="1:8" x14ac:dyDescent="0.25">
      <c r="A3670" s="113">
        <v>45349</v>
      </c>
      <c r="B3670" s="21" t="s">
        <v>11897</v>
      </c>
      <c r="C3670" s="13" t="s">
        <v>7467</v>
      </c>
      <c r="D3670" s="766" t="s">
        <v>12672</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12668</v>
      </c>
      <c r="E3672" s="22">
        <v>25644</v>
      </c>
      <c r="F3672" s="19"/>
      <c r="G3672" s="14">
        <f t="shared" si="70"/>
        <v>25644</v>
      </c>
      <c r="H3672" s="13"/>
    </row>
    <row r="3673" spans="1:8" x14ac:dyDescent="0.25">
      <c r="A3673" s="113">
        <v>45351</v>
      </c>
      <c r="B3673" s="21" t="s">
        <v>12207</v>
      </c>
      <c r="C3673" s="13" t="s">
        <v>8394</v>
      </c>
      <c r="D3673" s="766" t="s">
        <v>12669</v>
      </c>
      <c r="E3673" s="22">
        <v>20455</v>
      </c>
      <c r="F3673" s="19"/>
      <c r="G3673" s="14">
        <f t="shared" si="70"/>
        <v>20455</v>
      </c>
      <c r="H3673" s="13"/>
    </row>
    <row r="3674" spans="1:8" x14ac:dyDescent="0.25">
      <c r="A3674" s="113">
        <v>45351</v>
      </c>
      <c r="B3674" s="21" t="s">
        <v>10909</v>
      </c>
      <c r="C3674" s="13" t="s">
        <v>166</v>
      </c>
      <c r="D3674" s="766" t="s">
        <v>12687</v>
      </c>
      <c r="E3674" s="22">
        <v>1460</v>
      </c>
      <c r="F3674" s="19"/>
      <c r="G3674" s="14">
        <f t="shared" si="70"/>
        <v>1460</v>
      </c>
      <c r="H3674" s="13"/>
    </row>
    <row r="3675" spans="1:8" x14ac:dyDescent="0.25">
      <c r="A3675" s="113">
        <v>45355</v>
      </c>
      <c r="B3675" s="21" t="s">
        <v>11897</v>
      </c>
      <c r="C3675" s="13" t="s">
        <v>7467</v>
      </c>
      <c r="D3675" s="766" t="s">
        <v>12673</v>
      </c>
      <c r="E3675" s="22">
        <v>30400</v>
      </c>
      <c r="F3675" s="19"/>
      <c r="G3675" s="14">
        <f t="shared" si="70"/>
        <v>30400</v>
      </c>
      <c r="H3675" s="13"/>
    </row>
    <row r="3676" spans="1:8" x14ac:dyDescent="0.25">
      <c r="A3676" s="113">
        <v>45357</v>
      </c>
      <c r="B3676" s="21" t="s">
        <v>10571</v>
      </c>
      <c r="C3676" s="13" t="s">
        <v>12388</v>
      </c>
      <c r="D3676" s="766" t="s">
        <v>12716</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12688</v>
      </c>
      <c r="E3678" s="22">
        <v>34680</v>
      </c>
      <c r="F3678" s="19"/>
      <c r="G3678" s="14">
        <f t="shared" si="70"/>
        <v>34680</v>
      </c>
      <c r="H3678" s="13"/>
    </row>
    <row r="3679" spans="1:8" x14ac:dyDescent="0.25">
      <c r="A3679" s="113">
        <v>45358</v>
      </c>
      <c r="B3679" s="21" t="s">
        <v>8559</v>
      </c>
      <c r="C3679" s="13" t="s">
        <v>166</v>
      </c>
      <c r="D3679" s="766" t="s">
        <v>12877</v>
      </c>
      <c r="E3679" s="22">
        <v>3390</v>
      </c>
      <c r="F3679" s="19"/>
      <c r="G3679" s="14">
        <f t="shared" si="70"/>
        <v>3390</v>
      </c>
      <c r="H3679" s="13"/>
    </row>
    <row r="3680" spans="1:8" x14ac:dyDescent="0.25">
      <c r="A3680" s="113">
        <v>45362</v>
      </c>
      <c r="B3680" s="21" t="s">
        <v>8559</v>
      </c>
      <c r="C3680" s="13" t="s">
        <v>8394</v>
      </c>
      <c r="D3680" s="766" t="s">
        <v>12777</v>
      </c>
      <c r="E3680" s="22">
        <v>35310</v>
      </c>
      <c r="F3680" s="19"/>
      <c r="G3680" s="14">
        <f t="shared" si="70"/>
        <v>35310</v>
      </c>
      <c r="H3680" s="13"/>
    </row>
    <row r="3681" spans="1:8" x14ac:dyDescent="0.25">
      <c r="A3681" s="113">
        <v>45363</v>
      </c>
      <c r="B3681" s="21" t="s">
        <v>11897</v>
      </c>
      <c r="C3681" s="13" t="s">
        <v>8394</v>
      </c>
      <c r="D3681" s="766" t="s">
        <v>12778</v>
      </c>
      <c r="E3681" s="22">
        <v>27143</v>
      </c>
      <c r="F3681" s="19"/>
      <c r="G3681" s="14">
        <f t="shared" si="70"/>
        <v>27143</v>
      </c>
      <c r="H3681" s="13"/>
    </row>
    <row r="3682" spans="1:8" x14ac:dyDescent="0.25">
      <c r="A3682" s="113">
        <v>45363</v>
      </c>
      <c r="B3682" s="21" t="s">
        <v>12207</v>
      </c>
      <c r="C3682" s="13" t="s">
        <v>8394</v>
      </c>
      <c r="D3682" s="766" t="s">
        <v>12779</v>
      </c>
      <c r="E3682" s="22">
        <v>6740</v>
      </c>
      <c r="F3682" s="19"/>
      <c r="G3682" s="14">
        <f t="shared" si="70"/>
        <v>6740</v>
      </c>
      <c r="H3682" s="13"/>
    </row>
    <row r="3683" spans="1:8" x14ac:dyDescent="0.25">
      <c r="A3683" s="113">
        <v>45367</v>
      </c>
      <c r="B3683" s="21" t="s">
        <v>11897</v>
      </c>
      <c r="C3683" s="13" t="s">
        <v>7467</v>
      </c>
      <c r="D3683" s="766"/>
      <c r="E3683" s="22"/>
      <c r="F3683" s="19">
        <v>2000000</v>
      </c>
      <c r="G3683" s="14">
        <f t="shared" si="70"/>
        <v>-2000000</v>
      </c>
      <c r="H3683" s="13" t="s">
        <v>12765</v>
      </c>
    </row>
    <row r="3684" spans="1:8" x14ac:dyDescent="0.25">
      <c r="A3684" s="113">
        <v>45367</v>
      </c>
      <c r="B3684" s="21" t="s">
        <v>11897</v>
      </c>
      <c r="C3684" s="13" t="s">
        <v>7467</v>
      </c>
      <c r="D3684" s="766" t="s">
        <v>12774</v>
      </c>
      <c r="E3684" s="22">
        <v>30400</v>
      </c>
      <c r="F3684" s="19"/>
      <c r="G3684" s="14">
        <f t="shared" si="70"/>
        <v>30400</v>
      </c>
      <c r="H3684" s="13"/>
    </row>
    <row r="3685" spans="1:8" x14ac:dyDescent="0.25">
      <c r="A3685" s="113">
        <v>45367</v>
      </c>
      <c r="B3685" s="21" t="s">
        <v>11897</v>
      </c>
      <c r="C3685" s="13" t="s">
        <v>7467</v>
      </c>
      <c r="D3685" s="766" t="s">
        <v>12775</v>
      </c>
      <c r="E3685" s="22">
        <v>131702</v>
      </c>
      <c r="F3685" s="19"/>
      <c r="G3685" s="14">
        <f t="shared" si="70"/>
        <v>131702</v>
      </c>
      <c r="H3685" s="13"/>
    </row>
    <row r="3686" spans="1:8" x14ac:dyDescent="0.25">
      <c r="A3686" s="113">
        <v>45367</v>
      </c>
      <c r="B3686" s="21" t="s">
        <v>9832</v>
      </c>
      <c r="C3686" s="13" t="s">
        <v>166</v>
      </c>
      <c r="D3686" s="766" t="s">
        <v>12878</v>
      </c>
      <c r="E3686" s="22">
        <v>60200</v>
      </c>
      <c r="F3686" s="19"/>
      <c r="G3686" s="14">
        <f t="shared" si="70"/>
        <v>60200</v>
      </c>
      <c r="H3686" s="13"/>
    </row>
    <row r="3687" spans="1:8" x14ac:dyDescent="0.25">
      <c r="A3687" s="113">
        <v>45369</v>
      </c>
      <c r="B3687" s="30"/>
      <c r="C3687" s="13" t="s">
        <v>8394</v>
      </c>
      <c r="D3687" s="766"/>
      <c r="E3687" s="22"/>
      <c r="F3687" s="19">
        <v>1000000</v>
      </c>
      <c r="G3687" s="14">
        <f t="shared" si="70"/>
        <v>-1000000</v>
      </c>
      <c r="H3687" s="13" t="s">
        <v>12613</v>
      </c>
    </row>
    <row r="3688" spans="1:8" x14ac:dyDescent="0.25">
      <c r="A3688" s="113">
        <v>45370</v>
      </c>
      <c r="B3688" s="21" t="s">
        <v>11897</v>
      </c>
      <c r="C3688" s="13" t="s">
        <v>7467</v>
      </c>
      <c r="D3688" s="766" t="s">
        <v>11330</v>
      </c>
      <c r="E3688" s="22">
        <v>9000</v>
      </c>
      <c r="F3688" s="19"/>
      <c r="G3688" s="14">
        <f t="shared" si="70"/>
        <v>9000</v>
      </c>
      <c r="H3688" s="13"/>
    </row>
    <row r="3689" spans="1:8" x14ac:dyDescent="0.25">
      <c r="A3689" s="113">
        <v>45371</v>
      </c>
      <c r="B3689" s="21" t="s">
        <v>11897</v>
      </c>
      <c r="C3689" s="13" t="s">
        <v>7467</v>
      </c>
      <c r="D3689" s="766" t="s">
        <v>12776</v>
      </c>
      <c r="E3689" s="22">
        <v>227953</v>
      </c>
      <c r="F3689" s="19"/>
      <c r="G3689" s="14">
        <f t="shared" si="70"/>
        <v>227953</v>
      </c>
      <c r="H3689" s="13"/>
    </row>
    <row r="3690" spans="1:8" x14ac:dyDescent="0.25">
      <c r="A3690" s="113">
        <v>45371</v>
      </c>
      <c r="B3690" s="21" t="s">
        <v>10571</v>
      </c>
      <c r="C3690" s="13" t="s">
        <v>12388</v>
      </c>
      <c r="D3690" s="766" t="s">
        <v>12840</v>
      </c>
      <c r="E3690" s="22">
        <v>11000</v>
      </c>
      <c r="F3690" s="19"/>
      <c r="G3690" s="14">
        <f t="shared" si="70"/>
        <v>11000</v>
      </c>
      <c r="H3690" s="13"/>
    </row>
    <row r="3691" spans="1:8" x14ac:dyDescent="0.25">
      <c r="A3691" s="113">
        <v>45372</v>
      </c>
      <c r="B3691" s="21" t="s">
        <v>12207</v>
      </c>
      <c r="C3691" s="13" t="s">
        <v>180</v>
      </c>
      <c r="D3691" s="766"/>
      <c r="E3691" s="22"/>
      <c r="F3691" s="19">
        <v>712701</v>
      </c>
      <c r="G3691" s="14">
        <f t="shared" si="70"/>
        <v>-712701</v>
      </c>
      <c r="H3691" s="13" t="s">
        <v>12791</v>
      </c>
    </row>
    <row r="3692" spans="1:8" x14ac:dyDescent="0.25">
      <c r="A3692" s="113">
        <v>45373</v>
      </c>
      <c r="B3692" s="21" t="s">
        <v>11897</v>
      </c>
      <c r="C3692" s="13" t="s">
        <v>8394</v>
      </c>
      <c r="D3692" s="766" t="s">
        <v>12839</v>
      </c>
      <c r="E3692" s="22">
        <v>11306</v>
      </c>
      <c r="F3692" s="19"/>
      <c r="G3692" s="14">
        <f t="shared" si="70"/>
        <v>11306</v>
      </c>
      <c r="H3692" s="13"/>
    </row>
    <row r="3693" spans="1:8" x14ac:dyDescent="0.25">
      <c r="A3693" s="113">
        <v>45377</v>
      </c>
      <c r="B3693" s="21" t="s">
        <v>10909</v>
      </c>
      <c r="C3693" s="13" t="s">
        <v>12496</v>
      </c>
      <c r="D3693" s="766"/>
      <c r="E3693" s="22"/>
      <c r="F3693" s="19">
        <v>100000</v>
      </c>
      <c r="G3693" s="14">
        <f t="shared" si="70"/>
        <v>-100000</v>
      </c>
      <c r="H3693" s="13" t="s">
        <v>12803</v>
      </c>
    </row>
    <row r="3694" spans="1:8" x14ac:dyDescent="0.25">
      <c r="A3694" s="113">
        <v>45377</v>
      </c>
      <c r="B3694" s="21" t="s">
        <v>10909</v>
      </c>
      <c r="C3694" s="13" t="s">
        <v>7954</v>
      </c>
      <c r="D3694" s="766"/>
      <c r="E3694" s="22"/>
      <c r="F3694" s="19">
        <v>200000</v>
      </c>
      <c r="G3694" s="14">
        <f t="shared" si="70"/>
        <v>-200000</v>
      </c>
      <c r="H3694" s="13" t="s">
        <v>12803</v>
      </c>
    </row>
    <row r="3695" spans="1:8" x14ac:dyDescent="0.25">
      <c r="A3695" s="113">
        <v>45377</v>
      </c>
      <c r="B3695" s="21" t="s">
        <v>10909</v>
      </c>
      <c r="C3695" s="13" t="s">
        <v>7954</v>
      </c>
      <c r="D3695" s="766"/>
      <c r="E3695" s="22"/>
      <c r="F3695" s="19">
        <v>100000</v>
      </c>
      <c r="G3695" s="14">
        <f t="shared" ref="G3695:G3705" si="72">E3695-F3695</f>
        <v>-100000</v>
      </c>
      <c r="H3695" s="13" t="s">
        <v>12803</v>
      </c>
    </row>
    <row r="3696" spans="1:8" x14ac:dyDescent="0.25">
      <c r="A3696" s="113">
        <v>45381</v>
      </c>
      <c r="B3696" s="21" t="s">
        <v>12818</v>
      </c>
      <c r="C3696" s="13" t="s">
        <v>166</v>
      </c>
      <c r="D3696" s="766" t="s">
        <v>12879</v>
      </c>
      <c r="E3696" s="22">
        <v>14000</v>
      </c>
      <c r="F3696" s="19"/>
      <c r="G3696" s="14">
        <f t="shared" si="72"/>
        <v>14000</v>
      </c>
      <c r="H3696" s="13"/>
    </row>
    <row r="3697" spans="1:8" x14ac:dyDescent="0.25">
      <c r="A3697" s="113">
        <v>45384</v>
      </c>
      <c r="B3697" s="21" t="s">
        <v>12827</v>
      </c>
      <c r="C3697" s="13" t="s">
        <v>7467</v>
      </c>
      <c r="D3697" s="766" t="s">
        <v>12875</v>
      </c>
      <c r="E3697" s="22">
        <v>87507</v>
      </c>
      <c r="F3697" s="19"/>
      <c r="G3697" s="14">
        <f t="shared" si="72"/>
        <v>87507</v>
      </c>
      <c r="H3697" s="13"/>
    </row>
    <row r="3698" spans="1:8" x14ac:dyDescent="0.25">
      <c r="A3698" s="113">
        <v>45385</v>
      </c>
      <c r="B3698" s="21" t="s">
        <v>11897</v>
      </c>
      <c r="C3698" s="13" t="s">
        <v>7242</v>
      </c>
      <c r="D3698" s="766" t="s">
        <v>9874</v>
      </c>
      <c r="E3698" s="22">
        <v>2720330</v>
      </c>
      <c r="F3698" s="19"/>
      <c r="G3698" s="14">
        <f t="shared" si="72"/>
        <v>2720330</v>
      </c>
      <c r="H3698" s="13"/>
    </row>
    <row r="3699" spans="1:8" x14ac:dyDescent="0.25">
      <c r="A3699" s="113">
        <v>45386</v>
      </c>
      <c r="B3699" s="21" t="s">
        <v>12818</v>
      </c>
      <c r="C3699" s="13" t="s">
        <v>12388</v>
      </c>
      <c r="D3699" s="766" t="s">
        <v>12876</v>
      </c>
      <c r="E3699" s="22">
        <v>38500</v>
      </c>
      <c r="F3699" s="19"/>
      <c r="G3699" s="14">
        <f t="shared" si="72"/>
        <v>38500</v>
      </c>
      <c r="H3699" s="13"/>
    </row>
    <row r="3700" spans="1:8" x14ac:dyDescent="0.25">
      <c r="A3700" s="113">
        <v>45386</v>
      </c>
      <c r="B3700" s="21" t="s">
        <v>11897</v>
      </c>
      <c r="C3700" s="13" t="s">
        <v>7242</v>
      </c>
      <c r="D3700" s="766"/>
      <c r="E3700" s="22"/>
      <c r="F3700" s="19">
        <v>700000</v>
      </c>
      <c r="G3700" s="14">
        <f t="shared" si="72"/>
        <v>-700000</v>
      </c>
      <c r="H3700" s="13" t="s">
        <v>12767</v>
      </c>
    </row>
    <row r="3701" spans="1:8" x14ac:dyDescent="0.25">
      <c r="A3701" s="113">
        <v>45386</v>
      </c>
      <c r="B3701" s="21" t="s">
        <v>12818</v>
      </c>
      <c r="C3701" s="13" t="s">
        <v>8394</v>
      </c>
      <c r="D3701" s="766" t="s">
        <v>12880</v>
      </c>
      <c r="E3701" s="22">
        <v>153139</v>
      </c>
      <c r="F3701" s="19"/>
      <c r="G3701" s="14">
        <f t="shared" si="72"/>
        <v>153139</v>
      </c>
      <c r="H3701" s="13"/>
    </row>
    <row r="3702" spans="1:8" x14ac:dyDescent="0.25">
      <c r="A3702" s="113">
        <v>45388</v>
      </c>
      <c r="B3702" s="21" t="s">
        <v>11897</v>
      </c>
      <c r="C3702" s="13" t="s">
        <v>4410</v>
      </c>
      <c r="D3702" s="766"/>
      <c r="E3702" s="22"/>
      <c r="F3702" s="19">
        <v>250000</v>
      </c>
      <c r="G3702" s="14">
        <f t="shared" si="72"/>
        <v>-250000</v>
      </c>
      <c r="H3702" s="13" t="s">
        <v>12803</v>
      </c>
    </row>
    <row r="3703" spans="1:8" x14ac:dyDescent="0.25">
      <c r="A3703" s="113">
        <v>45389</v>
      </c>
      <c r="B3703" s="21" t="s">
        <v>11897</v>
      </c>
      <c r="C3703" s="13" t="s">
        <v>4410</v>
      </c>
      <c r="D3703" s="766"/>
      <c r="E3703" s="22"/>
      <c r="F3703" s="19">
        <v>250000</v>
      </c>
      <c r="G3703" s="14">
        <f t="shared" si="72"/>
        <v>-250000</v>
      </c>
      <c r="H3703" s="13" t="s">
        <v>12803</v>
      </c>
    </row>
    <row r="3704" spans="1:8" x14ac:dyDescent="0.25">
      <c r="A3704" s="113">
        <v>45390</v>
      </c>
      <c r="B3704" s="21" t="s">
        <v>11897</v>
      </c>
      <c r="C3704" s="13" t="s">
        <v>7242</v>
      </c>
      <c r="D3704" s="766"/>
      <c r="E3704" s="22"/>
      <c r="F3704" s="19">
        <v>200000</v>
      </c>
      <c r="G3704" s="14">
        <f t="shared" si="72"/>
        <v>-200000</v>
      </c>
      <c r="H3704" s="13" t="s">
        <v>12889</v>
      </c>
    </row>
    <row r="3705" spans="1:8" x14ac:dyDescent="0.25">
      <c r="A3705" s="113">
        <v>45404</v>
      </c>
      <c r="B3705" s="21" t="s">
        <v>12818</v>
      </c>
      <c r="C3705" s="13" t="s">
        <v>7242</v>
      </c>
      <c r="D3705" s="766" t="s">
        <v>12929</v>
      </c>
      <c r="E3705" s="22">
        <v>8500</v>
      </c>
      <c r="F3705" s="19"/>
      <c r="G3705" s="14">
        <f t="shared" si="72"/>
        <v>8500</v>
      </c>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sheetData>
  <autoFilter ref="A1:XFC3703"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3:H3394"/>
    <mergeCell ref="H3483:H3493"/>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7" t="s">
        <v>11587</v>
      </c>
      <c r="B2" s="1247"/>
      <c r="C2" s="1247"/>
      <c r="D2" s="1247"/>
      <c r="E2" s="1247"/>
      <c r="F2" s="1247"/>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2" t="s">
        <v>0</v>
      </c>
      <c r="B3" s="1393" t="s">
        <v>47</v>
      </c>
      <c r="C3" s="924" t="s">
        <v>158</v>
      </c>
      <c r="D3" s="924" t="s">
        <v>5</v>
      </c>
    </row>
    <row r="4" spans="1:5" ht="15.75" thickBot="1" x14ac:dyDescent="0.3">
      <c r="B4"/>
      <c r="C4"/>
      <c r="D4"/>
    </row>
    <row r="5" spans="1:5" ht="21.75" thickBot="1" x14ac:dyDescent="0.4">
      <c r="A5" s="1394" t="s">
        <v>10193</v>
      </c>
      <c r="B5" s="1395" t="s">
        <v>1695</v>
      </c>
      <c r="C5" s="1396" t="s">
        <v>1802</v>
      </c>
      <c r="D5" s="1397" t="s">
        <v>46</v>
      </c>
      <c r="E5" s="1014" t="s">
        <v>10860</v>
      </c>
    </row>
    <row r="6" spans="1:5" ht="23.25" x14ac:dyDescent="0.35">
      <c r="A6" s="1398" t="s">
        <v>7467</v>
      </c>
      <c r="B6" s="1399">
        <v>29978988</v>
      </c>
      <c r="C6" s="1399">
        <v>26325862</v>
      </c>
      <c r="D6" s="1400">
        <v>3653126</v>
      </c>
    </row>
    <row r="7" spans="1:5" ht="23.25" x14ac:dyDescent="0.35">
      <c r="A7" s="1398" t="s">
        <v>5187</v>
      </c>
      <c r="B7" s="1399">
        <v>5931440.5</v>
      </c>
      <c r="C7" s="1399">
        <v>5182962</v>
      </c>
      <c r="D7" s="1402">
        <v>748478.5</v>
      </c>
    </row>
    <row r="8" spans="1:5" ht="23.25" x14ac:dyDescent="0.35">
      <c r="A8" s="1398" t="s">
        <v>4410</v>
      </c>
      <c r="B8" s="1401">
        <v>3200000</v>
      </c>
      <c r="C8" s="1401">
        <v>2500000</v>
      </c>
      <c r="D8" s="1402">
        <v>700000</v>
      </c>
    </row>
    <row r="9" spans="1:5" ht="23.25" x14ac:dyDescent="0.35">
      <c r="A9" s="1398" t="s">
        <v>8394</v>
      </c>
      <c r="B9" s="1399">
        <v>29661740</v>
      </c>
      <c r="C9" s="1399">
        <v>29025797</v>
      </c>
      <c r="D9" s="1400">
        <v>635943</v>
      </c>
    </row>
    <row r="10" spans="1:5" ht="23.25" x14ac:dyDescent="0.35">
      <c r="A10" s="1398" t="s">
        <v>7242</v>
      </c>
      <c r="B10" s="1399">
        <v>14639202</v>
      </c>
      <c r="C10" s="1399">
        <v>14033587</v>
      </c>
      <c r="D10" s="1402">
        <v>605615</v>
      </c>
    </row>
    <row r="11" spans="1:5" ht="23.25" x14ac:dyDescent="0.35">
      <c r="A11" s="1398" t="s">
        <v>4725</v>
      </c>
      <c r="B11" s="1399">
        <v>1680000</v>
      </c>
      <c r="C11" s="1399">
        <v>1150000</v>
      </c>
      <c r="D11" s="1402">
        <v>530000</v>
      </c>
    </row>
    <row r="12" spans="1:5" ht="23.25" x14ac:dyDescent="0.35">
      <c r="A12" s="1398" t="s">
        <v>6847</v>
      </c>
      <c r="B12" s="1399">
        <v>903164</v>
      </c>
      <c r="C12" s="1399">
        <v>500000</v>
      </c>
      <c r="D12" s="1402">
        <v>403164</v>
      </c>
    </row>
    <row r="13" spans="1:5" ht="23.25" x14ac:dyDescent="0.35">
      <c r="A13" s="1398" t="s">
        <v>12038</v>
      </c>
      <c r="B13" s="1399">
        <v>1894000</v>
      </c>
      <c r="C13" s="1399">
        <v>1500000</v>
      </c>
      <c r="D13" s="1402">
        <v>394000</v>
      </c>
    </row>
    <row r="14" spans="1:5" s="4" customFormat="1" ht="23.25" x14ac:dyDescent="0.35">
      <c r="A14" s="1398" t="s">
        <v>5681</v>
      </c>
      <c r="B14" s="1401">
        <v>5519832</v>
      </c>
      <c r="C14" s="1401">
        <v>5161680</v>
      </c>
      <c r="D14" s="1402">
        <v>358152</v>
      </c>
    </row>
    <row r="15" spans="1:5" ht="23.25" x14ac:dyDescent="0.35">
      <c r="A15" s="1398" t="s">
        <v>169</v>
      </c>
      <c r="B15" s="1401">
        <v>7676718</v>
      </c>
      <c r="C15" s="1401">
        <v>7368204</v>
      </c>
      <c r="D15" s="1402">
        <v>308514</v>
      </c>
    </row>
    <row r="16" spans="1:5" s="4" customFormat="1" ht="23.25" x14ac:dyDescent="0.35">
      <c r="A16" s="1398" t="s">
        <v>7954</v>
      </c>
      <c r="B16" s="1399">
        <v>4770000</v>
      </c>
      <c r="C16" s="1399">
        <v>4470000</v>
      </c>
      <c r="D16" s="1402">
        <v>300000</v>
      </c>
    </row>
    <row r="17" spans="1:5" ht="23.25" x14ac:dyDescent="0.35">
      <c r="A17" s="1398" t="s">
        <v>180</v>
      </c>
      <c r="B17" s="1401">
        <v>27714467</v>
      </c>
      <c r="C17" s="1401">
        <v>27432612</v>
      </c>
      <c r="D17" s="1402">
        <v>281855</v>
      </c>
    </row>
    <row r="18" spans="1:5" ht="23.25" x14ac:dyDescent="0.35">
      <c r="A18" s="1398" t="s">
        <v>164</v>
      </c>
      <c r="B18" s="1401">
        <v>5810291</v>
      </c>
      <c r="C18" s="1401">
        <v>5533047</v>
      </c>
      <c r="D18" s="1402">
        <v>277244</v>
      </c>
      <c r="E18" s="4"/>
    </row>
    <row r="19" spans="1:5" ht="23.25" x14ac:dyDescent="0.35">
      <c r="A19" s="1398" t="s">
        <v>168</v>
      </c>
      <c r="B19" s="1401">
        <v>17657960</v>
      </c>
      <c r="C19" s="1401">
        <v>17503188</v>
      </c>
      <c r="D19" s="1400">
        <v>154772</v>
      </c>
    </row>
    <row r="20" spans="1:5" ht="23.25" x14ac:dyDescent="0.35">
      <c r="A20" s="1398" t="s">
        <v>2196</v>
      </c>
      <c r="B20" s="1401">
        <v>910728</v>
      </c>
      <c r="C20" s="1401">
        <v>769328</v>
      </c>
      <c r="D20" s="1402">
        <v>141400</v>
      </c>
    </row>
    <row r="21" spans="1:5" ht="23.25" x14ac:dyDescent="0.35">
      <c r="A21" s="1398" t="s">
        <v>166</v>
      </c>
      <c r="B21" s="1401">
        <v>21120514</v>
      </c>
      <c r="C21" s="1401">
        <v>21008626</v>
      </c>
      <c r="D21" s="1400">
        <v>111888</v>
      </c>
    </row>
    <row r="22" spans="1:5" s="4" customFormat="1" ht="23.25" x14ac:dyDescent="0.35">
      <c r="A22" s="1398" t="s">
        <v>12496</v>
      </c>
      <c r="B22" s="1399">
        <v>3421062</v>
      </c>
      <c r="C22" s="1399">
        <v>3320000</v>
      </c>
      <c r="D22" s="1402">
        <v>101062</v>
      </c>
    </row>
    <row r="23" spans="1:5" ht="23.25" x14ac:dyDescent="0.35">
      <c r="A23" s="1398" t="s">
        <v>1803</v>
      </c>
      <c r="B23" s="1401">
        <v>15297184</v>
      </c>
      <c r="C23" s="1401">
        <v>15268691</v>
      </c>
      <c r="D23" s="1400">
        <v>28493</v>
      </c>
    </row>
    <row r="24" spans="1:5" s="4" customFormat="1" ht="23.25" x14ac:dyDescent="0.35">
      <c r="A24" s="1398" t="s">
        <v>2386</v>
      </c>
      <c r="B24" s="1401">
        <v>18551</v>
      </c>
      <c r="C24" s="1401"/>
      <c r="D24" s="1402">
        <v>18551</v>
      </c>
    </row>
    <row r="25" spans="1:5" ht="23.25" x14ac:dyDescent="0.35">
      <c r="A25" s="1398" t="s">
        <v>75</v>
      </c>
      <c r="B25" s="1401">
        <v>17519</v>
      </c>
      <c r="C25" s="1401"/>
      <c r="D25" s="1402">
        <v>17519</v>
      </c>
    </row>
    <row r="26" spans="1:5" s="4" customFormat="1" ht="23.25" x14ac:dyDescent="0.35">
      <c r="A26" s="1398" t="s">
        <v>8900</v>
      </c>
      <c r="B26" s="1399">
        <v>612552</v>
      </c>
      <c r="C26" s="1399">
        <v>612552</v>
      </c>
      <c r="D26" s="1402">
        <v>0</v>
      </c>
    </row>
    <row r="27" spans="1:5" ht="23.25" x14ac:dyDescent="0.35">
      <c r="A27" s="1398" t="s">
        <v>8091</v>
      </c>
      <c r="B27" s="1399">
        <v>11250000</v>
      </c>
      <c r="C27" s="1399">
        <v>11250000</v>
      </c>
      <c r="D27" s="1402">
        <v>0</v>
      </c>
    </row>
    <row r="28" spans="1:5" ht="23.25" x14ac:dyDescent="0.35">
      <c r="A28" s="1398" t="s">
        <v>9080</v>
      </c>
      <c r="B28" s="1399">
        <v>885000</v>
      </c>
      <c r="C28" s="1399">
        <v>885000</v>
      </c>
      <c r="D28" s="1400">
        <v>0</v>
      </c>
    </row>
    <row r="29" spans="1:5" s="4" customFormat="1" ht="23.25" x14ac:dyDescent="0.35">
      <c r="A29" s="1398" t="s">
        <v>3011</v>
      </c>
      <c r="B29" s="1401">
        <v>3121578</v>
      </c>
      <c r="C29" s="1401">
        <v>3121578</v>
      </c>
      <c r="D29" s="1402">
        <v>0</v>
      </c>
    </row>
    <row r="30" spans="1:5" ht="23.25" x14ac:dyDescent="0.35">
      <c r="A30" s="1398" t="s">
        <v>11329</v>
      </c>
      <c r="B30" s="1399">
        <v>1061510</v>
      </c>
      <c r="C30" s="1399">
        <v>1061510</v>
      </c>
      <c r="D30" s="1400">
        <v>0</v>
      </c>
    </row>
    <row r="31" spans="1:5" s="4" customFormat="1" ht="23.25" x14ac:dyDescent="0.35">
      <c r="A31" s="1398" t="s">
        <v>6767</v>
      </c>
      <c r="B31" s="1401">
        <v>137550</v>
      </c>
      <c r="C31" s="1401">
        <v>137550</v>
      </c>
      <c r="D31" s="1402">
        <v>0</v>
      </c>
    </row>
    <row r="32" spans="1:5" ht="23.25" x14ac:dyDescent="0.35">
      <c r="A32" s="1398" t="s">
        <v>12282</v>
      </c>
      <c r="B32" s="1399">
        <v>1600298</v>
      </c>
      <c r="C32" s="1399">
        <v>1600298</v>
      </c>
      <c r="D32" s="1402">
        <v>0</v>
      </c>
    </row>
    <row r="33" spans="1:4" s="4" customFormat="1" ht="23.25" x14ac:dyDescent="0.35">
      <c r="A33" s="1398" t="s">
        <v>8456</v>
      </c>
      <c r="B33" s="1399">
        <v>1063000</v>
      </c>
      <c r="C33" s="1399">
        <v>1063000</v>
      </c>
      <c r="D33" s="1400">
        <v>0</v>
      </c>
    </row>
    <row r="34" spans="1:4" ht="23.25" x14ac:dyDescent="0.35">
      <c r="A34" s="1398" t="s">
        <v>162</v>
      </c>
      <c r="B34" s="1401">
        <v>1123152</v>
      </c>
      <c r="C34" s="1401">
        <v>1123152</v>
      </c>
      <c r="D34" s="1402">
        <v>0</v>
      </c>
    </row>
    <row r="35" spans="1:4" ht="23.25" x14ac:dyDescent="0.35">
      <c r="A35" s="1398" t="s">
        <v>8708</v>
      </c>
      <c r="B35" s="1399">
        <v>300000</v>
      </c>
      <c r="C35" s="1399">
        <v>300000</v>
      </c>
      <c r="D35" s="1400">
        <v>0</v>
      </c>
    </row>
    <row r="36" spans="1:4" s="4" customFormat="1" ht="23.25" x14ac:dyDescent="0.35">
      <c r="A36" s="1398" t="s">
        <v>1815</v>
      </c>
      <c r="B36" s="1401">
        <v>11639548</v>
      </c>
      <c r="C36" s="1401">
        <v>11639548</v>
      </c>
      <c r="D36" s="1402">
        <v>0</v>
      </c>
    </row>
    <row r="37" spans="1:4" ht="23.25" x14ac:dyDescent="0.35">
      <c r="A37" s="1398" t="s">
        <v>11324</v>
      </c>
      <c r="B37" s="1399">
        <v>4226000</v>
      </c>
      <c r="C37" s="1399">
        <v>4226000</v>
      </c>
      <c r="D37" s="1400">
        <v>0</v>
      </c>
    </row>
    <row r="38" spans="1:4" ht="23.25" x14ac:dyDescent="0.35">
      <c r="A38" s="1398" t="s">
        <v>438</v>
      </c>
      <c r="B38" s="1401">
        <v>2798262</v>
      </c>
      <c r="C38" s="1401">
        <v>2798262</v>
      </c>
      <c r="D38" s="1402">
        <v>0</v>
      </c>
    </row>
    <row r="39" spans="1:4" ht="24" thickBot="1" x14ac:dyDescent="0.4">
      <c r="A39" s="1398" t="s">
        <v>161</v>
      </c>
      <c r="B39" s="1401">
        <v>5104663</v>
      </c>
      <c r="C39" s="1401">
        <v>5122182</v>
      </c>
      <c r="D39" s="1402">
        <v>-17519</v>
      </c>
    </row>
    <row r="40" spans="1:4" s="4" customFormat="1" ht="19.5" thickBot="1" x14ac:dyDescent="0.35">
      <c r="A40" s="1403" t="s">
        <v>45</v>
      </c>
      <c r="B40" s="1404">
        <v>242746473.5</v>
      </c>
      <c r="C40" s="1405">
        <v>232994216</v>
      </c>
      <c r="D40" s="1406">
        <v>9752257.5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154772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154772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816772</v>
      </c>
      <c r="K78" s="3"/>
    </row>
    <row r="79" spans="1:11" x14ac:dyDescent="0.25">
      <c r="B79"/>
      <c r="C79"/>
      <c r="D79"/>
    </row>
    <row r="80" spans="1:11" x14ac:dyDescent="0.25">
      <c r="B80"/>
      <c r="C80"/>
      <c r="D80"/>
      <c r="I80" s="3">
        <f ca="1">I78-155000</f>
        <v>661772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41"/>
      <c r="I4" s="1141"/>
      <c r="J4" s="1141"/>
    </row>
    <row r="5" spans="1:10" ht="24" thickBot="1" x14ac:dyDescent="0.35">
      <c r="A5" s="287" t="s">
        <v>4137</v>
      </c>
      <c r="B5" s="288" t="s">
        <v>4134</v>
      </c>
      <c r="C5" s="288" t="s">
        <v>4135</v>
      </c>
      <c r="D5" s="288" t="s">
        <v>4136</v>
      </c>
      <c r="E5" s="1014" t="s">
        <v>10860</v>
      </c>
      <c r="H5" s="1141"/>
      <c r="I5" s="1141"/>
      <c r="J5" s="1141"/>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2252400</v>
      </c>
      <c r="C20" s="290"/>
      <c r="D20" s="290">
        <v>-2252400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1775000</v>
      </c>
      <c r="C23" s="290"/>
      <c r="D23" s="290">
        <v>-1775000</v>
      </c>
    </row>
    <row r="24" spans="1:4" x14ac:dyDescent="0.3">
      <c r="A24" s="330" t="s">
        <v>11386</v>
      </c>
      <c r="B24" s="290">
        <v>1590000</v>
      </c>
      <c r="C24" s="290"/>
      <c r="D24" s="290">
        <v>-1590000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5619800</v>
      </c>
      <c r="C29" s="290"/>
      <c r="D29" s="290">
        <v>-5619800</v>
      </c>
    </row>
    <row r="30" spans="1:4" x14ac:dyDescent="0.3">
      <c r="A30" s="289" t="s">
        <v>45</v>
      </c>
      <c r="B30" s="290">
        <v>38983020</v>
      </c>
      <c r="C30" s="290"/>
      <c r="D30" s="290">
        <v>-38983020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407" t="s">
        <v>1695</v>
      </c>
      <c r="C5" s="1005" t="s">
        <v>1802</v>
      </c>
      <c r="D5" s="1006" t="s">
        <v>46</v>
      </c>
      <c r="E5" s="1014" t="s">
        <v>10860</v>
      </c>
    </row>
    <row r="6" spans="1:6" x14ac:dyDescent="0.35">
      <c r="A6" s="997" t="s">
        <v>11897</v>
      </c>
      <c r="B6" s="1408">
        <v>26682435</v>
      </c>
      <c r="C6" s="1408">
        <v>21026558</v>
      </c>
      <c r="D6" s="1007">
        <v>5655877</v>
      </c>
    </row>
    <row r="7" spans="1:6" x14ac:dyDescent="0.35">
      <c r="A7" s="997" t="s">
        <v>12207</v>
      </c>
      <c r="B7" s="1408">
        <v>2399817</v>
      </c>
      <c r="C7" s="1408">
        <v>1025253</v>
      </c>
      <c r="D7" s="1007">
        <v>1374564</v>
      </c>
    </row>
    <row r="8" spans="1:6" x14ac:dyDescent="0.35">
      <c r="A8" s="997" t="s">
        <v>10909</v>
      </c>
      <c r="B8" s="1408">
        <v>9891854.5</v>
      </c>
      <c r="C8" s="1408">
        <v>9024924</v>
      </c>
      <c r="D8" s="1007">
        <v>866930.5</v>
      </c>
      <c r="F8" s="98"/>
    </row>
    <row r="9" spans="1:6" x14ac:dyDescent="0.35">
      <c r="A9" s="997" t="s">
        <v>11089</v>
      </c>
      <c r="B9" s="1408">
        <v>10546144</v>
      </c>
      <c r="C9" s="1408">
        <v>9766001</v>
      </c>
      <c r="D9" s="1007">
        <v>780143</v>
      </c>
    </row>
    <row r="10" spans="1:6" x14ac:dyDescent="0.35">
      <c r="A10" s="997" t="s">
        <v>8559</v>
      </c>
      <c r="B10" s="1408">
        <v>2774625</v>
      </c>
      <c r="C10" s="1408">
        <v>2283299</v>
      </c>
      <c r="D10" s="1007">
        <v>491326</v>
      </c>
    </row>
    <row r="11" spans="1:6" x14ac:dyDescent="0.35">
      <c r="A11" s="997" t="s">
        <v>10296</v>
      </c>
      <c r="B11" s="1408">
        <v>1585166</v>
      </c>
      <c r="C11" s="1408">
        <v>1138818</v>
      </c>
      <c r="D11" s="1007">
        <v>446348</v>
      </c>
    </row>
    <row r="12" spans="1:6" x14ac:dyDescent="0.35">
      <c r="A12" s="997" t="s">
        <v>10576</v>
      </c>
      <c r="B12" s="1408">
        <v>21004486</v>
      </c>
      <c r="C12" s="1408">
        <v>20664231</v>
      </c>
      <c r="D12" s="1007">
        <v>340255</v>
      </c>
    </row>
    <row r="13" spans="1:6" x14ac:dyDescent="0.35">
      <c r="A13" s="997" t="s">
        <v>10571</v>
      </c>
      <c r="B13" s="1408">
        <v>2019367</v>
      </c>
      <c r="C13" s="1408">
        <v>1719382</v>
      </c>
      <c r="D13" s="1007">
        <v>299985</v>
      </c>
    </row>
    <row r="14" spans="1:6" x14ac:dyDescent="0.35">
      <c r="A14" s="997" t="s">
        <v>10232</v>
      </c>
      <c r="B14" s="1408">
        <v>12575807</v>
      </c>
      <c r="C14" s="1408">
        <v>12279121</v>
      </c>
      <c r="D14" s="1007">
        <v>296686</v>
      </c>
    </row>
    <row r="15" spans="1:6" x14ac:dyDescent="0.35">
      <c r="A15" s="997" t="s">
        <v>8657</v>
      </c>
      <c r="B15" s="1408">
        <v>11292323</v>
      </c>
      <c r="C15" s="1408">
        <v>11034775</v>
      </c>
      <c r="D15" s="1007">
        <v>257548</v>
      </c>
    </row>
    <row r="16" spans="1:6" x14ac:dyDescent="0.35">
      <c r="A16" s="997" t="s">
        <v>8868</v>
      </c>
      <c r="B16" s="1408">
        <v>1899307</v>
      </c>
      <c r="C16" s="1408">
        <v>1669531</v>
      </c>
      <c r="D16" s="1007">
        <v>229776</v>
      </c>
    </row>
    <row r="17" spans="1:4" x14ac:dyDescent="0.35">
      <c r="A17" s="997" t="s">
        <v>12818</v>
      </c>
      <c r="B17" s="1408">
        <v>214139</v>
      </c>
      <c r="C17" s="1408"/>
      <c r="D17" s="1007">
        <v>214139</v>
      </c>
    </row>
    <row r="18" spans="1:4" x14ac:dyDescent="0.35">
      <c r="A18" s="1114" t="s">
        <v>8394</v>
      </c>
      <c r="B18" s="1408">
        <v>153139</v>
      </c>
      <c r="C18" s="1408"/>
      <c r="D18" s="1007">
        <v>153139</v>
      </c>
    </row>
    <row r="19" spans="1:4" x14ac:dyDescent="0.35">
      <c r="A19" s="1114" t="s">
        <v>168</v>
      </c>
      <c r="B19" s="1408">
        <v>38500</v>
      </c>
      <c r="C19" s="1408"/>
      <c r="D19" s="1133">
        <v>38500</v>
      </c>
    </row>
    <row r="20" spans="1:4" x14ac:dyDescent="0.35">
      <c r="A20" s="1114" t="s">
        <v>166</v>
      </c>
      <c r="B20" s="1408">
        <v>14000</v>
      </c>
      <c r="C20" s="1408"/>
      <c r="D20" s="1133">
        <v>14000</v>
      </c>
    </row>
    <row r="21" spans="1:4" x14ac:dyDescent="0.35">
      <c r="A21" s="1114" t="s">
        <v>7242</v>
      </c>
      <c r="B21" s="1408">
        <v>8500</v>
      </c>
      <c r="C21" s="1408"/>
      <c r="D21" s="1007">
        <v>8500</v>
      </c>
    </row>
    <row r="22" spans="1:4" x14ac:dyDescent="0.35">
      <c r="A22" s="997" t="s">
        <v>11446</v>
      </c>
      <c r="B22" s="1408">
        <v>1121427</v>
      </c>
      <c r="C22" s="1408">
        <v>933127</v>
      </c>
      <c r="D22" s="1007">
        <v>188300</v>
      </c>
    </row>
    <row r="23" spans="1:4" x14ac:dyDescent="0.35">
      <c r="A23" s="997" t="s">
        <v>9661</v>
      </c>
      <c r="B23" s="1408">
        <v>2984053</v>
      </c>
      <c r="C23" s="1408">
        <v>2803173</v>
      </c>
      <c r="D23" s="1007">
        <v>180880</v>
      </c>
    </row>
    <row r="24" spans="1:4" x14ac:dyDescent="0.35">
      <c r="A24" s="997" t="s">
        <v>9356</v>
      </c>
      <c r="B24" s="1408">
        <v>4428561</v>
      </c>
      <c r="C24" s="1408">
        <v>4261002</v>
      </c>
      <c r="D24" s="1007">
        <v>167559</v>
      </c>
    </row>
    <row r="25" spans="1:4" x14ac:dyDescent="0.35">
      <c r="A25" s="997" t="s">
        <v>4721</v>
      </c>
      <c r="B25" s="1408">
        <v>644100</v>
      </c>
      <c r="C25" s="1408">
        <v>481480</v>
      </c>
      <c r="D25" s="1007">
        <v>162620</v>
      </c>
    </row>
    <row r="26" spans="1:4" x14ac:dyDescent="0.35">
      <c r="A26" s="997" t="s">
        <v>1400</v>
      </c>
      <c r="B26" s="1408">
        <v>26199453</v>
      </c>
      <c r="C26" s="1408">
        <v>26039908</v>
      </c>
      <c r="D26" s="1007">
        <v>159545</v>
      </c>
    </row>
    <row r="27" spans="1:4" x14ac:dyDescent="0.35">
      <c r="A27" s="997" t="s">
        <v>11617</v>
      </c>
      <c r="B27" s="1408">
        <v>1892082</v>
      </c>
      <c r="C27" s="1408">
        <v>1756043</v>
      </c>
      <c r="D27" s="1007">
        <v>136039</v>
      </c>
    </row>
    <row r="28" spans="1:4" x14ac:dyDescent="0.35">
      <c r="A28" s="997" t="s">
        <v>9769</v>
      </c>
      <c r="B28" s="1408">
        <v>6398047</v>
      </c>
      <c r="C28" s="1408">
        <v>6284400</v>
      </c>
      <c r="D28" s="1007">
        <v>113647</v>
      </c>
    </row>
    <row r="29" spans="1:4" x14ac:dyDescent="0.35">
      <c r="A29" s="997" t="s">
        <v>12287</v>
      </c>
      <c r="B29" s="1408">
        <v>1278570</v>
      </c>
      <c r="C29" s="1408">
        <v>1172797</v>
      </c>
      <c r="D29" s="1007">
        <v>105773</v>
      </c>
    </row>
    <row r="30" spans="1:4" x14ac:dyDescent="0.35">
      <c r="A30" s="997" t="s">
        <v>8876</v>
      </c>
      <c r="B30" s="1408">
        <v>2891040</v>
      </c>
      <c r="C30" s="1408">
        <v>2799926</v>
      </c>
      <c r="D30" s="1007">
        <v>91114</v>
      </c>
    </row>
    <row r="31" spans="1:4" x14ac:dyDescent="0.35">
      <c r="A31" s="997" t="s">
        <v>12827</v>
      </c>
      <c r="B31" s="1408">
        <v>87507</v>
      </c>
      <c r="C31" s="1408"/>
      <c r="D31" s="1007">
        <v>87507</v>
      </c>
    </row>
    <row r="32" spans="1:4" x14ac:dyDescent="0.35">
      <c r="A32" s="1114" t="s">
        <v>7467</v>
      </c>
      <c r="B32" s="1408">
        <v>87507</v>
      </c>
      <c r="C32" s="1408"/>
      <c r="D32" s="1007">
        <v>87507</v>
      </c>
    </row>
    <row r="33" spans="1:4" x14ac:dyDescent="0.35">
      <c r="A33" s="997" t="s">
        <v>6408</v>
      </c>
      <c r="B33" s="1408">
        <v>959942</v>
      </c>
      <c r="C33" s="1408">
        <v>879099</v>
      </c>
      <c r="D33" s="1007">
        <v>80843</v>
      </c>
    </row>
    <row r="34" spans="1:4" hidden="1" x14ac:dyDescent="0.35">
      <c r="A34" s="997" t="s">
        <v>11511</v>
      </c>
      <c r="B34" s="1408">
        <v>132545</v>
      </c>
      <c r="C34" s="1408">
        <v>73043</v>
      </c>
      <c r="D34" s="1007">
        <v>59502</v>
      </c>
    </row>
    <row r="35" spans="1:4" hidden="1" x14ac:dyDescent="0.35">
      <c r="A35" s="997" t="s">
        <v>12634</v>
      </c>
      <c r="B35" s="1408">
        <v>45459</v>
      </c>
      <c r="C35" s="1408"/>
      <c r="D35" s="1007">
        <v>45459</v>
      </c>
    </row>
    <row r="36" spans="1:4" hidden="1" x14ac:dyDescent="0.35">
      <c r="A36" s="1114" t="s">
        <v>7467</v>
      </c>
      <c r="B36" s="1408">
        <v>45459</v>
      </c>
      <c r="C36" s="1408"/>
      <c r="D36" s="1007">
        <v>45459</v>
      </c>
    </row>
    <row r="37" spans="1:4" hidden="1" x14ac:dyDescent="0.35">
      <c r="A37" s="997" t="s">
        <v>12247</v>
      </c>
      <c r="B37" s="1408">
        <v>110000</v>
      </c>
      <c r="C37" s="1408">
        <v>82500</v>
      </c>
      <c r="D37" s="1007">
        <v>27500</v>
      </c>
    </row>
    <row r="38" spans="1:4" hidden="1" x14ac:dyDescent="0.35">
      <c r="A38" s="997" t="s">
        <v>11</v>
      </c>
      <c r="B38" s="1408">
        <v>183038</v>
      </c>
      <c r="C38" s="1408">
        <v>164487</v>
      </c>
      <c r="D38" s="1007">
        <v>18551</v>
      </c>
    </row>
    <row r="39" spans="1:4" hidden="1" x14ac:dyDescent="0.35">
      <c r="A39" s="997" t="s">
        <v>8339</v>
      </c>
      <c r="B39" s="1408">
        <v>6661900</v>
      </c>
      <c r="C39" s="1408">
        <v>6645860</v>
      </c>
      <c r="D39" s="1007">
        <v>16040</v>
      </c>
    </row>
    <row r="40" spans="1:4" hidden="1" x14ac:dyDescent="0.35">
      <c r="A40" s="997" t="s">
        <v>9967</v>
      </c>
      <c r="B40" s="1408">
        <v>385571</v>
      </c>
      <c r="C40" s="1408">
        <v>370221</v>
      </c>
      <c r="D40" s="1007">
        <v>15350</v>
      </c>
    </row>
    <row r="41" spans="1:4" hidden="1" x14ac:dyDescent="0.35">
      <c r="A41" s="997" t="s">
        <v>10911</v>
      </c>
      <c r="B41" s="1408">
        <v>79935</v>
      </c>
      <c r="C41" s="1408">
        <v>64935</v>
      </c>
      <c r="D41" s="1007">
        <v>15000</v>
      </c>
    </row>
    <row r="42" spans="1:4" hidden="1" x14ac:dyDescent="0.35">
      <c r="A42" s="997" t="s">
        <v>11716</v>
      </c>
      <c r="B42" s="1408">
        <v>62941</v>
      </c>
      <c r="C42" s="1408">
        <v>56173</v>
      </c>
      <c r="D42" s="1007">
        <v>6768</v>
      </c>
    </row>
    <row r="43" spans="1:4" hidden="1" x14ac:dyDescent="0.35">
      <c r="A43" s="997" t="s">
        <v>10471</v>
      </c>
      <c r="B43" s="1408">
        <v>1683705</v>
      </c>
      <c r="C43" s="1408">
        <v>1679205</v>
      </c>
      <c r="D43" s="1007">
        <v>4500</v>
      </c>
    </row>
    <row r="44" spans="1:4" hidden="1" x14ac:dyDescent="0.35">
      <c r="A44" s="997" t="s">
        <v>6508</v>
      </c>
      <c r="B44" s="1408">
        <v>798186</v>
      </c>
      <c r="C44" s="1408">
        <v>793941</v>
      </c>
      <c r="D44" s="1007">
        <v>4245</v>
      </c>
    </row>
    <row r="45" spans="1:4" hidden="1" x14ac:dyDescent="0.35">
      <c r="A45" s="997" t="s">
        <v>1805</v>
      </c>
      <c r="B45" s="1408">
        <v>236720</v>
      </c>
      <c r="C45" s="1408">
        <v>236720</v>
      </c>
      <c r="D45" s="1007">
        <v>0</v>
      </c>
    </row>
    <row r="46" spans="1:4" hidden="1" x14ac:dyDescent="0.35">
      <c r="A46" s="997" t="s">
        <v>7746</v>
      </c>
      <c r="B46" s="1408">
        <v>319499</v>
      </c>
      <c r="C46" s="1408">
        <v>319499</v>
      </c>
      <c r="D46" s="1007">
        <v>0</v>
      </c>
    </row>
    <row r="47" spans="1:4" hidden="1" x14ac:dyDescent="0.35">
      <c r="A47" s="997" t="s">
        <v>1087</v>
      </c>
      <c r="B47" s="1408">
        <v>88730</v>
      </c>
      <c r="C47" s="1408">
        <v>88730</v>
      </c>
      <c r="D47" s="1007">
        <v>0</v>
      </c>
    </row>
    <row r="48" spans="1:4" hidden="1" x14ac:dyDescent="0.35">
      <c r="A48" s="997" t="s">
        <v>33</v>
      </c>
      <c r="B48" s="1408">
        <v>569111</v>
      </c>
      <c r="C48" s="1408">
        <v>569111</v>
      </c>
      <c r="D48" s="1007">
        <v>0</v>
      </c>
    </row>
    <row r="49" spans="1:4" hidden="1" x14ac:dyDescent="0.35">
      <c r="A49" s="997" t="s">
        <v>2787</v>
      </c>
      <c r="B49" s="1408">
        <v>4910436</v>
      </c>
      <c r="C49" s="1408">
        <v>4910436</v>
      </c>
      <c r="D49" s="1007">
        <v>0</v>
      </c>
    </row>
    <row r="50" spans="1:4" hidden="1" x14ac:dyDescent="0.35">
      <c r="A50" s="997" t="s">
        <v>1807</v>
      </c>
      <c r="B50" s="1408">
        <v>4800</v>
      </c>
      <c r="C50" s="1408">
        <v>4800</v>
      </c>
      <c r="D50" s="1007">
        <v>0</v>
      </c>
    </row>
    <row r="51" spans="1:4" hidden="1" x14ac:dyDescent="0.35">
      <c r="A51" s="997" t="s">
        <v>130</v>
      </c>
      <c r="B51" s="1408">
        <v>624947</v>
      </c>
      <c r="C51" s="1408">
        <v>624947</v>
      </c>
      <c r="D51" s="1007">
        <v>0</v>
      </c>
    </row>
    <row r="52" spans="1:4" hidden="1" x14ac:dyDescent="0.35">
      <c r="A52" s="997" t="s">
        <v>1691</v>
      </c>
      <c r="B52" s="1408">
        <v>13508</v>
      </c>
      <c r="C52" s="1408">
        <v>13508</v>
      </c>
      <c r="D52" s="1007">
        <v>0</v>
      </c>
    </row>
    <row r="53" spans="1:4" hidden="1" x14ac:dyDescent="0.35">
      <c r="A53" s="997" t="s">
        <v>6518</v>
      </c>
      <c r="B53" s="1408">
        <v>1058091</v>
      </c>
      <c r="C53" s="1408">
        <v>1058091</v>
      </c>
      <c r="D53" s="1007">
        <v>0</v>
      </c>
    </row>
    <row r="54" spans="1:4" hidden="1" x14ac:dyDescent="0.35">
      <c r="A54" s="997" t="s">
        <v>2023</v>
      </c>
      <c r="B54" s="1408">
        <v>290962</v>
      </c>
      <c r="C54" s="1408">
        <v>290962</v>
      </c>
      <c r="D54" s="1007">
        <v>0</v>
      </c>
    </row>
    <row r="55" spans="1:4" hidden="1" x14ac:dyDescent="0.35">
      <c r="A55" s="997" t="s">
        <v>7953</v>
      </c>
      <c r="B55" s="1408">
        <v>3636139</v>
      </c>
      <c r="C55" s="1408">
        <v>3636139</v>
      </c>
      <c r="D55" s="1007">
        <v>0</v>
      </c>
    </row>
    <row r="56" spans="1:4" hidden="1" x14ac:dyDescent="0.35">
      <c r="A56" s="997" t="s">
        <v>32</v>
      </c>
      <c r="B56" s="1408">
        <v>327433</v>
      </c>
      <c r="C56" s="1408">
        <v>327433</v>
      </c>
      <c r="D56" s="1007">
        <v>0</v>
      </c>
    </row>
    <row r="57" spans="1:4" hidden="1" x14ac:dyDescent="0.35">
      <c r="A57" s="997" t="s">
        <v>2094</v>
      </c>
      <c r="B57" s="1408">
        <v>148869</v>
      </c>
      <c r="C57" s="1408">
        <v>148869</v>
      </c>
      <c r="D57" s="1007">
        <v>0</v>
      </c>
    </row>
    <row r="58" spans="1:4" hidden="1" x14ac:dyDescent="0.35">
      <c r="A58" s="997" t="s">
        <v>2043</v>
      </c>
      <c r="B58" s="1408">
        <v>91259</v>
      </c>
      <c r="C58" s="1408">
        <v>91259</v>
      </c>
      <c r="D58" s="1007">
        <v>0</v>
      </c>
    </row>
    <row r="59" spans="1:4" hidden="1" x14ac:dyDescent="0.35">
      <c r="A59" s="997" t="s">
        <v>963</v>
      </c>
      <c r="B59" s="1408">
        <v>144342</v>
      </c>
      <c r="C59" s="1408">
        <v>144342</v>
      </c>
      <c r="D59" s="1007">
        <v>0</v>
      </c>
    </row>
    <row r="60" spans="1:4" hidden="1" x14ac:dyDescent="0.35">
      <c r="A60" s="997" t="s">
        <v>2263</v>
      </c>
      <c r="B60" s="1408">
        <v>81323</v>
      </c>
      <c r="C60" s="1408">
        <v>81323</v>
      </c>
      <c r="D60" s="1007">
        <v>0</v>
      </c>
    </row>
    <row r="61" spans="1:4" hidden="1" x14ac:dyDescent="0.35">
      <c r="A61" s="997" t="s">
        <v>39</v>
      </c>
      <c r="B61" s="1408">
        <v>65000</v>
      </c>
      <c r="C61" s="1408">
        <v>65000</v>
      </c>
      <c r="D61" s="1007">
        <v>0</v>
      </c>
    </row>
    <row r="62" spans="1:4" hidden="1" x14ac:dyDescent="0.35">
      <c r="A62" s="997" t="s">
        <v>2404</v>
      </c>
      <c r="B62" s="1408">
        <v>907</v>
      </c>
      <c r="C62" s="1408">
        <v>907</v>
      </c>
      <c r="D62" s="1007">
        <v>0</v>
      </c>
    </row>
    <row r="63" spans="1:4" hidden="1" x14ac:dyDescent="0.35">
      <c r="A63" s="997" t="s">
        <v>7112</v>
      </c>
      <c r="B63" s="1408">
        <v>565282</v>
      </c>
      <c r="C63" s="1408">
        <v>565282</v>
      </c>
      <c r="D63" s="1007">
        <v>0</v>
      </c>
    </row>
    <row r="64" spans="1:4" hidden="1" x14ac:dyDescent="0.35">
      <c r="A64" s="997" t="s">
        <v>2548</v>
      </c>
      <c r="B64" s="1408">
        <v>42578</v>
      </c>
      <c r="C64" s="1408">
        <v>42578</v>
      </c>
      <c r="D64" s="1007">
        <v>0</v>
      </c>
    </row>
    <row r="65" spans="1:4" hidden="1" x14ac:dyDescent="0.35">
      <c r="A65" s="997" t="s">
        <v>6647</v>
      </c>
      <c r="B65" s="1408"/>
      <c r="C65" s="1408"/>
      <c r="D65" s="1007">
        <v>0</v>
      </c>
    </row>
    <row r="66" spans="1:4" hidden="1" x14ac:dyDescent="0.35">
      <c r="A66" s="997" t="s">
        <v>2652</v>
      </c>
      <c r="B66" s="1408">
        <v>9647104</v>
      </c>
      <c r="C66" s="1408">
        <v>9647104</v>
      </c>
      <c r="D66" s="1007">
        <v>0</v>
      </c>
    </row>
    <row r="67" spans="1:4" hidden="1" x14ac:dyDescent="0.35">
      <c r="A67" s="997" t="s">
        <v>7921</v>
      </c>
      <c r="B67" s="1408">
        <v>3715694</v>
      </c>
      <c r="C67" s="1408">
        <v>3715694</v>
      </c>
      <c r="D67" s="1007">
        <v>0</v>
      </c>
    </row>
    <row r="68" spans="1:4" hidden="1" x14ac:dyDescent="0.35">
      <c r="A68" s="997" t="s">
        <v>2319</v>
      </c>
      <c r="B68" s="1408">
        <v>39773</v>
      </c>
      <c r="C68" s="1408">
        <v>39773</v>
      </c>
      <c r="D68" s="1007">
        <v>0</v>
      </c>
    </row>
    <row r="69" spans="1:4" hidden="1" x14ac:dyDescent="0.35">
      <c r="A69" s="997" t="s">
        <v>8077</v>
      </c>
      <c r="B69" s="1408">
        <v>142848</v>
      </c>
      <c r="C69" s="1408">
        <v>142848</v>
      </c>
      <c r="D69" s="1007">
        <v>0</v>
      </c>
    </row>
    <row r="70" spans="1:4" hidden="1" x14ac:dyDescent="0.35">
      <c r="A70" s="997" t="s">
        <v>3384</v>
      </c>
      <c r="B70" s="1408">
        <v>4145</v>
      </c>
      <c r="C70" s="1408">
        <v>4145</v>
      </c>
      <c r="D70" s="1007">
        <v>0</v>
      </c>
    </row>
    <row r="71" spans="1:4" hidden="1" x14ac:dyDescent="0.35">
      <c r="A71" s="997" t="s">
        <v>2933</v>
      </c>
      <c r="B71" s="1408">
        <v>6628809</v>
      </c>
      <c r="C71" s="1408">
        <v>6628809</v>
      </c>
      <c r="D71" s="1007">
        <v>0</v>
      </c>
    </row>
    <row r="72" spans="1:4" hidden="1" x14ac:dyDescent="0.35">
      <c r="A72" s="997" t="s">
        <v>3401</v>
      </c>
      <c r="B72" s="1408">
        <v>25920</v>
      </c>
      <c r="C72" s="1408">
        <v>25920</v>
      </c>
      <c r="D72" s="1007">
        <v>0</v>
      </c>
    </row>
    <row r="73" spans="1:4" hidden="1" x14ac:dyDescent="0.35">
      <c r="A73" s="997" t="s">
        <v>9507</v>
      </c>
      <c r="B73" s="1408">
        <v>69638</v>
      </c>
      <c r="C73" s="1408">
        <v>69638</v>
      </c>
      <c r="D73" s="1007">
        <v>0</v>
      </c>
    </row>
    <row r="74" spans="1:4" s="1008" customFormat="1" hidden="1" x14ac:dyDescent="0.35">
      <c r="A74" s="997" t="s">
        <v>3622</v>
      </c>
      <c r="B74" s="1408">
        <v>1205380</v>
      </c>
      <c r="C74" s="1408">
        <v>1205380</v>
      </c>
      <c r="D74" s="1007">
        <v>0</v>
      </c>
    </row>
    <row r="75" spans="1:4" hidden="1" x14ac:dyDescent="0.35">
      <c r="A75" s="997" t="s">
        <v>2089</v>
      </c>
      <c r="B75" s="1408">
        <v>64441</v>
      </c>
      <c r="C75" s="1408">
        <v>64441</v>
      </c>
      <c r="D75" s="1007">
        <v>0</v>
      </c>
    </row>
    <row r="76" spans="1:4" hidden="1" x14ac:dyDescent="0.35">
      <c r="A76" s="997" t="s">
        <v>1676</v>
      </c>
      <c r="B76" s="1408">
        <v>155133</v>
      </c>
      <c r="C76" s="1408">
        <v>155133</v>
      </c>
      <c r="D76" s="1007">
        <v>0</v>
      </c>
    </row>
    <row r="77" spans="1:4" hidden="1" x14ac:dyDescent="0.35">
      <c r="A77" s="997" t="s">
        <v>1215</v>
      </c>
      <c r="B77" s="1408">
        <v>258956</v>
      </c>
      <c r="C77" s="1408">
        <v>258956</v>
      </c>
      <c r="D77" s="1007">
        <v>0</v>
      </c>
    </row>
    <row r="78" spans="1:4" hidden="1" x14ac:dyDescent="0.35">
      <c r="A78" s="997" t="s">
        <v>18</v>
      </c>
      <c r="B78" s="1408">
        <v>150590</v>
      </c>
      <c r="C78" s="1408">
        <v>150590</v>
      </c>
      <c r="D78" s="1007">
        <v>0</v>
      </c>
    </row>
    <row r="79" spans="1:4" hidden="1" x14ac:dyDescent="0.35">
      <c r="A79" s="997" t="s">
        <v>44</v>
      </c>
      <c r="B79" s="1408">
        <v>10000</v>
      </c>
      <c r="C79" s="1408">
        <v>10000</v>
      </c>
      <c r="D79" s="1007">
        <v>0</v>
      </c>
    </row>
    <row r="80" spans="1:4" hidden="1" x14ac:dyDescent="0.35">
      <c r="A80" s="997" t="s">
        <v>2649</v>
      </c>
      <c r="B80" s="1408">
        <v>202856</v>
      </c>
      <c r="C80" s="1408">
        <v>202856</v>
      </c>
      <c r="D80" s="1007">
        <v>0</v>
      </c>
    </row>
    <row r="81" spans="1:4" hidden="1" x14ac:dyDescent="0.35">
      <c r="A81" s="997" t="s">
        <v>11075</v>
      </c>
      <c r="B81" s="1408">
        <v>900642</v>
      </c>
      <c r="C81" s="1408">
        <v>900642</v>
      </c>
      <c r="D81" s="1007">
        <v>0</v>
      </c>
    </row>
    <row r="82" spans="1:4" hidden="1" x14ac:dyDescent="0.35">
      <c r="A82" s="997" t="s">
        <v>4884</v>
      </c>
      <c r="B82" s="1408">
        <v>262657</v>
      </c>
      <c r="C82" s="1408">
        <v>262657</v>
      </c>
      <c r="D82" s="1007">
        <v>0</v>
      </c>
    </row>
    <row r="83" spans="1:4" hidden="1" x14ac:dyDescent="0.35">
      <c r="A83" s="997" t="s">
        <v>37</v>
      </c>
      <c r="B83" s="1408">
        <v>74360</v>
      </c>
      <c r="C83" s="1408">
        <v>74360</v>
      </c>
      <c r="D83" s="1007">
        <v>0</v>
      </c>
    </row>
    <row r="84" spans="1:4" hidden="1" x14ac:dyDescent="0.35">
      <c r="A84" s="997" t="s">
        <v>5052</v>
      </c>
      <c r="B84" s="1408">
        <v>206944</v>
      </c>
      <c r="C84" s="1408">
        <v>206944</v>
      </c>
      <c r="D84" s="1007">
        <v>0</v>
      </c>
    </row>
    <row r="85" spans="1:4" hidden="1" x14ac:dyDescent="0.35">
      <c r="A85" s="997" t="s">
        <v>7555</v>
      </c>
      <c r="B85" s="1408">
        <v>1012779</v>
      </c>
      <c r="C85" s="1408">
        <v>1012779</v>
      </c>
      <c r="D85" s="1007">
        <v>0</v>
      </c>
    </row>
    <row r="86" spans="1:4" hidden="1" x14ac:dyDescent="0.35">
      <c r="A86" s="997" t="s">
        <v>4814</v>
      </c>
      <c r="B86" s="1408">
        <v>15712</v>
      </c>
      <c r="C86" s="1408">
        <v>15712</v>
      </c>
      <c r="D86" s="1007">
        <v>0</v>
      </c>
    </row>
    <row r="87" spans="1:4" hidden="1" x14ac:dyDescent="0.35">
      <c r="A87" s="997" t="s">
        <v>7126</v>
      </c>
      <c r="B87" s="1408"/>
      <c r="C87" s="1408"/>
      <c r="D87" s="1007">
        <v>0</v>
      </c>
    </row>
    <row r="88" spans="1:4" hidden="1" x14ac:dyDescent="0.35">
      <c r="A88" s="997" t="s">
        <v>5227</v>
      </c>
      <c r="B88" s="1408">
        <v>862774</v>
      </c>
      <c r="C88" s="1408">
        <v>862774</v>
      </c>
      <c r="D88" s="1007">
        <v>0</v>
      </c>
    </row>
    <row r="89" spans="1:4" hidden="1" x14ac:dyDescent="0.35">
      <c r="A89" s="997" t="s">
        <v>7732</v>
      </c>
      <c r="B89" s="1408">
        <v>221361</v>
      </c>
      <c r="C89" s="1408">
        <v>221361</v>
      </c>
      <c r="D89" s="1007">
        <v>0</v>
      </c>
    </row>
    <row r="90" spans="1:4" hidden="1" x14ac:dyDescent="0.35">
      <c r="A90" s="997" t="s">
        <v>5320</v>
      </c>
      <c r="B90" s="1408">
        <v>52679</v>
      </c>
      <c r="C90" s="1408">
        <v>52679</v>
      </c>
      <c r="D90" s="1007">
        <v>0</v>
      </c>
    </row>
    <row r="91" spans="1:4" hidden="1" x14ac:dyDescent="0.35">
      <c r="A91" s="997" t="s">
        <v>7817</v>
      </c>
      <c r="B91" s="1408">
        <v>136445</v>
      </c>
      <c r="C91" s="1408">
        <v>136445</v>
      </c>
      <c r="D91" s="1007">
        <v>0</v>
      </c>
    </row>
    <row r="92" spans="1:4" hidden="1" x14ac:dyDescent="0.35">
      <c r="A92" s="997" t="s">
        <v>5548</v>
      </c>
      <c r="B92" s="1408">
        <v>202398</v>
      </c>
      <c r="C92" s="1408">
        <v>202398</v>
      </c>
      <c r="D92" s="1007">
        <v>0</v>
      </c>
    </row>
    <row r="93" spans="1:4" hidden="1" x14ac:dyDescent="0.35">
      <c r="A93" s="997" t="s">
        <v>3945</v>
      </c>
      <c r="B93" s="1408">
        <v>5200</v>
      </c>
      <c r="C93" s="1408">
        <v>5200</v>
      </c>
      <c r="D93" s="1007">
        <v>0</v>
      </c>
    </row>
    <row r="94" spans="1:4" hidden="1" x14ac:dyDescent="0.35">
      <c r="A94" s="997" t="s">
        <v>5709</v>
      </c>
      <c r="B94" s="1408">
        <v>189460</v>
      </c>
      <c r="C94" s="1408">
        <v>189460</v>
      </c>
      <c r="D94" s="1007">
        <v>0</v>
      </c>
    </row>
    <row r="95" spans="1:4" hidden="1" x14ac:dyDescent="0.35">
      <c r="A95" s="997" t="s">
        <v>8043</v>
      </c>
      <c r="B95" s="1408">
        <v>11932427</v>
      </c>
      <c r="C95" s="1408">
        <v>11932427</v>
      </c>
      <c r="D95" s="1007">
        <v>0</v>
      </c>
    </row>
    <row r="96" spans="1:4" hidden="1" x14ac:dyDescent="0.35">
      <c r="A96" s="997" t="s">
        <v>5720</v>
      </c>
      <c r="B96" s="1408">
        <v>271758</v>
      </c>
      <c r="C96" s="1408">
        <v>271758</v>
      </c>
      <c r="D96" s="1007">
        <v>0</v>
      </c>
    </row>
    <row r="97" spans="1:4" hidden="1" x14ac:dyDescent="0.35">
      <c r="A97" s="997" t="s">
        <v>673</v>
      </c>
      <c r="B97" s="1408">
        <v>629934</v>
      </c>
      <c r="C97" s="1408">
        <v>629934</v>
      </c>
      <c r="D97" s="1007">
        <v>0</v>
      </c>
    </row>
    <row r="98" spans="1:4" hidden="1" x14ac:dyDescent="0.35">
      <c r="A98" s="997" t="s">
        <v>5729</v>
      </c>
      <c r="B98" s="1408">
        <v>20800</v>
      </c>
      <c r="C98" s="1408">
        <v>20800</v>
      </c>
      <c r="D98" s="1007">
        <v>0</v>
      </c>
    </row>
    <row r="99" spans="1:4" hidden="1" x14ac:dyDescent="0.35">
      <c r="A99" s="997" t="s">
        <v>8532</v>
      </c>
      <c r="B99" s="1408">
        <v>235522</v>
      </c>
      <c r="C99" s="1408">
        <v>235522</v>
      </c>
      <c r="D99" s="1007">
        <v>0</v>
      </c>
    </row>
    <row r="100" spans="1:4" hidden="1" x14ac:dyDescent="0.35">
      <c r="A100" s="997" t="s">
        <v>5811</v>
      </c>
      <c r="B100" s="1408">
        <v>317719</v>
      </c>
      <c r="C100" s="1408">
        <v>317719</v>
      </c>
      <c r="D100" s="1007">
        <v>0</v>
      </c>
    </row>
    <row r="101" spans="1:4" hidden="1" x14ac:dyDescent="0.35">
      <c r="A101" s="997" t="s">
        <v>2227</v>
      </c>
      <c r="B101" s="1408">
        <v>381380</v>
      </c>
      <c r="C101" s="1408">
        <v>381380</v>
      </c>
      <c r="D101" s="1007">
        <v>0</v>
      </c>
    </row>
    <row r="102" spans="1:4" hidden="1" x14ac:dyDescent="0.35">
      <c r="A102" s="997" t="s">
        <v>2271</v>
      </c>
      <c r="B102" s="1408">
        <v>166908</v>
      </c>
      <c r="C102" s="1408">
        <v>166908</v>
      </c>
      <c r="D102" s="1007">
        <v>0</v>
      </c>
    </row>
    <row r="103" spans="1:4" hidden="1" x14ac:dyDescent="0.35">
      <c r="A103" s="997" t="s">
        <v>9409</v>
      </c>
      <c r="B103" s="1408">
        <v>1080276</v>
      </c>
      <c r="C103" s="1408">
        <v>1080276</v>
      </c>
      <c r="D103" s="1007">
        <v>0</v>
      </c>
    </row>
    <row r="104" spans="1:4" hidden="1" x14ac:dyDescent="0.35">
      <c r="A104" s="997" t="s">
        <v>6248</v>
      </c>
      <c r="B104" s="1408">
        <v>64600</v>
      </c>
      <c r="C104" s="1408">
        <v>64600</v>
      </c>
      <c r="D104" s="1007">
        <v>0</v>
      </c>
    </row>
    <row r="105" spans="1:4" hidden="1" x14ac:dyDescent="0.35">
      <c r="A105" s="997" t="s">
        <v>1397</v>
      </c>
      <c r="B105" s="1408">
        <v>3227014</v>
      </c>
      <c r="C105" s="1408">
        <v>3227014</v>
      </c>
      <c r="D105" s="1007">
        <v>0</v>
      </c>
    </row>
    <row r="106" spans="1:4" hidden="1" x14ac:dyDescent="0.35">
      <c r="A106" s="997" t="s">
        <v>129</v>
      </c>
      <c r="B106" s="1408">
        <v>276956</v>
      </c>
      <c r="C106" s="1408">
        <v>276956</v>
      </c>
      <c r="D106" s="1007">
        <v>0</v>
      </c>
    </row>
    <row r="107" spans="1:4" hidden="1" x14ac:dyDescent="0.35">
      <c r="A107" s="997" t="s">
        <v>465</v>
      </c>
      <c r="B107" s="1408">
        <v>3188510</v>
      </c>
      <c r="C107" s="1408">
        <v>3188510</v>
      </c>
      <c r="D107" s="1007">
        <v>0</v>
      </c>
    </row>
    <row r="108" spans="1:4" hidden="1" x14ac:dyDescent="0.35">
      <c r="A108" s="997" t="s">
        <v>6507</v>
      </c>
      <c r="B108" s="1408">
        <v>74613</v>
      </c>
      <c r="C108" s="1408">
        <v>74613</v>
      </c>
      <c r="D108" s="1007">
        <v>0</v>
      </c>
    </row>
    <row r="109" spans="1:4" hidden="1" x14ac:dyDescent="0.35">
      <c r="A109" s="997" t="s">
        <v>10151</v>
      </c>
      <c r="B109" s="1408">
        <v>2384019</v>
      </c>
      <c r="C109" s="1408">
        <v>2384019</v>
      </c>
      <c r="D109" s="1007">
        <v>0</v>
      </c>
    </row>
    <row r="110" spans="1:4" hidden="1" x14ac:dyDescent="0.35">
      <c r="A110" s="997" t="s">
        <v>1203</v>
      </c>
      <c r="B110" s="1408">
        <v>59350</v>
      </c>
      <c r="C110" s="1408">
        <v>59350</v>
      </c>
      <c r="D110" s="1007">
        <v>0</v>
      </c>
    </row>
    <row r="111" spans="1:4" hidden="1" x14ac:dyDescent="0.35">
      <c r="A111" s="997" t="s">
        <v>1493</v>
      </c>
      <c r="B111" s="1408">
        <v>188750</v>
      </c>
      <c r="C111" s="1408">
        <v>188750</v>
      </c>
      <c r="D111" s="1007">
        <v>0</v>
      </c>
    </row>
    <row r="112" spans="1:4" hidden="1" x14ac:dyDescent="0.35">
      <c r="A112" s="997" t="s">
        <v>1206</v>
      </c>
      <c r="B112" s="1408">
        <v>263340</v>
      </c>
      <c r="C112" s="1408">
        <v>263340</v>
      </c>
      <c r="D112" s="1007">
        <v>0</v>
      </c>
    </row>
    <row r="113" spans="1:4" hidden="1" x14ac:dyDescent="0.35">
      <c r="A113" s="997" t="s">
        <v>1399</v>
      </c>
      <c r="B113" s="1408">
        <v>54635</v>
      </c>
      <c r="C113" s="1408">
        <v>54635</v>
      </c>
      <c r="D113" s="1007">
        <v>0</v>
      </c>
    </row>
    <row r="114" spans="1:4" hidden="1" x14ac:dyDescent="0.35">
      <c r="A114" s="997" t="s">
        <v>6511</v>
      </c>
      <c r="B114" s="1408">
        <v>1741940</v>
      </c>
      <c r="C114" s="1408">
        <v>1741940</v>
      </c>
      <c r="D114" s="1007">
        <v>0</v>
      </c>
    </row>
    <row r="115" spans="1:4" hidden="1" x14ac:dyDescent="0.35">
      <c r="A115" s="997" t="s">
        <v>7807</v>
      </c>
      <c r="B115" s="1408">
        <v>1072490</v>
      </c>
      <c r="C115" s="1408">
        <v>1072490</v>
      </c>
      <c r="D115" s="1007">
        <v>0</v>
      </c>
    </row>
    <row r="116" spans="1:4" hidden="1" x14ac:dyDescent="0.35">
      <c r="A116" s="997" t="s">
        <v>6720</v>
      </c>
      <c r="B116" s="1408">
        <v>270400</v>
      </c>
      <c r="C116" s="1408">
        <v>270400</v>
      </c>
      <c r="D116" s="1007">
        <v>0</v>
      </c>
    </row>
    <row r="117" spans="1:4" hidden="1" x14ac:dyDescent="0.35">
      <c r="A117" s="997" t="s">
        <v>769</v>
      </c>
      <c r="B117" s="1408">
        <v>190145</v>
      </c>
      <c r="C117" s="1408">
        <v>190145</v>
      </c>
      <c r="D117" s="1007">
        <v>0</v>
      </c>
    </row>
    <row r="118" spans="1:4" hidden="1" x14ac:dyDescent="0.35">
      <c r="A118" s="997" t="s">
        <v>6955</v>
      </c>
      <c r="B118" s="1408">
        <v>975613</v>
      </c>
      <c r="C118" s="1408">
        <v>975613</v>
      </c>
      <c r="D118" s="1007">
        <v>0</v>
      </c>
    </row>
    <row r="119" spans="1:4" hidden="1" x14ac:dyDescent="0.35">
      <c r="A119" s="997" t="s">
        <v>10379</v>
      </c>
      <c r="B119" s="1408">
        <v>1329980</v>
      </c>
      <c r="C119" s="1408">
        <v>1329980</v>
      </c>
      <c r="D119" s="1007">
        <v>0</v>
      </c>
    </row>
    <row r="120" spans="1:4" x14ac:dyDescent="0.35">
      <c r="A120" s="997" t="s">
        <v>11271</v>
      </c>
      <c r="B120" s="1408">
        <v>34476</v>
      </c>
      <c r="C120" s="1408">
        <v>34476</v>
      </c>
      <c r="D120" s="1007">
        <v>0</v>
      </c>
    </row>
    <row r="121" spans="1:4" x14ac:dyDescent="0.35">
      <c r="A121" s="997" t="s">
        <v>11007</v>
      </c>
      <c r="B121" s="1408">
        <v>69890</v>
      </c>
      <c r="C121" s="1408">
        <v>69890</v>
      </c>
      <c r="D121" s="1007">
        <v>0</v>
      </c>
    </row>
    <row r="122" spans="1:4" x14ac:dyDescent="0.35">
      <c r="A122" s="997" t="s">
        <v>160</v>
      </c>
      <c r="B122" s="1408">
        <v>7375</v>
      </c>
      <c r="C122" s="1408">
        <v>7375</v>
      </c>
      <c r="D122" s="1007">
        <v>0</v>
      </c>
    </row>
    <row r="123" spans="1:4" x14ac:dyDescent="0.35">
      <c r="A123" s="997" t="s">
        <v>38</v>
      </c>
      <c r="B123" s="1408">
        <v>110704</v>
      </c>
      <c r="C123" s="1408">
        <v>110704</v>
      </c>
      <c r="D123" s="1007">
        <v>0</v>
      </c>
    </row>
    <row r="124" spans="1:4" x14ac:dyDescent="0.35">
      <c r="A124" s="997" t="s">
        <v>395</v>
      </c>
      <c r="B124" s="1408">
        <v>51141</v>
      </c>
      <c r="C124" s="1408">
        <v>51141</v>
      </c>
      <c r="D124" s="1007">
        <v>0</v>
      </c>
    </row>
    <row r="125" spans="1:4" x14ac:dyDescent="0.35">
      <c r="A125" s="997" t="s">
        <v>82</v>
      </c>
      <c r="B125" s="1408">
        <v>732794</v>
      </c>
      <c r="C125" s="1408">
        <v>732794</v>
      </c>
      <c r="D125" s="1007">
        <v>0</v>
      </c>
    </row>
    <row r="126" spans="1:4" x14ac:dyDescent="0.35">
      <c r="A126" s="997" t="s">
        <v>3946</v>
      </c>
      <c r="B126" s="1408">
        <v>514945</v>
      </c>
      <c r="C126" s="1408">
        <v>514945</v>
      </c>
      <c r="D126" s="1007">
        <v>0</v>
      </c>
    </row>
    <row r="127" spans="1:4" x14ac:dyDescent="0.35">
      <c r="A127" s="997" t="s">
        <v>14</v>
      </c>
      <c r="B127" s="1408">
        <v>53258</v>
      </c>
      <c r="C127" s="1408">
        <v>53258</v>
      </c>
      <c r="D127" s="1007">
        <v>0</v>
      </c>
    </row>
    <row r="128" spans="1:4" x14ac:dyDescent="0.35">
      <c r="A128" s="997" t="s">
        <v>7067</v>
      </c>
      <c r="B128" s="1408">
        <v>1567993</v>
      </c>
      <c r="C128" s="1408">
        <v>1567993</v>
      </c>
      <c r="D128" s="1007">
        <v>0</v>
      </c>
    </row>
    <row r="129" spans="1:4" x14ac:dyDescent="0.35">
      <c r="A129" s="997" t="s">
        <v>10122</v>
      </c>
      <c r="B129" s="1408">
        <v>80000</v>
      </c>
      <c r="C129" s="1408">
        <v>80000</v>
      </c>
      <c r="D129" s="1007">
        <v>0</v>
      </c>
    </row>
    <row r="130" spans="1:4" x14ac:dyDescent="0.35">
      <c r="A130" s="997" t="s">
        <v>36</v>
      </c>
      <c r="B130" s="1408">
        <v>11281</v>
      </c>
      <c r="C130" s="1408">
        <v>11281</v>
      </c>
      <c r="D130" s="1007">
        <v>0</v>
      </c>
    </row>
    <row r="131" spans="1:4" x14ac:dyDescent="0.35">
      <c r="A131" s="997" t="s">
        <v>154</v>
      </c>
      <c r="B131" s="1408">
        <v>252400</v>
      </c>
      <c r="C131" s="1408">
        <v>252400</v>
      </c>
      <c r="D131" s="1007">
        <v>0</v>
      </c>
    </row>
    <row r="132" spans="1:4" x14ac:dyDescent="0.35">
      <c r="A132" s="997" t="s">
        <v>171</v>
      </c>
      <c r="B132" s="1408">
        <v>46541</v>
      </c>
      <c r="C132" s="1408">
        <v>46541</v>
      </c>
      <c r="D132" s="1007">
        <v>0</v>
      </c>
    </row>
    <row r="133" spans="1:4" x14ac:dyDescent="0.35">
      <c r="A133" s="997" t="s">
        <v>6505</v>
      </c>
      <c r="B133" s="1408">
        <v>156073</v>
      </c>
      <c r="C133" s="1408">
        <v>156073</v>
      </c>
      <c r="D133" s="1007">
        <v>0</v>
      </c>
    </row>
    <row r="134" spans="1:4" x14ac:dyDescent="0.35">
      <c r="A134" s="997" t="s">
        <v>7657</v>
      </c>
      <c r="B134" s="1408">
        <v>1303060</v>
      </c>
      <c r="C134" s="1408">
        <v>1303060</v>
      </c>
      <c r="D134" s="1007">
        <v>0</v>
      </c>
    </row>
    <row r="135" spans="1:4" x14ac:dyDescent="0.35">
      <c r="A135" s="997" t="s">
        <v>3733</v>
      </c>
      <c r="B135" s="1408">
        <v>633124</v>
      </c>
      <c r="C135" s="1408">
        <v>633124</v>
      </c>
      <c r="D135" s="1007">
        <v>0</v>
      </c>
    </row>
    <row r="136" spans="1:4" x14ac:dyDescent="0.35">
      <c r="A136" s="997" t="s">
        <v>6103</v>
      </c>
      <c r="B136" s="1408">
        <v>126398</v>
      </c>
      <c r="C136" s="1408">
        <v>126398</v>
      </c>
      <c r="D136" s="1007">
        <v>0</v>
      </c>
    </row>
    <row r="137" spans="1:4" x14ac:dyDescent="0.35">
      <c r="A137" s="997" t="s">
        <v>40</v>
      </c>
      <c r="B137" s="1408">
        <v>4932021</v>
      </c>
      <c r="C137" s="1408">
        <v>4949540</v>
      </c>
      <c r="D137" s="1007">
        <v>-17519</v>
      </c>
    </row>
    <row r="138" spans="1:4" ht="24" thickBot="1" x14ac:dyDescent="0.4">
      <c r="A138" s="997" t="s">
        <v>75</v>
      </c>
      <c r="B138" s="1408">
        <v>65754</v>
      </c>
      <c r="C138" s="1408">
        <v>3236297</v>
      </c>
      <c r="D138" s="1007">
        <v>-3170543</v>
      </c>
    </row>
    <row r="139" spans="1:4" ht="24" thickBot="1" x14ac:dyDescent="0.4">
      <c r="A139" s="1009" t="s">
        <v>45</v>
      </c>
      <c r="B139" s="1010">
        <v>242746473.5</v>
      </c>
      <c r="C139" s="1011">
        <v>232994216</v>
      </c>
      <c r="D139" s="1012">
        <v>9752257.5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5" sqref="C2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4" t="s">
        <v>10314</v>
      </c>
      <c r="B4" s="1255"/>
      <c r="C4" s="1256"/>
      <c r="E4" s="1254" t="s">
        <v>8022</v>
      </c>
      <c r="F4" s="1255"/>
      <c r="G4" s="1256"/>
      <c r="I4" s="1254" t="s">
        <v>7088</v>
      </c>
      <c r="J4" s="1255"/>
      <c r="K4" s="1256"/>
      <c r="M4" s="1254" t="s">
        <v>6017</v>
      </c>
      <c r="N4" s="1255"/>
      <c r="O4" s="1256"/>
      <c r="Q4" s="1254" t="s">
        <v>5069</v>
      </c>
      <c r="R4" s="1255"/>
      <c r="S4" s="1256"/>
      <c r="U4" s="1254" t="s">
        <v>3663</v>
      </c>
      <c r="V4" s="1255"/>
      <c r="W4" s="1256"/>
      <c r="Y4" s="1254" t="s">
        <v>2640</v>
      </c>
      <c r="Z4" s="1255"/>
      <c r="AA4" s="1256"/>
      <c r="AC4" s="1260" t="s">
        <v>6019</v>
      </c>
      <c r="AD4" s="1261"/>
      <c r="AE4" s="1262"/>
      <c r="AG4" s="1277" t="s">
        <v>1085</v>
      </c>
      <c r="AH4" s="1278"/>
      <c r="AI4" s="1279"/>
    </row>
    <row r="5" spans="1:42" ht="21" customHeight="1" x14ac:dyDescent="0.25">
      <c r="A5" s="1257"/>
      <c r="B5" s="1258"/>
      <c r="C5" s="1259"/>
      <c r="E5" s="1257"/>
      <c r="F5" s="1258"/>
      <c r="G5" s="1259"/>
      <c r="I5" s="1257"/>
      <c r="J5" s="1258"/>
      <c r="K5" s="1259"/>
      <c r="M5" s="1257"/>
      <c r="N5" s="1258"/>
      <c r="O5" s="1259"/>
      <c r="Q5" s="1257"/>
      <c r="R5" s="1258"/>
      <c r="S5" s="1259"/>
      <c r="U5" s="1257"/>
      <c r="V5" s="1258"/>
      <c r="W5" s="1259"/>
      <c r="Y5" s="1257"/>
      <c r="Z5" s="1258"/>
      <c r="AA5" s="1259"/>
      <c r="AB5" s="3"/>
      <c r="AC5" s="1263"/>
      <c r="AD5" s="1264"/>
      <c r="AE5" s="1265"/>
      <c r="AG5" s="1277"/>
      <c r="AH5" s="1278"/>
      <c r="AI5" s="1279"/>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15289495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SUM(Posting!E19010:E29130)</f>
        <v>13030245.951612903</v>
      </c>
      <c r="C16" s="276">
        <f>SUM(Posting!F19010:F29130)</f>
        <v>27437972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SUM(Posting!B15267:B22943)</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241206315.26937336</v>
      </c>
      <c r="C19" s="279">
        <f>SUM(C7:C18)</f>
        <v>302011439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60805123.730626643</v>
      </c>
      <c r="G21" s="699">
        <f>G19-F19</f>
        <v>46800541.815737337</v>
      </c>
      <c r="K21" s="699">
        <f>K19-J19</f>
        <v>15703108.030833334</v>
      </c>
      <c r="O21" s="3">
        <f>O19-N19</f>
        <v>12408423.384024575</v>
      </c>
      <c r="Z21" s="3"/>
    </row>
    <row r="22" spans="1:37" ht="15.75" x14ac:dyDescent="0.25">
      <c r="A22" s="1280"/>
      <c r="B22" s="1280"/>
      <c r="C22" s="1"/>
      <c r="G22" s="699"/>
      <c r="I22" s="1280" t="s">
        <v>7707</v>
      </c>
      <c r="J22" s="1280"/>
      <c r="K22" s="1">
        <v>2831635</v>
      </c>
      <c r="Q22" s="3">
        <f>O19-N19</f>
        <v>12408423.384024575</v>
      </c>
      <c r="U22" s="3"/>
      <c r="V22" s="3"/>
      <c r="Y22" s="3"/>
      <c r="AC22" s="3"/>
      <c r="AG22" s="3"/>
    </row>
    <row r="23" spans="1:37" ht="15.75" customHeight="1" x14ac:dyDescent="0.3">
      <c r="A23" s="1280"/>
      <c r="B23" s="1280"/>
      <c r="C23" s="1"/>
      <c r="E23" s="1281" t="s">
        <v>11407</v>
      </c>
      <c r="F23" s="1281"/>
      <c r="G23" s="1281"/>
      <c r="I23" s="1280" t="s">
        <v>7708</v>
      </c>
      <c r="J23" s="1280"/>
      <c r="K23" s="1">
        <v>476160</v>
      </c>
      <c r="Q23" s="1">
        <v>12408423</v>
      </c>
      <c r="S23" s="3"/>
      <c r="U23" s="1"/>
      <c r="Y23" s="1"/>
      <c r="AC23" s="1"/>
      <c r="AG23" s="1"/>
    </row>
    <row r="24" spans="1:37" ht="21" x14ac:dyDescent="0.25">
      <c r="A24" s="1280"/>
      <c r="B24" s="1280"/>
      <c r="C24" s="1"/>
      <c r="E24" s="1057" t="s">
        <v>892</v>
      </c>
      <c r="F24" s="1057" t="s">
        <v>3</v>
      </c>
      <c r="G24" s="1057" t="s">
        <v>4</v>
      </c>
      <c r="I24" s="1280" t="s">
        <v>8180</v>
      </c>
      <c r="J24" s="1280"/>
      <c r="K24" s="1">
        <v>2434251</v>
      </c>
    </row>
    <row r="25" spans="1:37" ht="18.75" x14ac:dyDescent="0.25">
      <c r="C25" s="3"/>
      <c r="E25" s="2" t="s">
        <v>11409</v>
      </c>
      <c r="F25" s="1022">
        <f ca="1">SUMIF(Posting!$B:$E,"Meezan Bank Head Office",Posting!$E:$E)</f>
        <v>28862075</v>
      </c>
      <c r="G25" s="1022">
        <f ca="1">SUMIF(Posting!$B:$F,"Meezan Bank Head Office",Posting!$F:$F)</f>
        <v>19830000</v>
      </c>
      <c r="K25" s="3">
        <f>K21-K22-K23-K24</f>
        <v>9961062.0308333337</v>
      </c>
    </row>
    <row r="26" spans="1:37" ht="18.75" x14ac:dyDescent="0.25">
      <c r="E26" s="2" t="s">
        <v>11408</v>
      </c>
      <c r="F26" s="1022">
        <f ca="1">SUMIF(Posting!$B:$E,"Saifee Hospital",Posting!$E:$E)</f>
        <v>3264240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120168640.60426268</v>
      </c>
      <c r="G28" s="279">
        <f ca="1">G19-G25-G26</f>
        <v>174931246.42000002</v>
      </c>
      <c r="K28" s="3"/>
    </row>
    <row r="29" spans="1:37" x14ac:dyDescent="0.25">
      <c r="F29" s="1"/>
      <c r="G29" s="3"/>
    </row>
    <row r="30" spans="1:37" ht="15.75" x14ac:dyDescent="0.25">
      <c r="B30" s="3"/>
      <c r="G30" s="699">
        <f ca="1">G28-F28</f>
        <v>54762605.815737337</v>
      </c>
    </row>
    <row r="32" spans="1:37" x14ac:dyDescent="0.25">
      <c r="F32" s="3"/>
    </row>
    <row r="37" spans="32:42" ht="15.75" thickBot="1" x14ac:dyDescent="0.3"/>
    <row r="38" spans="32:42" ht="15" customHeight="1" x14ac:dyDescent="0.25">
      <c r="AF38" s="1268" t="s">
        <v>2641</v>
      </c>
      <c r="AG38" s="1269"/>
      <c r="AH38" s="1269"/>
      <c r="AI38" s="1269"/>
      <c r="AJ38" s="1269"/>
      <c r="AK38" s="1269"/>
      <c r="AL38" s="1269"/>
      <c r="AM38" s="1269"/>
      <c r="AN38" s="1269"/>
      <c r="AO38" s="1269"/>
      <c r="AP38" s="1270"/>
    </row>
    <row r="39" spans="32:42" ht="15" customHeight="1" x14ac:dyDescent="0.25">
      <c r="AF39" s="1271"/>
      <c r="AG39" s="1272"/>
      <c r="AH39" s="1272"/>
      <c r="AI39" s="1272"/>
      <c r="AJ39" s="1272"/>
      <c r="AK39" s="1272"/>
      <c r="AL39" s="1272"/>
      <c r="AM39" s="1272"/>
      <c r="AN39" s="1272"/>
      <c r="AO39" s="1272"/>
      <c r="AP39" s="1273"/>
    </row>
    <row r="40" spans="32:42" ht="15.75" thickBot="1" x14ac:dyDescent="0.3">
      <c r="AF40" s="1274"/>
      <c r="AG40" s="1275"/>
      <c r="AH40" s="1275"/>
      <c r="AI40" s="1275"/>
      <c r="AJ40" s="1275"/>
      <c r="AK40" s="1275"/>
      <c r="AL40" s="1275"/>
      <c r="AM40" s="1275"/>
      <c r="AN40" s="1275"/>
      <c r="AO40" s="1275"/>
      <c r="AP40" s="1276"/>
    </row>
    <row r="41" spans="32:42" ht="14.45" customHeight="1" x14ac:dyDescent="0.25">
      <c r="AN41" s="1266" t="s">
        <v>2640</v>
      </c>
      <c r="AO41" s="1266"/>
      <c r="AP41" s="1266"/>
    </row>
    <row r="42" spans="32:42" ht="26.25" customHeight="1" x14ac:dyDescent="0.25">
      <c r="AN42" s="1267"/>
      <c r="AO42" s="1267"/>
      <c r="AP42" s="1267"/>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8" t="s">
        <v>1201</v>
      </c>
      <c r="AG58" s="1249"/>
      <c r="AH58" s="1250"/>
    </row>
    <row r="59" spans="32:42" ht="15" hidden="1" customHeight="1" x14ac:dyDescent="0.25">
      <c r="AF59" s="1251"/>
      <c r="AG59" s="1252"/>
      <c r="AH59" s="1253"/>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4" t="s">
        <v>1767</v>
      </c>
      <c r="B1" s="1304"/>
      <c r="C1" s="1304"/>
      <c r="D1" s="1304"/>
      <c r="E1" s="1304"/>
      <c r="F1" s="1304"/>
      <c r="G1" s="1304"/>
      <c r="H1" s="1304"/>
      <c r="I1" s="1304"/>
      <c r="J1" s="1304"/>
      <c r="K1" s="1304"/>
      <c r="L1" s="1304"/>
      <c r="M1" s="1304"/>
      <c r="N1" s="1304"/>
    </row>
    <row r="2" spans="1:14" ht="14.45" customHeight="1" x14ac:dyDescent="0.25">
      <c r="A2" s="1304"/>
      <c r="B2" s="1304"/>
      <c r="C2" s="1304"/>
      <c r="D2" s="1304"/>
      <c r="E2" s="1304"/>
      <c r="F2" s="1304"/>
      <c r="G2" s="1304"/>
      <c r="H2" s="1304"/>
      <c r="I2" s="1304"/>
      <c r="J2" s="1304"/>
      <c r="K2" s="1304"/>
      <c r="L2" s="1304"/>
      <c r="M2" s="1304"/>
      <c r="N2" s="1304"/>
    </row>
    <row r="3" spans="1:14" ht="14.45" customHeight="1" x14ac:dyDescent="0.25">
      <c r="A3" s="1305" t="s">
        <v>4713</v>
      </c>
      <c r="B3" s="1305"/>
      <c r="C3" s="1305"/>
      <c r="D3" s="1305"/>
      <c r="E3" s="1305"/>
      <c r="F3" s="1305"/>
      <c r="G3" s="1305"/>
      <c r="H3" s="1305"/>
      <c r="I3" s="1305"/>
      <c r="J3" s="1305"/>
      <c r="K3" s="1305"/>
      <c r="L3" s="1305"/>
      <c r="M3" s="1305"/>
      <c r="N3" s="1305"/>
    </row>
    <row r="4" spans="1:14" ht="14.45" customHeight="1" x14ac:dyDescent="0.25">
      <c r="A4" s="1305"/>
      <c r="B4" s="1305"/>
      <c r="C4" s="1305"/>
      <c r="D4" s="1305"/>
      <c r="E4" s="1305"/>
      <c r="F4" s="1305"/>
      <c r="G4" s="1305"/>
      <c r="H4" s="1305"/>
      <c r="I4" s="1305"/>
      <c r="J4" s="1305"/>
      <c r="K4" s="1305"/>
      <c r="L4" s="1305"/>
      <c r="M4" s="1305"/>
      <c r="N4" s="1305"/>
    </row>
    <row r="6" spans="1:14" x14ac:dyDescent="0.25">
      <c r="A6" s="1291" t="s">
        <v>5990</v>
      </c>
      <c r="B6" s="1291"/>
      <c r="C6" s="1291"/>
      <c r="D6" s="1291"/>
      <c r="E6" s="1291"/>
      <c r="F6" s="1291"/>
      <c r="G6" s="1291"/>
      <c r="H6" s="1291"/>
      <c r="I6" s="1291"/>
      <c r="J6" s="1291"/>
      <c r="K6" s="1291"/>
      <c r="L6" s="1291"/>
      <c r="M6" s="1291"/>
      <c r="N6" s="1291"/>
    </row>
    <row r="7" spans="1:14" x14ac:dyDescent="0.25">
      <c r="A7" s="1291"/>
      <c r="B7" s="1291"/>
      <c r="C7" s="1291"/>
      <c r="D7" s="1291"/>
      <c r="E7" s="1291"/>
      <c r="F7" s="1291"/>
      <c r="G7" s="1291"/>
      <c r="H7" s="1291"/>
      <c r="I7" s="1291"/>
      <c r="J7" s="1291"/>
      <c r="K7" s="1291"/>
      <c r="L7" s="1291"/>
      <c r="M7" s="1291"/>
      <c r="N7" s="1291"/>
    </row>
    <row r="8" spans="1:14" x14ac:dyDescent="0.25">
      <c r="A8" s="1292" t="s">
        <v>6021</v>
      </c>
      <c r="B8" s="1292"/>
      <c r="C8" s="1292"/>
      <c r="D8" s="1292"/>
      <c r="E8" s="1292"/>
      <c r="F8" s="1292"/>
      <c r="G8" s="1292"/>
      <c r="H8" s="1292"/>
      <c r="I8" s="1292"/>
      <c r="J8" s="1292"/>
      <c r="K8" s="1292"/>
      <c r="L8" s="1292"/>
      <c r="M8" s="1292"/>
      <c r="N8" s="1292"/>
    </row>
    <row r="9" spans="1:14" x14ac:dyDescent="0.25">
      <c r="A9" s="1292"/>
      <c r="B9" s="1292"/>
      <c r="C9" s="1292"/>
      <c r="D9" s="1292"/>
      <c r="E9" s="1292"/>
      <c r="F9" s="1292"/>
      <c r="G9" s="1292"/>
      <c r="H9" s="1292"/>
      <c r="I9" s="1292"/>
      <c r="J9" s="1292"/>
      <c r="K9" s="1292"/>
      <c r="L9" s="1292"/>
      <c r="M9" s="1292"/>
      <c r="N9" s="1292"/>
    </row>
    <row r="10" spans="1:14" ht="14.45" customHeight="1" x14ac:dyDescent="0.25">
      <c r="A10" s="1293" t="s">
        <v>1894</v>
      </c>
      <c r="B10" s="1294"/>
      <c r="C10" s="1294"/>
      <c r="D10" s="1295"/>
      <c r="E10" s="463"/>
      <c r="F10" s="1302" t="s">
        <v>4751</v>
      </c>
      <c r="G10" s="1302"/>
      <c r="H10" s="1302"/>
      <c r="I10" s="1302"/>
      <c r="K10" s="1303" t="s">
        <v>1202</v>
      </c>
      <c r="L10" s="1303"/>
      <c r="M10" s="1303"/>
      <c r="N10" s="1303"/>
    </row>
    <row r="11" spans="1:14" ht="14.45" customHeight="1" x14ac:dyDescent="0.25">
      <c r="A11" s="1296"/>
      <c r="B11" s="1297"/>
      <c r="C11" s="1297"/>
      <c r="D11" s="1298"/>
      <c r="E11" s="464"/>
      <c r="F11" s="1302"/>
      <c r="G11" s="1302"/>
      <c r="H11" s="1302"/>
      <c r="I11" s="1302"/>
      <c r="K11" s="1303"/>
      <c r="L11" s="1303"/>
      <c r="M11" s="1303"/>
      <c r="N11" s="1303"/>
    </row>
    <row r="12" spans="1:14" ht="14.45" customHeight="1" x14ac:dyDescent="0.25">
      <c r="A12" s="1299"/>
      <c r="B12" s="1300"/>
      <c r="C12" s="1300"/>
      <c r="D12" s="1301"/>
      <c r="E12" s="465"/>
      <c r="F12" s="1302"/>
      <c r="G12" s="1302"/>
      <c r="H12" s="1302"/>
      <c r="I12" s="1302"/>
      <c r="K12" s="1303"/>
      <c r="L12" s="1303"/>
      <c r="M12" s="1303"/>
      <c r="N12" s="1303"/>
    </row>
    <row r="13" spans="1:14" ht="27" thickBot="1" x14ac:dyDescent="0.3">
      <c r="A13" s="1282" t="s">
        <v>4590</v>
      </c>
      <c r="B13" s="1283"/>
      <c r="C13" s="1283"/>
      <c r="D13" s="1284"/>
      <c r="E13" s="466"/>
      <c r="F13" s="1285" t="s">
        <v>4590</v>
      </c>
      <c r="G13" s="1286"/>
      <c r="H13" s="1286"/>
      <c r="I13" s="1287"/>
      <c r="K13" s="1285" t="s">
        <v>4590</v>
      </c>
      <c r="L13" s="1286"/>
      <c r="M13" s="1286"/>
      <c r="N13" s="128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8" t="s">
        <v>4596</v>
      </c>
      <c r="B39" s="1288"/>
      <c r="C39" s="1288"/>
      <c r="D39" s="205">
        <f>SUM(D15:D38)</f>
        <v>6567291</v>
      </c>
      <c r="E39" s="472"/>
      <c r="F39" s="1289" t="s">
        <v>4596</v>
      </c>
      <c r="G39" s="1289"/>
      <c r="H39" s="1290"/>
      <c r="I39" s="429">
        <f>SUM(I15:I38)</f>
        <v>6374135</v>
      </c>
      <c r="K39" s="1289" t="s">
        <v>4596</v>
      </c>
      <c r="L39" s="1289"/>
      <c r="M39" s="1290"/>
      <c r="N39" s="429">
        <f>SUM(N15:N38)</f>
        <v>6374135</v>
      </c>
    </row>
    <row r="40" spans="1:14" x14ac:dyDescent="0.25">
      <c r="D40" s="50"/>
      <c r="E40" s="472"/>
      <c r="I40" s="50"/>
    </row>
    <row r="41" spans="1:14" x14ac:dyDescent="0.25">
      <c r="D41" s="50"/>
      <c r="E41" s="472"/>
      <c r="I41" s="50"/>
    </row>
    <row r="42" spans="1:14" x14ac:dyDescent="0.25">
      <c r="A42" s="1291" t="s">
        <v>6137</v>
      </c>
      <c r="B42" s="1291"/>
      <c r="C42" s="1291"/>
      <c r="D42" s="1291"/>
      <c r="E42" s="1291"/>
      <c r="F42" s="1291"/>
      <c r="G42" s="1291"/>
      <c r="H42" s="1291"/>
      <c r="I42" s="1291"/>
      <c r="J42" s="1291"/>
      <c r="K42" s="1291"/>
      <c r="L42" s="1291"/>
      <c r="M42" s="1291"/>
      <c r="N42" s="1291"/>
    </row>
    <row r="43" spans="1:14" x14ac:dyDescent="0.25">
      <c r="A43" s="1291"/>
      <c r="B43" s="1291"/>
      <c r="C43" s="1291"/>
      <c r="D43" s="1291"/>
      <c r="E43" s="1291"/>
      <c r="F43" s="1291"/>
      <c r="G43" s="1291"/>
      <c r="H43" s="1291"/>
      <c r="I43" s="1291"/>
      <c r="J43" s="1291"/>
      <c r="K43" s="1291"/>
      <c r="L43" s="1291"/>
      <c r="M43" s="1291"/>
      <c r="N43" s="1291"/>
    </row>
    <row r="44" spans="1:14" x14ac:dyDescent="0.25">
      <c r="A44" s="1292" t="s">
        <v>6138</v>
      </c>
      <c r="B44" s="1292"/>
      <c r="C44" s="1292"/>
      <c r="D44" s="1292"/>
      <c r="E44" s="1292"/>
      <c r="F44" s="1292"/>
      <c r="G44" s="1292"/>
      <c r="H44" s="1292"/>
      <c r="I44" s="1292"/>
      <c r="J44" s="1292"/>
      <c r="K44" s="1292"/>
      <c r="L44" s="1292"/>
      <c r="M44" s="1292"/>
      <c r="N44" s="1292"/>
    </row>
    <row r="45" spans="1:14" x14ac:dyDescent="0.25">
      <c r="A45" s="1292"/>
      <c r="B45" s="1292"/>
      <c r="C45" s="1292"/>
      <c r="D45" s="1292"/>
      <c r="E45" s="1292"/>
      <c r="F45" s="1292"/>
      <c r="G45" s="1292"/>
      <c r="H45" s="1292"/>
      <c r="I45" s="1292"/>
      <c r="J45" s="1292"/>
      <c r="K45" s="1292"/>
      <c r="L45" s="1292"/>
      <c r="M45" s="1292"/>
      <c r="N45" s="1292"/>
    </row>
    <row r="46" spans="1:14" ht="14.45" customHeight="1" x14ac:dyDescent="0.25">
      <c r="A46" s="1293" t="s">
        <v>1894</v>
      </c>
      <c r="B46" s="1294"/>
      <c r="C46" s="1294"/>
      <c r="D46" s="1295"/>
      <c r="E46" s="463"/>
      <c r="F46" s="1302" t="s">
        <v>4751</v>
      </c>
      <c r="G46" s="1302"/>
      <c r="H46" s="1302"/>
      <c r="I46" s="1302"/>
      <c r="K46" s="1303" t="s">
        <v>1202</v>
      </c>
      <c r="L46" s="1303"/>
      <c r="M46" s="1303"/>
      <c r="N46" s="1303"/>
    </row>
    <row r="47" spans="1:14" ht="14.45" customHeight="1" x14ac:dyDescent="0.25">
      <c r="A47" s="1296"/>
      <c r="B47" s="1297"/>
      <c r="C47" s="1297"/>
      <c r="D47" s="1298"/>
      <c r="E47" s="464"/>
      <c r="F47" s="1302"/>
      <c r="G47" s="1302"/>
      <c r="H47" s="1302"/>
      <c r="I47" s="1302"/>
      <c r="K47" s="1303"/>
      <c r="L47" s="1303"/>
      <c r="M47" s="1303"/>
      <c r="N47" s="1303"/>
    </row>
    <row r="48" spans="1:14" ht="14.45" customHeight="1" x14ac:dyDescent="0.25">
      <c r="A48" s="1299"/>
      <c r="B48" s="1300"/>
      <c r="C48" s="1300"/>
      <c r="D48" s="1301"/>
      <c r="E48" s="465"/>
      <c r="F48" s="1302"/>
      <c r="G48" s="1302"/>
      <c r="H48" s="1302"/>
      <c r="I48" s="1302"/>
      <c r="K48" s="1303"/>
      <c r="L48" s="1303"/>
      <c r="M48" s="1303"/>
      <c r="N48" s="1303"/>
    </row>
    <row r="49" spans="1:14" ht="27" thickBot="1" x14ac:dyDescent="0.3">
      <c r="A49" s="1282" t="s">
        <v>4590</v>
      </c>
      <c r="B49" s="1283"/>
      <c r="C49" s="1283"/>
      <c r="D49" s="1284"/>
      <c r="E49" s="466"/>
      <c r="F49" s="1285" t="s">
        <v>4590</v>
      </c>
      <c r="G49" s="1286"/>
      <c r="H49" s="1286"/>
      <c r="I49" s="1287"/>
      <c r="K49" s="1285" t="s">
        <v>4590</v>
      </c>
      <c r="L49" s="1286"/>
      <c r="M49" s="1286"/>
      <c r="N49" s="128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8" t="s">
        <v>4596</v>
      </c>
      <c r="B79" s="1288"/>
      <c r="C79" s="1288"/>
      <c r="D79" s="205">
        <f>SUM(D51:D78)</f>
        <v>4135000</v>
      </c>
      <c r="E79" s="472"/>
      <c r="F79" s="1289" t="s">
        <v>4596</v>
      </c>
      <c r="G79" s="1289"/>
      <c r="H79" s="1290"/>
      <c r="I79" s="205">
        <f>SUM(I51:I78)</f>
        <v>4012280</v>
      </c>
      <c r="K79" s="1289" t="s">
        <v>4596</v>
      </c>
      <c r="L79" s="1289"/>
      <c r="M79" s="1290"/>
      <c r="N79" s="205">
        <f>SUM(N51:N78)</f>
        <v>4012280</v>
      </c>
    </row>
    <row r="82" spans="1:14" ht="27.75" customHeight="1" x14ac:dyDescent="0.25">
      <c r="A82" s="1291" t="s">
        <v>7091</v>
      </c>
      <c r="B82" s="1291"/>
      <c r="C82" s="1291"/>
      <c r="D82" s="1291"/>
      <c r="E82" s="1291"/>
      <c r="F82" s="1291"/>
      <c r="G82" s="1291"/>
      <c r="H82" s="1291"/>
      <c r="I82" s="1291"/>
      <c r="J82" s="1291"/>
      <c r="K82" s="1291"/>
      <c r="L82" s="1291"/>
      <c r="M82" s="1291"/>
      <c r="N82" s="1291"/>
    </row>
    <row r="83" spans="1:14" ht="15" customHeight="1" x14ac:dyDescent="0.25">
      <c r="A83" s="1292" t="s">
        <v>7092</v>
      </c>
      <c r="B83" s="1292"/>
      <c r="C83" s="1292"/>
      <c r="D83" s="1292"/>
      <c r="E83" s="1292"/>
      <c r="F83" s="1292"/>
      <c r="G83" s="1292"/>
      <c r="H83" s="1292"/>
      <c r="I83" s="1292"/>
      <c r="J83" s="1292"/>
      <c r="K83" s="1292"/>
      <c r="L83" s="1292"/>
      <c r="M83" s="1292"/>
      <c r="N83" s="1292"/>
    </row>
    <row r="84" spans="1:14" ht="15" customHeight="1" x14ac:dyDescent="0.25">
      <c r="A84" s="1292"/>
      <c r="B84" s="1292"/>
      <c r="C84" s="1292"/>
      <c r="D84" s="1292"/>
      <c r="E84" s="1292"/>
      <c r="F84" s="1292"/>
      <c r="G84" s="1292"/>
      <c r="H84" s="1292"/>
      <c r="I84" s="1292"/>
      <c r="J84" s="1292"/>
      <c r="K84" s="1292"/>
      <c r="L84" s="1292"/>
      <c r="M84" s="1292"/>
      <c r="N84" s="1292"/>
    </row>
    <row r="85" spans="1:14" ht="14.45" customHeight="1" x14ac:dyDescent="0.25">
      <c r="A85" s="1293" t="s">
        <v>1894</v>
      </c>
      <c r="B85" s="1294"/>
      <c r="C85" s="1294"/>
      <c r="D85" s="1295"/>
      <c r="E85" s="463"/>
      <c r="F85" s="1302" t="s">
        <v>4751</v>
      </c>
      <c r="G85" s="1302"/>
      <c r="H85" s="1302"/>
      <c r="I85" s="1302"/>
      <c r="K85" s="1303" t="s">
        <v>1202</v>
      </c>
      <c r="L85" s="1303"/>
      <c r="M85" s="1303"/>
      <c r="N85" s="1303"/>
    </row>
    <row r="86" spans="1:14" ht="14.45" customHeight="1" x14ac:dyDescent="0.25">
      <c r="A86" s="1296"/>
      <c r="B86" s="1297"/>
      <c r="C86" s="1297"/>
      <c r="D86" s="1298"/>
      <c r="E86" s="464"/>
      <c r="F86" s="1302"/>
      <c r="G86" s="1302"/>
      <c r="H86" s="1302"/>
      <c r="I86" s="1302"/>
      <c r="K86" s="1303"/>
      <c r="L86" s="1303"/>
      <c r="M86" s="1303"/>
      <c r="N86" s="1303"/>
    </row>
    <row r="87" spans="1:14" ht="14.45" customHeight="1" x14ac:dyDescent="0.25">
      <c r="A87" s="1299"/>
      <c r="B87" s="1300"/>
      <c r="C87" s="1300"/>
      <c r="D87" s="1301"/>
      <c r="E87" s="465"/>
      <c r="F87" s="1302"/>
      <c r="G87" s="1302"/>
      <c r="H87" s="1302"/>
      <c r="I87" s="1302"/>
      <c r="K87" s="1303"/>
      <c r="L87" s="1303"/>
      <c r="M87" s="1303"/>
      <c r="N87" s="1303"/>
    </row>
    <row r="88" spans="1:14" ht="27" thickBot="1" x14ac:dyDescent="0.3">
      <c r="A88" s="1282" t="s">
        <v>4590</v>
      </c>
      <c r="B88" s="1283"/>
      <c r="C88" s="1283"/>
      <c r="D88" s="1284"/>
      <c r="E88" s="466"/>
      <c r="F88" s="1285" t="s">
        <v>4590</v>
      </c>
      <c r="G88" s="1286"/>
      <c r="H88" s="1286"/>
      <c r="I88" s="1287"/>
      <c r="K88" s="1285" t="s">
        <v>4590</v>
      </c>
      <c r="L88" s="1286"/>
      <c r="M88" s="1286"/>
      <c r="N88" s="128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8" t="s">
        <v>4596</v>
      </c>
      <c r="B109" s="1288"/>
      <c r="C109" s="1288"/>
      <c r="D109" s="205">
        <f>SUM(D90:D108)</f>
        <v>4677000</v>
      </c>
      <c r="E109" s="472"/>
      <c r="F109" s="1289" t="s">
        <v>4596</v>
      </c>
      <c r="G109" s="1289"/>
      <c r="H109" s="1290"/>
      <c r="I109" s="429">
        <f>SUM(I90:I107)</f>
        <v>4531000</v>
      </c>
      <c r="K109" s="1289" t="s">
        <v>4596</v>
      </c>
      <c r="L109" s="1289"/>
      <c r="M109" s="1290"/>
      <c r="N109" s="429">
        <f>SUM(N90:N107)</f>
        <v>4531779</v>
      </c>
    </row>
    <row r="112" spans="1:14" ht="27.75" customHeight="1" x14ac:dyDescent="0.25">
      <c r="A112" s="1291" t="s">
        <v>10437</v>
      </c>
      <c r="B112" s="1291"/>
      <c r="C112" s="1291"/>
      <c r="D112" s="1291"/>
      <c r="E112" s="1291"/>
      <c r="F112" s="1291"/>
      <c r="G112" s="1291"/>
      <c r="H112" s="1291"/>
      <c r="I112" s="1291"/>
      <c r="J112" s="1291"/>
      <c r="K112" s="1291"/>
      <c r="L112" s="1291"/>
      <c r="M112" s="1291"/>
      <c r="N112" s="1291"/>
    </row>
    <row r="113" spans="1:14" ht="15" customHeight="1" x14ac:dyDescent="0.25">
      <c r="A113" s="1292" t="s">
        <v>10438</v>
      </c>
      <c r="B113" s="1292"/>
      <c r="C113" s="1292"/>
      <c r="D113" s="1292"/>
      <c r="E113" s="1292"/>
      <c r="F113" s="1292"/>
      <c r="G113" s="1292"/>
      <c r="H113" s="1292"/>
      <c r="I113" s="1292"/>
      <c r="J113" s="1292"/>
      <c r="K113" s="1292"/>
      <c r="L113" s="1292"/>
      <c r="M113" s="1292"/>
      <c r="N113" s="1292"/>
    </row>
    <row r="114" spans="1:14" ht="15" customHeight="1" x14ac:dyDescent="0.25">
      <c r="A114" s="1292"/>
      <c r="B114" s="1292"/>
      <c r="C114" s="1292"/>
      <c r="D114" s="1292"/>
      <c r="E114" s="1292"/>
      <c r="F114" s="1292"/>
      <c r="G114" s="1292"/>
      <c r="H114" s="1292"/>
      <c r="I114" s="1292"/>
      <c r="J114" s="1292"/>
      <c r="K114" s="1292"/>
      <c r="L114" s="1292"/>
      <c r="M114" s="1292"/>
      <c r="N114" s="1292"/>
    </row>
    <row r="115" spans="1:14" ht="14.45" customHeight="1" x14ac:dyDescent="0.25">
      <c r="A115" s="1293" t="s">
        <v>1894</v>
      </c>
      <c r="B115" s="1294"/>
      <c r="C115" s="1294"/>
      <c r="D115" s="1295"/>
      <c r="E115" s="463"/>
      <c r="F115" s="1302" t="s">
        <v>4751</v>
      </c>
      <c r="G115" s="1302"/>
      <c r="H115" s="1302"/>
      <c r="I115" s="1302"/>
      <c r="K115" s="1303" t="s">
        <v>1202</v>
      </c>
      <c r="L115" s="1303"/>
      <c r="M115" s="1303"/>
      <c r="N115" s="1303"/>
    </row>
    <row r="116" spans="1:14" ht="14.45" customHeight="1" x14ac:dyDescent="0.25">
      <c r="A116" s="1296"/>
      <c r="B116" s="1297"/>
      <c r="C116" s="1297"/>
      <c r="D116" s="1298"/>
      <c r="E116" s="464"/>
      <c r="F116" s="1302"/>
      <c r="G116" s="1302"/>
      <c r="H116" s="1302"/>
      <c r="I116" s="1302"/>
      <c r="K116" s="1303"/>
      <c r="L116" s="1303"/>
      <c r="M116" s="1303"/>
      <c r="N116" s="1303"/>
    </row>
    <row r="117" spans="1:14" ht="14.45" customHeight="1" x14ac:dyDescent="0.25">
      <c r="A117" s="1299"/>
      <c r="B117" s="1300"/>
      <c r="C117" s="1300"/>
      <c r="D117" s="1301"/>
      <c r="E117" s="465"/>
      <c r="F117" s="1302"/>
      <c r="G117" s="1302"/>
      <c r="H117" s="1302"/>
      <c r="I117" s="1302"/>
      <c r="K117" s="1303"/>
      <c r="L117" s="1303"/>
      <c r="M117" s="1303"/>
      <c r="N117" s="1303"/>
    </row>
    <row r="118" spans="1:14" ht="27" thickBot="1" x14ac:dyDescent="0.3">
      <c r="A118" s="1282" t="s">
        <v>4590</v>
      </c>
      <c r="B118" s="1283"/>
      <c r="C118" s="1283"/>
      <c r="D118" s="1284"/>
      <c r="E118" s="466"/>
      <c r="F118" s="1285" t="s">
        <v>4590</v>
      </c>
      <c r="G118" s="1286"/>
      <c r="H118" s="1286"/>
      <c r="I118" s="1287"/>
      <c r="K118" s="1285" t="s">
        <v>4590</v>
      </c>
      <c r="L118" s="1286"/>
      <c r="M118" s="1286"/>
      <c r="N118" s="128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12908</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8" t="s">
        <v>4596</v>
      </c>
      <c r="B139" s="1288"/>
      <c r="C139" s="1288"/>
      <c r="D139" s="205">
        <f>SUM(D120:D138)</f>
        <v>3925000</v>
      </c>
      <c r="E139" s="472"/>
      <c r="F139" s="1289" t="s">
        <v>4596</v>
      </c>
      <c r="G139" s="1289"/>
      <c r="H139" s="1290"/>
      <c r="I139" s="429">
        <f>SUM(I120:I137)</f>
        <v>11609683</v>
      </c>
      <c r="K139" s="1289" t="s">
        <v>4596</v>
      </c>
      <c r="L139" s="1289"/>
      <c r="M139" s="1290"/>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1" t="s">
        <v>9502</v>
      </c>
      <c r="C1" s="1332"/>
      <c r="D1" s="1332"/>
      <c r="E1" s="1333"/>
      <c r="H1" s="1309" t="s">
        <v>11403</v>
      </c>
      <c r="I1" s="1310"/>
      <c r="J1" s="1310"/>
      <c r="K1" s="1311"/>
      <c r="N1" s="1309" t="s">
        <v>11403</v>
      </c>
      <c r="O1" s="1310"/>
      <c r="P1" s="1310"/>
      <c r="Q1" s="1311"/>
      <c r="S1" s="1325" t="s">
        <v>9502</v>
      </c>
      <c r="T1" s="1326"/>
      <c r="U1" s="1326"/>
      <c r="V1" s="1327"/>
      <c r="Z1" s="1331" t="s">
        <v>9502</v>
      </c>
      <c r="AA1" s="1332"/>
      <c r="AB1" s="1332"/>
      <c r="AC1" s="1333"/>
    </row>
    <row r="2" spans="2:29" ht="21" x14ac:dyDescent="0.35">
      <c r="B2" s="1328" t="s">
        <v>10401</v>
      </c>
      <c r="C2" s="1329"/>
      <c r="D2" s="1329"/>
      <c r="E2" s="1330"/>
      <c r="H2" s="1309" t="s">
        <v>11402</v>
      </c>
      <c r="I2" s="1310"/>
      <c r="J2" s="1310"/>
      <c r="K2" s="1311"/>
      <c r="N2" s="1309" t="s">
        <v>11402</v>
      </c>
      <c r="O2" s="1310"/>
      <c r="P2" s="1310"/>
      <c r="Q2" s="1311"/>
      <c r="S2" s="1328" t="s">
        <v>8164</v>
      </c>
      <c r="T2" s="1329"/>
      <c r="U2" s="1329"/>
      <c r="V2" s="1330"/>
      <c r="Z2" s="1328" t="s">
        <v>7170</v>
      </c>
      <c r="AA2" s="1329"/>
      <c r="AB2" s="1329"/>
      <c r="AC2" s="1330"/>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06" t="s">
        <v>9495</v>
      </c>
      <c r="C4" s="1307"/>
      <c r="D4" s="1307"/>
      <c r="E4" s="933">
        <f ca="1">'Main Summary'!B19-K5-K10</f>
        <v>223706255.26937336</v>
      </c>
      <c r="H4" s="1309" t="s">
        <v>11404</v>
      </c>
      <c r="I4" s="1310"/>
      <c r="J4" s="1310"/>
      <c r="K4" s="1311"/>
      <c r="N4" s="1309" t="s">
        <v>11404</v>
      </c>
      <c r="O4" s="1310"/>
      <c r="P4" s="1310"/>
      <c r="Q4" s="1311"/>
      <c r="S4" s="1306" t="s">
        <v>9495</v>
      </c>
      <c r="T4" s="1307"/>
      <c r="U4" s="1307"/>
      <c r="V4" s="933">
        <f ca="1">'Main Summary'!F19-Q5-Q10</f>
        <v>137668700.60426268</v>
      </c>
      <c r="Z4" s="1306" t="s">
        <v>9495</v>
      </c>
      <c r="AA4" s="1307"/>
      <c r="AB4" s="1307"/>
      <c r="AC4" s="933">
        <f>'Main Summary'!J19</f>
        <v>66512286.479166672</v>
      </c>
    </row>
    <row r="5" spans="2:29" ht="19.5" thickBot="1" x14ac:dyDescent="0.35">
      <c r="B5" s="1306" t="s">
        <v>9496</v>
      </c>
      <c r="C5" s="1307"/>
      <c r="D5" s="1307"/>
      <c r="E5" s="933">
        <f ca="1">'Main Summary'!C19-K6-K11</f>
        <v>300111439</v>
      </c>
      <c r="H5" s="1306" t="s">
        <v>9495</v>
      </c>
      <c r="I5" s="1307"/>
      <c r="J5" s="1307"/>
      <c r="K5" s="1035">
        <f ca="1">SUMIF(Posting!$B17317:$E28000,"Meezan Bank Head Office",Posting!$E17317:$E28000)</f>
        <v>15827150</v>
      </c>
      <c r="N5" s="1306" t="s">
        <v>9495</v>
      </c>
      <c r="O5" s="1307"/>
      <c r="P5" s="1307"/>
      <c r="Q5" s="1035">
        <f ca="1">SUMIF(Posting!$B1:$E17316,"Meezan Bank Head Office",Posting!$E1:$E17316)</f>
        <v>13034925</v>
      </c>
      <c r="S5" s="1306" t="s">
        <v>9496</v>
      </c>
      <c r="T5" s="1307"/>
      <c r="U5" s="1307"/>
      <c r="V5" s="933">
        <f ca="1">'Main Summary'!G19-Q6-Q11</f>
        <v>176831246.42000002</v>
      </c>
      <c r="Z5" s="1306" t="s">
        <v>9496</v>
      </c>
      <c r="AA5" s="1307"/>
      <c r="AB5" s="1307"/>
      <c r="AC5" s="933">
        <f>'Main Summary'!K19</f>
        <v>82215394.510000005</v>
      </c>
    </row>
    <row r="6" spans="2:29" ht="18.75" x14ac:dyDescent="0.3">
      <c r="B6" s="1306" t="s">
        <v>2613</v>
      </c>
      <c r="C6" s="1307"/>
      <c r="D6" s="1307"/>
      <c r="E6" s="933">
        <f ca="1">E5-E4</f>
        <v>76405183.730626643</v>
      </c>
      <c r="H6" s="1306" t="s">
        <v>9496</v>
      </c>
      <c r="I6" s="1307"/>
      <c r="J6" s="1307"/>
      <c r="K6" s="1020">
        <f ca="1">SUMIF(Posting!$B17317:$F28000,"Meezan Bank Head Office",Posting!$F17317:$F28000)</f>
        <v>0</v>
      </c>
      <c r="N6" s="1306" t="s">
        <v>9496</v>
      </c>
      <c r="O6" s="1307"/>
      <c r="P6" s="1307"/>
      <c r="Q6" s="1020">
        <f ca="1">SUMIF(Posting!$B1:$F17316,"Meezan Bank Head Office",Posting!$F1:$F17316)</f>
        <v>19830000</v>
      </c>
      <c r="S6" s="1306" t="s">
        <v>2613</v>
      </c>
      <c r="T6" s="1307"/>
      <c r="U6" s="1307"/>
      <c r="V6" s="933">
        <f ca="1">V5-V4</f>
        <v>39162545.815737337</v>
      </c>
      <c r="Z6" s="1306" t="s">
        <v>2613</v>
      </c>
      <c r="AA6" s="1307"/>
      <c r="AB6" s="1307"/>
      <c r="AC6" s="933">
        <f>AC5-AC4</f>
        <v>15703108.030833334</v>
      </c>
    </row>
    <row r="7" spans="2:29" ht="18.75" x14ac:dyDescent="0.3">
      <c r="B7" s="1306"/>
      <c r="C7" s="1307"/>
      <c r="D7" s="1307"/>
      <c r="E7" s="933"/>
      <c r="H7" s="1306" t="s">
        <v>2613</v>
      </c>
      <c r="I7" s="1307"/>
      <c r="J7" s="1307"/>
      <c r="K7" s="933">
        <f ca="1">K6-K5</f>
        <v>-15827150</v>
      </c>
      <c r="N7" s="1306" t="s">
        <v>2613</v>
      </c>
      <c r="O7" s="1307"/>
      <c r="P7" s="1307"/>
      <c r="Q7" s="933">
        <f ca="1">Q6-Q5</f>
        <v>6795075</v>
      </c>
      <c r="S7" s="1306"/>
      <c r="T7" s="1307"/>
      <c r="U7" s="1307"/>
      <c r="V7" s="933"/>
      <c r="Z7" s="1306"/>
      <c r="AA7" s="1307"/>
      <c r="AB7" s="1307"/>
      <c r="AC7" s="933"/>
    </row>
    <row r="8" spans="2:29" ht="19.5" thickBot="1" x14ac:dyDescent="0.35">
      <c r="B8" s="1308" t="s">
        <v>11050</v>
      </c>
      <c r="C8" s="1288"/>
      <c r="D8" s="1288"/>
      <c r="E8" s="933"/>
      <c r="H8" s="1306"/>
      <c r="I8" s="1307"/>
      <c r="J8" s="1307"/>
      <c r="K8" s="933"/>
      <c r="N8" s="1306"/>
      <c r="O8" s="1307"/>
      <c r="P8" s="1307"/>
      <c r="Q8" s="933"/>
      <c r="S8" s="1308" t="s">
        <v>11050</v>
      </c>
      <c r="T8" s="1288"/>
      <c r="U8" s="1288"/>
      <c r="V8" s="933"/>
      <c r="Z8" s="1306" t="s">
        <v>9497</v>
      </c>
      <c r="AA8" s="1307"/>
      <c r="AB8" s="1307"/>
      <c r="AC8" s="933">
        <v>300000</v>
      </c>
    </row>
    <row r="9" spans="2:29" ht="21.75" thickBot="1" x14ac:dyDescent="0.4">
      <c r="B9" s="1306" t="s">
        <v>9499</v>
      </c>
      <c r="C9" s="1307"/>
      <c r="D9" s="1307"/>
      <c r="E9" s="934">
        <v>500000</v>
      </c>
      <c r="H9" s="1309" t="s">
        <v>11405</v>
      </c>
      <c r="I9" s="1310"/>
      <c r="J9" s="1310"/>
      <c r="K9" s="1311"/>
      <c r="N9" s="1309" t="s">
        <v>11405</v>
      </c>
      <c r="O9" s="1310"/>
      <c r="P9" s="1310"/>
      <c r="Q9" s="1311"/>
      <c r="S9" s="1306" t="s">
        <v>9499</v>
      </c>
      <c r="T9" s="1307"/>
      <c r="U9" s="1307"/>
      <c r="V9" s="934">
        <v>526260</v>
      </c>
      <c r="Z9" s="1306" t="s">
        <v>9498</v>
      </c>
      <c r="AA9" s="1307"/>
      <c r="AB9" s="1307"/>
      <c r="AC9" s="933">
        <v>526260</v>
      </c>
    </row>
    <row r="10" spans="2:29" s="930" customFormat="1" ht="19.5" thickBot="1" x14ac:dyDescent="0.35">
      <c r="B10" s="1306"/>
      <c r="C10" s="1307"/>
      <c r="D10" s="1307"/>
      <c r="E10" s="934"/>
      <c r="H10" s="1306" t="s">
        <v>9495</v>
      </c>
      <c r="I10" s="1307"/>
      <c r="J10" s="1307"/>
      <c r="K10" s="1035">
        <f ca="1">SUMIF(Posting!$B17317:$E28000,"Saifee Hospital",Posting!$E17317:$E28000)</f>
        <v>1672910</v>
      </c>
      <c r="N10" s="1306" t="s">
        <v>9495</v>
      </c>
      <c r="O10" s="1307"/>
      <c r="P10" s="1307"/>
      <c r="Q10" s="1035">
        <f ca="1">SUMIF(Posting!$B1:$E17316,"Saifee Hospital",Posting!$E1:$E17316)</f>
        <v>1591330</v>
      </c>
      <c r="S10" s="1306"/>
      <c r="T10" s="1307"/>
      <c r="U10" s="1307"/>
      <c r="V10" s="934"/>
      <c r="Z10" s="1306" t="s">
        <v>9499</v>
      </c>
      <c r="AA10" s="1307"/>
      <c r="AB10" s="1307"/>
      <c r="AC10" s="934">
        <v>1314656</v>
      </c>
    </row>
    <row r="11" spans="2:29" ht="18.75" x14ac:dyDescent="0.3">
      <c r="B11" s="1308" t="s">
        <v>2613</v>
      </c>
      <c r="C11" s="1288"/>
      <c r="D11" s="1288"/>
      <c r="E11" s="933">
        <f ca="1">E9+E6</f>
        <v>76905183.730626643</v>
      </c>
      <c r="H11" s="1306" t="s">
        <v>9496</v>
      </c>
      <c r="I11" s="1307"/>
      <c r="J11" s="1307"/>
      <c r="K11" s="1020">
        <f ca="1">SUMIF(Posting!$B17317:$F28000,"Saifee Hospital",Posting!$F17317:$F28000)</f>
        <v>1900000</v>
      </c>
      <c r="N11" s="1306" t="s">
        <v>9496</v>
      </c>
      <c r="O11" s="1307"/>
      <c r="P11" s="1307"/>
      <c r="Q11" s="1020">
        <f ca="1">SUMIF(Posting!$B1:$F17316,"Saifee Hospital",Posting!$F1:$F17316)</f>
        <v>2434251</v>
      </c>
      <c r="S11" s="1308" t="s">
        <v>2613</v>
      </c>
      <c r="T11" s="1288"/>
      <c r="U11" s="1288"/>
      <c r="V11" s="933">
        <f ca="1">V9+V6</f>
        <v>39688805.815737337</v>
      </c>
      <c r="Z11" s="1306" t="s">
        <v>2615</v>
      </c>
      <c r="AA11" s="1307"/>
      <c r="AB11" s="1307"/>
      <c r="AC11" s="933">
        <f>AC6-AC8-AC9+AC10</f>
        <v>16191504.030833334</v>
      </c>
    </row>
    <row r="12" spans="2:29" ht="21" x14ac:dyDescent="0.35">
      <c r="B12" s="1317"/>
      <c r="C12" s="1318"/>
      <c r="D12" s="1319"/>
      <c r="E12" s="933"/>
      <c r="H12" s="1306" t="s">
        <v>2613</v>
      </c>
      <c r="I12" s="1307"/>
      <c r="J12" s="1307"/>
      <c r="K12" s="933">
        <f ca="1">K11-K10</f>
        <v>227090</v>
      </c>
      <c r="N12" s="1306" t="s">
        <v>2613</v>
      </c>
      <c r="O12" s="1307"/>
      <c r="P12" s="1307"/>
      <c r="Q12" s="933">
        <f ca="1">Q11-Q10</f>
        <v>842921</v>
      </c>
      <c r="S12" s="1317"/>
      <c r="T12" s="1318"/>
      <c r="U12" s="1319"/>
      <c r="V12" s="933"/>
      <c r="Z12" s="1334" t="s">
        <v>9500</v>
      </c>
      <c r="AA12" s="1335"/>
      <c r="AB12" s="1335"/>
      <c r="AC12" s="937">
        <v>2434251</v>
      </c>
    </row>
    <row r="13" spans="2:29" s="970" customFormat="1" ht="21.75" thickBot="1" x14ac:dyDescent="0.4">
      <c r="B13" s="1322" t="s">
        <v>11049</v>
      </c>
      <c r="C13" s="1323"/>
      <c r="D13" s="1324"/>
      <c r="E13" s="933"/>
      <c r="H13" s="1308"/>
      <c r="I13" s="1288"/>
      <c r="J13" s="1288"/>
      <c r="K13" s="933"/>
      <c r="N13" s="1308"/>
      <c r="O13" s="1288"/>
      <c r="P13" s="1288"/>
      <c r="Q13" s="933"/>
      <c r="S13" s="1322" t="s">
        <v>11049</v>
      </c>
      <c r="T13" s="1323"/>
      <c r="U13" s="1324"/>
      <c r="V13" s="933"/>
      <c r="Z13" s="1312" t="s">
        <v>2615</v>
      </c>
      <c r="AA13" s="1313"/>
      <c r="AB13" s="1313"/>
      <c r="AC13" s="969">
        <f>AC11-AC12</f>
        <v>13757253.030833334</v>
      </c>
    </row>
    <row r="14" spans="2:29" ht="18.75" x14ac:dyDescent="0.3">
      <c r="B14" s="1317" t="s">
        <v>9497</v>
      </c>
      <c r="C14" s="1318"/>
      <c r="D14" s="1319"/>
      <c r="E14" s="933">
        <v>300000</v>
      </c>
      <c r="H14" s="1317"/>
      <c r="I14" s="1318"/>
      <c r="J14" s="1319"/>
      <c r="K14" s="933"/>
      <c r="N14" s="1317"/>
      <c r="O14" s="1318"/>
      <c r="P14" s="1319"/>
      <c r="Q14" s="933"/>
      <c r="S14" s="1317" t="s">
        <v>9497</v>
      </c>
      <c r="T14" s="1318"/>
      <c r="U14" s="1319"/>
      <c r="V14" s="933">
        <v>300000</v>
      </c>
      <c r="Z14" s="935"/>
      <c r="AA14" s="935"/>
      <c r="AB14" s="935"/>
      <c r="AC14" s="936"/>
    </row>
    <row r="15" spans="2:29" ht="18.75" x14ac:dyDescent="0.3">
      <c r="B15" s="1317" t="s">
        <v>9498</v>
      </c>
      <c r="C15" s="1318"/>
      <c r="D15" s="1319"/>
      <c r="E15" s="933">
        <v>500000</v>
      </c>
      <c r="F15" s="302"/>
      <c r="G15" s="302"/>
      <c r="L15" s="302"/>
      <c r="M15" s="302"/>
      <c r="R15" s="302"/>
      <c r="S15" s="1317" t="s">
        <v>9498</v>
      </c>
      <c r="T15" s="1318"/>
      <c r="U15" s="1319"/>
      <c r="V15" s="933">
        <v>500000</v>
      </c>
      <c r="W15" s="302"/>
      <c r="X15" s="302"/>
      <c r="Y15" s="302"/>
      <c r="Z15" s="935"/>
      <c r="AA15" s="935"/>
      <c r="AB15" s="935"/>
      <c r="AC15" s="936"/>
    </row>
    <row r="16" spans="2:29" ht="18.75" x14ac:dyDescent="0.3">
      <c r="B16" s="1317" t="s">
        <v>12746</v>
      </c>
      <c r="C16" s="1318"/>
      <c r="D16" s="1319"/>
      <c r="E16" s="933"/>
      <c r="F16" s="302"/>
      <c r="G16" s="302"/>
      <c r="L16" s="302"/>
      <c r="M16" s="302"/>
      <c r="R16" s="302"/>
      <c r="S16" s="1317" t="s">
        <v>11052</v>
      </c>
      <c r="T16" s="1318"/>
      <c r="U16" s="1319"/>
      <c r="V16" s="1098">
        <v>0</v>
      </c>
      <c r="W16" s="302"/>
      <c r="X16" s="302"/>
      <c r="Y16" s="302"/>
      <c r="Z16" s="935"/>
      <c r="AA16" s="935"/>
      <c r="AB16" s="935"/>
      <c r="AC16" s="936"/>
    </row>
    <row r="17" spans="2:29" ht="21" x14ac:dyDescent="0.35">
      <c r="B17" s="1320"/>
      <c r="C17" s="1321"/>
      <c r="D17" s="1321"/>
      <c r="E17" s="1047"/>
      <c r="F17" s="302"/>
      <c r="G17" s="302"/>
      <c r="K17" s="3">
        <f ca="1">K12+K7</f>
        <v>-15600060</v>
      </c>
      <c r="L17" s="302"/>
      <c r="M17" s="302"/>
      <c r="Q17" s="3">
        <f ca="1">Q12+Q7</f>
        <v>7637996</v>
      </c>
      <c r="R17" s="302"/>
      <c r="S17" s="1320" t="s">
        <v>11406</v>
      </c>
      <c r="T17" s="1321"/>
      <c r="U17" s="1321"/>
      <c r="V17" s="1047">
        <v>3707947</v>
      </c>
      <c r="W17" s="302"/>
      <c r="X17" s="302"/>
      <c r="Y17" s="302"/>
      <c r="Z17" s="935"/>
      <c r="AA17" s="935"/>
      <c r="AB17" s="935"/>
      <c r="AC17" s="936"/>
    </row>
    <row r="18" spans="2:29" ht="21" x14ac:dyDescent="0.35">
      <c r="B18" s="1320"/>
      <c r="C18" s="1321"/>
      <c r="D18" s="1321"/>
      <c r="E18" s="1047"/>
      <c r="F18" s="302"/>
      <c r="G18" s="302"/>
      <c r="K18" s="3"/>
      <c r="L18" s="302"/>
      <c r="M18" s="302"/>
      <c r="R18" s="302"/>
      <c r="S18" s="1320"/>
      <c r="T18" s="1321"/>
      <c r="U18" s="1321"/>
      <c r="V18" s="1047"/>
      <c r="W18" s="302"/>
      <c r="X18" s="302"/>
      <c r="Y18" s="302"/>
      <c r="Z18" s="935"/>
      <c r="AA18" s="935"/>
      <c r="AB18" s="935"/>
      <c r="AC18" s="936"/>
    </row>
    <row r="19" spans="2:29" ht="19.5" thickBot="1" x14ac:dyDescent="0.35">
      <c r="B19" s="1308"/>
      <c r="C19" s="1288"/>
      <c r="D19" s="1288"/>
      <c r="E19" s="1048"/>
      <c r="F19" s="302"/>
      <c r="G19" s="302"/>
      <c r="K19" s="3"/>
      <c r="L19" s="302"/>
      <c r="M19" s="302"/>
      <c r="R19" s="302"/>
      <c r="S19" s="1308"/>
      <c r="T19" s="1288"/>
      <c r="U19" s="1288"/>
      <c r="V19" s="1048"/>
      <c r="W19" s="302"/>
      <c r="X19" s="302"/>
      <c r="Y19" s="302"/>
      <c r="Z19" s="935"/>
      <c r="AA19" s="935"/>
      <c r="AB19" s="935"/>
      <c r="AC19" s="936"/>
    </row>
    <row r="20" spans="2:29" ht="21" x14ac:dyDescent="0.35">
      <c r="B20" s="1308" t="s">
        <v>11051</v>
      </c>
      <c r="C20" s="1288"/>
      <c r="D20" s="1288"/>
      <c r="E20" s="1047">
        <f>SUM(E14:E19)</f>
        <v>800000</v>
      </c>
      <c r="K20" s="3"/>
      <c r="S20" s="1308" t="s">
        <v>11051</v>
      </c>
      <c r="T20" s="1288"/>
      <c r="U20" s="1288"/>
      <c r="V20" s="1047">
        <f>SUM(V14:V19)</f>
        <v>4507947</v>
      </c>
      <c r="Z20" s="1314" t="s">
        <v>9501</v>
      </c>
      <c r="AA20" s="1315"/>
      <c r="AB20" s="1315"/>
      <c r="AC20" s="1316"/>
    </row>
    <row r="21" spans="2:29" s="930" customFormat="1" ht="21" x14ac:dyDescent="0.35">
      <c r="B21" s="1320"/>
      <c r="C21" s="1321"/>
      <c r="D21" s="1321"/>
      <c r="E21" s="1047"/>
      <c r="H21"/>
      <c r="I21"/>
      <c r="J21"/>
      <c r="K21"/>
      <c r="N21"/>
      <c r="O21"/>
      <c r="P21"/>
      <c r="Q21"/>
      <c r="S21" s="1320"/>
      <c r="T21" s="1321"/>
      <c r="U21" s="1321"/>
      <c r="V21" s="1047"/>
      <c r="Z21" s="971" t="s">
        <v>9503</v>
      </c>
      <c r="AA21" s="967" t="s">
        <v>4751</v>
      </c>
      <c r="AB21" s="967" t="s">
        <v>1202</v>
      </c>
      <c r="AC21" s="973" t="s">
        <v>1894</v>
      </c>
    </row>
    <row r="22" spans="2:29" s="930" customFormat="1" ht="21.75" thickBot="1" x14ac:dyDescent="0.4">
      <c r="B22" s="1312" t="s">
        <v>2615</v>
      </c>
      <c r="C22" s="1313"/>
      <c r="D22" s="1313"/>
      <c r="E22" s="969">
        <f ca="1">E11-E20</f>
        <v>76105183.730626643</v>
      </c>
      <c r="H22"/>
      <c r="I22"/>
      <c r="J22"/>
      <c r="K22"/>
      <c r="N22"/>
      <c r="O22"/>
      <c r="P22"/>
      <c r="Q22"/>
      <c r="S22" s="1312" t="s">
        <v>2615</v>
      </c>
      <c r="T22" s="1313"/>
      <c r="U22" s="1313"/>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14" t="s">
        <v>9501</v>
      </c>
      <c r="C24" s="1315"/>
      <c r="D24" s="1315"/>
      <c r="E24" s="1316"/>
      <c r="H24"/>
      <c r="I24"/>
      <c r="J24"/>
      <c r="K24"/>
      <c r="N24"/>
      <c r="O24"/>
      <c r="P24"/>
      <c r="Q24"/>
      <c r="S24" s="1314" t="s">
        <v>9501</v>
      </c>
      <c r="T24" s="1315"/>
      <c r="U24" s="1315"/>
      <c r="V24" s="1316"/>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25114710.631106794</v>
      </c>
      <c r="D27" s="941">
        <f ca="1">D26*E22</f>
        <v>25114710.631106794</v>
      </c>
      <c r="E27" s="934">
        <f ca="1">E26*E22</f>
        <v>25875762.468413059</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25114710.631106794</v>
      </c>
      <c r="D29" s="944">
        <f t="shared" ref="D29:E29" ca="1" si="1">D27-D28</f>
        <v>25114710.631106794</v>
      </c>
      <c r="E29" s="945">
        <f t="shared" ca="1" si="1"/>
        <v>25875762.468413059</v>
      </c>
      <c r="S29" s="939" t="s">
        <v>9506</v>
      </c>
      <c r="T29" s="944">
        <f ca="1">T27-T28</f>
        <v>0.40919332206249237</v>
      </c>
      <c r="U29" s="944">
        <f t="shared" ref="U29" ca="1" si="2">U27-U28</f>
        <v>2109683.4091933221</v>
      </c>
      <c r="V29" s="945">
        <f t="shared" ref="V29" ca="1" si="3">V27-V28</f>
        <v>8036491.9973506946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42" t="s">
        <v>5474</v>
      </c>
      <c r="B1" s="1342"/>
      <c r="C1" s="1342"/>
      <c r="D1" s="1342"/>
      <c r="E1" s="1342"/>
      <c r="F1" s="1342"/>
      <c r="G1" s="1342"/>
      <c r="H1" s="1342"/>
      <c r="I1" s="1342"/>
      <c r="J1" s="1342"/>
    </row>
    <row r="2" spans="1:11" x14ac:dyDescent="0.25">
      <c r="A2" s="1342"/>
      <c r="B2" s="1342"/>
      <c r="C2" s="1342"/>
      <c r="D2" s="1342"/>
      <c r="E2" s="1342"/>
      <c r="F2" s="1342"/>
      <c r="G2" s="1342"/>
      <c r="H2" s="1342"/>
      <c r="I2" s="1342"/>
      <c r="J2" s="1342"/>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41" t="s">
        <v>5483</v>
      </c>
      <c r="B11" s="1341"/>
      <c r="C11" s="1341"/>
      <c r="D11" s="1341"/>
    </row>
    <row r="12" spans="1:11" x14ac:dyDescent="0.25">
      <c r="A12" s="361" t="s">
        <v>5158</v>
      </c>
      <c r="B12" s="361" t="s">
        <v>939</v>
      </c>
      <c r="C12" s="361" t="s">
        <v>1202</v>
      </c>
      <c r="D12" s="361" t="s">
        <v>1894</v>
      </c>
      <c r="E12" s="3"/>
      <c r="G12" s="1343" t="s">
        <v>5484</v>
      </c>
      <c r="H12" s="1344"/>
      <c r="I12" s="1345"/>
      <c r="J12" s="371">
        <f>H9+I9+J9</f>
        <v>9658438.778794989</v>
      </c>
    </row>
    <row r="13" spans="1:11" x14ac:dyDescent="0.25">
      <c r="A13" s="2" t="s">
        <v>5159</v>
      </c>
      <c r="B13" s="15">
        <v>9323439</v>
      </c>
      <c r="C13" s="15">
        <v>9323439</v>
      </c>
      <c r="D13" s="15">
        <v>9605968</v>
      </c>
      <c r="G13" s="1343" t="s">
        <v>5485</v>
      </c>
      <c r="H13" s="1344"/>
      <c r="I13" s="1345"/>
      <c r="J13" s="371">
        <f>J31</f>
        <v>5549996</v>
      </c>
    </row>
    <row r="14" spans="1:11" x14ac:dyDescent="0.25">
      <c r="A14" s="2" t="s">
        <v>5160</v>
      </c>
      <c r="B14" s="15">
        <v>7575873</v>
      </c>
      <c r="C14" s="15">
        <v>7575873</v>
      </c>
      <c r="D14" s="15">
        <v>7805445</v>
      </c>
      <c r="G14" s="1343" t="s">
        <v>5486</v>
      </c>
      <c r="H14" s="1344"/>
      <c r="I14" s="1345"/>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6" t="s">
        <v>5487</v>
      </c>
      <c r="G18" s="1346"/>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41" t="s">
        <v>5491</v>
      </c>
      <c r="J22" s="1341"/>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8" t="s">
        <v>7877</v>
      </c>
      <c r="B40" s="1269"/>
      <c r="C40" s="1269"/>
      <c r="D40" s="1269"/>
      <c r="E40" s="1269"/>
      <c r="F40" s="1269"/>
      <c r="G40" s="1269"/>
      <c r="H40" s="1269"/>
      <c r="I40" s="1269"/>
      <c r="J40" s="1269"/>
      <c r="K40" s="1270"/>
    </row>
    <row r="41" spans="1:12" ht="15.75" thickBot="1" x14ac:dyDescent="0.3">
      <c r="A41" s="1274"/>
      <c r="B41" s="1275"/>
      <c r="C41" s="1275"/>
      <c r="D41" s="1275"/>
      <c r="E41" s="1275"/>
      <c r="F41" s="1275"/>
      <c r="G41" s="1275"/>
      <c r="H41" s="1275"/>
      <c r="I41" s="1275"/>
      <c r="J41" s="1275"/>
      <c r="K41" s="1276"/>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8" t="s">
        <v>7169</v>
      </c>
      <c r="B51" s="1269"/>
      <c r="C51" s="1269"/>
      <c r="D51" s="1269"/>
      <c r="E51" s="1269"/>
      <c r="F51" s="1269"/>
      <c r="G51" s="1269"/>
      <c r="H51" s="1269"/>
      <c r="I51" s="1269"/>
      <c r="J51" s="1269"/>
      <c r="K51" s="1270"/>
    </row>
    <row r="52" spans="1:14" ht="15.75" thickBot="1" x14ac:dyDescent="0.3">
      <c r="A52" s="1274"/>
      <c r="B52" s="1275"/>
      <c r="C52" s="1275"/>
      <c r="D52" s="1275"/>
      <c r="E52" s="1275"/>
      <c r="F52" s="1275"/>
      <c r="G52" s="1275"/>
      <c r="H52" s="1275"/>
      <c r="I52" s="1275"/>
      <c r="J52" s="1275"/>
      <c r="K52" s="1276"/>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1" t="s">
        <v>7170</v>
      </c>
      <c r="B59" s="1272"/>
      <c r="C59" s="1272"/>
      <c r="D59" s="1272"/>
      <c r="E59" s="1272"/>
      <c r="F59" s="1272"/>
      <c r="G59" s="1272"/>
      <c r="H59" s="1272"/>
      <c r="I59" s="1272"/>
      <c r="J59" s="1272"/>
      <c r="K59" s="1272"/>
      <c r="L59" s="966"/>
      <c r="M59" s="966"/>
    </row>
    <row r="60" spans="1:14" ht="15.75" customHeight="1" x14ac:dyDescent="0.25">
      <c r="A60" s="1339"/>
      <c r="B60" s="1340"/>
      <c r="C60" s="1340"/>
      <c r="D60" s="1340"/>
      <c r="E60" s="1340"/>
      <c r="F60" s="1340"/>
      <c r="G60" s="1340"/>
      <c r="H60" s="1340"/>
      <c r="I60" s="1340"/>
      <c r="J60" s="1340"/>
      <c r="K60" s="1340"/>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6" t="s">
        <v>10399</v>
      </c>
      <c r="F66" s="1337"/>
      <c r="G66" s="1338"/>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8" t="s">
        <v>8164</v>
      </c>
      <c r="B74" s="1269"/>
      <c r="C74" s="1269"/>
      <c r="D74" s="1269"/>
      <c r="E74" s="1269"/>
      <c r="F74" s="1269"/>
      <c r="G74" s="1269"/>
      <c r="H74" s="1269"/>
      <c r="I74" s="1269"/>
      <c r="J74" s="1269"/>
      <c r="K74" s="1269"/>
      <c r="L74" s="1270"/>
    </row>
    <row r="75" spans="1:20" ht="15.75" customHeight="1" thickBot="1" x14ac:dyDescent="0.3">
      <c r="A75" s="1274"/>
      <c r="B75" s="1275"/>
      <c r="C75" s="1275"/>
      <c r="D75" s="1275"/>
      <c r="E75" s="1275"/>
      <c r="F75" s="1275"/>
      <c r="G75" s="1275"/>
      <c r="H75" s="1275"/>
      <c r="I75" s="1275"/>
      <c r="J75" s="1275"/>
      <c r="K75" s="1275"/>
      <c r="L75" s="1276"/>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7" t="s">
        <v>10498</v>
      </c>
      <c r="D82" s="1348"/>
      <c r="E82" s="1348"/>
      <c r="F82" s="1348"/>
      <c r="G82" s="1348"/>
      <c r="H82" s="1349"/>
      <c r="I82" s="977"/>
      <c r="J82" s="977">
        <f>19830000/3</f>
        <v>6610000</v>
      </c>
      <c r="K82" s="977">
        <f>19830000/3</f>
        <v>6610000</v>
      </c>
      <c r="L82" s="977">
        <f>19830000/3</f>
        <v>6610000</v>
      </c>
      <c r="M82" s="949"/>
    </row>
    <row r="83" spans="1:17" x14ac:dyDescent="0.25">
      <c r="M83" s="3"/>
    </row>
    <row r="84" spans="1:17" s="930" customFormat="1" ht="26.25" customHeight="1" x14ac:dyDescent="0.25">
      <c r="C84" s="1347" t="s">
        <v>10536</v>
      </c>
      <c r="D84" s="1348"/>
      <c r="E84" s="1348"/>
      <c r="F84" s="1348"/>
      <c r="G84" s="1348"/>
      <c r="H84" s="134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68" t="s">
        <v>10401</v>
      </c>
      <c r="B89" s="1269"/>
      <c r="C89" s="1269"/>
      <c r="D89" s="1269"/>
      <c r="E89" s="1269"/>
      <c r="F89" s="1269"/>
      <c r="G89" s="1269"/>
      <c r="H89" s="1269"/>
      <c r="I89" s="1269"/>
      <c r="J89" s="1269"/>
      <c r="K89" s="1270"/>
      <c r="L89" s="3"/>
      <c r="M89" s="3"/>
    </row>
    <row r="90" spans="1:17" ht="15.75" thickBot="1" x14ac:dyDescent="0.3">
      <c r="A90" s="1274"/>
      <c r="B90" s="1275"/>
      <c r="C90" s="1275"/>
      <c r="D90" s="1275"/>
      <c r="E90" s="1275"/>
      <c r="F90" s="1275"/>
      <c r="G90" s="1275"/>
      <c r="H90" s="1275"/>
      <c r="I90" s="1275"/>
      <c r="J90" s="1275"/>
      <c r="K90" s="1276"/>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241206315.26937336</v>
      </c>
      <c r="C92" s="367">
        <f>'Main Summary'!C19</f>
        <v>302011439</v>
      </c>
      <c r="D92" s="367">
        <f>C92-B92</f>
        <v>60805123.730626643</v>
      </c>
      <c r="E92" s="367"/>
      <c r="F92" s="367"/>
      <c r="G92" s="511"/>
      <c r="H92" s="512">
        <f>D92-E92+F92-G92</f>
        <v>60805123.730626643</v>
      </c>
      <c r="I92" s="367">
        <f>H92*33%</f>
        <v>20065690.831106793</v>
      </c>
      <c r="J92" s="367">
        <f>H92*33%</f>
        <v>20065690.831106793</v>
      </c>
      <c r="K92" s="367">
        <f>H92*34%</f>
        <v>20673742.06841306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18065690.831106793</v>
      </c>
      <c r="J94" s="284">
        <f t="shared" ref="J94:K94" si="5">J92-J93</f>
        <v>20065690.831106793</v>
      </c>
      <c r="K94" s="284">
        <f t="shared" si="5"/>
        <v>20423742.06841306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6" t="s">
        <v>2611</v>
      </c>
      <c r="B2" s="1366"/>
      <c r="C2" s="1366"/>
      <c r="D2" s="1366"/>
      <c r="E2" s="1366"/>
      <c r="F2" s="1366"/>
      <c r="G2" s="1366"/>
      <c r="H2" s="1366"/>
      <c r="I2" s="1366"/>
      <c r="J2" s="1366"/>
      <c r="K2" s="1366"/>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3">
        <v>28459027</v>
      </c>
      <c r="B4" s="1363">
        <v>35457479</v>
      </c>
      <c r="C4" s="1363">
        <f>B4-A4</f>
        <v>6998452</v>
      </c>
      <c r="D4" s="1363" t="s">
        <v>2619</v>
      </c>
      <c r="E4" s="226"/>
      <c r="F4" s="226"/>
      <c r="G4" s="226"/>
      <c r="H4" s="1363">
        <f>C4</f>
        <v>6998452</v>
      </c>
      <c r="I4" s="1363">
        <f>H4*25%</f>
        <v>1749613</v>
      </c>
      <c r="J4" s="1363">
        <f>H4*25%</f>
        <v>1749613</v>
      </c>
      <c r="K4" s="1363">
        <f>H4*50%</f>
        <v>3499226</v>
      </c>
    </row>
    <row r="5" spans="1:11" ht="21" customHeight="1" x14ac:dyDescent="0.25">
      <c r="A5" s="1363"/>
      <c r="B5" s="1363"/>
      <c r="C5" s="1363"/>
      <c r="D5" s="1363"/>
      <c r="E5" s="226"/>
      <c r="F5" s="226"/>
      <c r="G5" s="226"/>
      <c r="H5" s="1363"/>
      <c r="I5" s="1363"/>
      <c r="J5" s="1363"/>
      <c r="K5" s="1363"/>
    </row>
    <row r="6" spans="1:11" ht="15.75" x14ac:dyDescent="0.25">
      <c r="A6" s="1364" t="s">
        <v>2620</v>
      </c>
      <c r="B6" s="1364"/>
      <c r="C6" s="1364"/>
      <c r="D6" s="1364"/>
      <c r="E6" s="1364"/>
      <c r="F6" s="1364"/>
      <c r="G6" s="1364"/>
      <c r="H6" s="1364"/>
      <c r="I6" s="187" t="s">
        <v>158</v>
      </c>
      <c r="J6" s="187" t="s">
        <v>2621</v>
      </c>
      <c r="K6" s="187" t="s">
        <v>2621</v>
      </c>
    </row>
    <row r="7" spans="1:11" ht="15.75" x14ac:dyDescent="0.25">
      <c r="A7" s="1364" t="s">
        <v>2622</v>
      </c>
      <c r="B7" s="1364"/>
      <c r="C7" s="1364"/>
      <c r="D7" s="1364"/>
      <c r="E7" s="1364"/>
      <c r="F7" s="1364"/>
      <c r="G7" s="1364"/>
      <c r="H7" s="1364"/>
      <c r="I7" s="187" t="s">
        <v>2623</v>
      </c>
      <c r="J7" s="188">
        <f>J4</f>
        <v>1749613</v>
      </c>
      <c r="K7" s="188">
        <f>K4</f>
        <v>3499226</v>
      </c>
    </row>
    <row r="9" spans="1:11" ht="18" x14ac:dyDescent="0.25">
      <c r="A9" s="1366" t="s">
        <v>2624</v>
      </c>
      <c r="B9" s="1366"/>
      <c r="C9" s="1366"/>
      <c r="D9" s="1366"/>
      <c r="E9" s="1366"/>
      <c r="F9" s="1366"/>
      <c r="G9" s="1366"/>
      <c r="H9" s="1366"/>
      <c r="I9" s="1366"/>
      <c r="J9" s="1366"/>
      <c r="K9" s="1366"/>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3">
        <v>42596884</v>
      </c>
      <c r="B11" s="1363">
        <v>51367818</v>
      </c>
      <c r="C11" s="1363">
        <f>B11-A11</f>
        <v>8770934</v>
      </c>
      <c r="D11" s="1363" t="s">
        <v>2619</v>
      </c>
      <c r="E11" s="226"/>
      <c r="F11" s="226"/>
      <c r="G11" s="226"/>
      <c r="H11" s="1363">
        <f>C11</f>
        <v>8770934</v>
      </c>
      <c r="I11" s="1363">
        <f>H11*25%</f>
        <v>2192733.5</v>
      </c>
      <c r="J11" s="1363">
        <f>H11*25%</f>
        <v>2192733.5</v>
      </c>
      <c r="K11" s="1363">
        <f>H11*50%</f>
        <v>4385467</v>
      </c>
    </row>
    <row r="12" spans="1:11" ht="12.75" customHeight="1" x14ac:dyDescent="0.25">
      <c r="A12" s="1363"/>
      <c r="B12" s="1363"/>
      <c r="C12" s="1363"/>
      <c r="D12" s="1363"/>
      <c r="E12" s="226"/>
      <c r="F12" s="226"/>
      <c r="G12" s="226"/>
      <c r="H12" s="1363"/>
      <c r="I12" s="1363"/>
      <c r="J12" s="1363"/>
      <c r="K12" s="1363"/>
    </row>
    <row r="13" spans="1:11" ht="15.75" x14ac:dyDescent="0.25">
      <c r="A13" s="1364" t="s">
        <v>2625</v>
      </c>
      <c r="B13" s="1364"/>
      <c r="C13" s="1364"/>
      <c r="D13" s="1364"/>
      <c r="E13" s="1364"/>
      <c r="F13" s="1364"/>
      <c r="G13" s="1364"/>
      <c r="H13" s="1364"/>
      <c r="I13" s="187" t="s">
        <v>158</v>
      </c>
      <c r="J13" s="189">
        <v>84775</v>
      </c>
      <c r="K13" s="187" t="s">
        <v>2621</v>
      </c>
    </row>
    <row r="14" spans="1:11" ht="15.75" x14ac:dyDescent="0.25">
      <c r="A14" s="1364" t="s">
        <v>2622</v>
      </c>
      <c r="B14" s="1364"/>
      <c r="C14" s="1364"/>
      <c r="D14" s="1364"/>
      <c r="E14" s="1364"/>
      <c r="F14" s="1364"/>
      <c r="G14" s="1364"/>
      <c r="H14" s="136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6" t="s">
        <v>2626</v>
      </c>
      <c r="B17" s="1366"/>
      <c r="C17" s="1366"/>
      <c r="D17" s="1366"/>
      <c r="E17" s="1366"/>
      <c r="F17" s="1366"/>
      <c r="G17" s="1366"/>
      <c r="H17" s="1366"/>
      <c r="I17" s="1366"/>
      <c r="J17" s="1366"/>
      <c r="K17" s="1366"/>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3">
        <v>91625888</v>
      </c>
      <c r="B19" s="1363">
        <v>130688607</v>
      </c>
      <c r="C19" s="1363">
        <f>B19-A19</f>
        <v>39062719</v>
      </c>
      <c r="D19" s="1363">
        <v>7500000</v>
      </c>
      <c r="E19" s="226"/>
      <c r="F19" s="226"/>
      <c r="G19" s="226"/>
      <c r="H19" s="1363">
        <f>C19</f>
        <v>39062719</v>
      </c>
      <c r="I19" s="1363">
        <f>H19*25%</f>
        <v>9765679.75</v>
      </c>
      <c r="J19" s="1363">
        <f>H19*25%</f>
        <v>9765679.75</v>
      </c>
      <c r="K19" s="1363">
        <f>H19*50%</f>
        <v>19531359.5</v>
      </c>
    </row>
    <row r="20" spans="1:11" ht="12.75" customHeight="1" x14ac:dyDescent="0.25">
      <c r="A20" s="1363"/>
      <c r="B20" s="1363"/>
      <c r="C20" s="1363"/>
      <c r="D20" s="1363"/>
      <c r="E20" s="226"/>
      <c r="F20" s="226"/>
      <c r="G20" s="226"/>
      <c r="H20" s="1363"/>
      <c r="I20" s="1363"/>
      <c r="J20" s="1363"/>
      <c r="K20" s="1363"/>
    </row>
    <row r="21" spans="1:11" ht="15.75" x14ac:dyDescent="0.25">
      <c r="A21" s="1364" t="s">
        <v>2625</v>
      </c>
      <c r="B21" s="1364"/>
      <c r="C21" s="1364"/>
      <c r="D21" s="1364"/>
      <c r="E21" s="1364"/>
      <c r="F21" s="1364"/>
      <c r="G21" s="1364"/>
      <c r="H21" s="1364"/>
      <c r="I21" s="189">
        <v>13000000</v>
      </c>
      <c r="J21" s="187"/>
      <c r="K21" s="187"/>
    </row>
    <row r="22" spans="1:11" ht="15.75" x14ac:dyDescent="0.25">
      <c r="A22" s="1364" t="s">
        <v>2622</v>
      </c>
      <c r="B22" s="1364"/>
      <c r="C22" s="1364"/>
      <c r="D22" s="1364"/>
      <c r="E22" s="1364"/>
      <c r="F22" s="1364"/>
      <c r="G22" s="1364"/>
      <c r="H22" s="136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4" t="s">
        <v>2636</v>
      </c>
      <c r="B36" s="1354"/>
      <c r="C36" s="1354"/>
      <c r="D36" s="1354"/>
      <c r="E36" s="1354"/>
      <c r="F36" s="1354"/>
      <c r="G36" s="1354"/>
      <c r="H36" s="1354"/>
      <c r="I36" s="1354"/>
      <c r="J36" s="1354"/>
      <c r="K36" s="1354"/>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9">
        <f>'Main Summary'!$AG$73</f>
        <v>31688154.002880182</v>
      </c>
      <c r="B38" s="1359">
        <f>'Main Summary'!$AH$73</f>
        <v>37164776</v>
      </c>
      <c r="C38" s="1359">
        <f>B38-A38</f>
        <v>5476621.9971198179</v>
      </c>
      <c r="D38" s="1359">
        <v>6000000</v>
      </c>
      <c r="E38" s="1361"/>
      <c r="F38" s="1361"/>
      <c r="G38" s="1359">
        <v>300000</v>
      </c>
      <c r="H38" s="1359">
        <f>C38-D38-G38</f>
        <v>-823378.00288018212</v>
      </c>
      <c r="I38" s="1359">
        <f>H38*33%</f>
        <v>-271714.74095046014</v>
      </c>
      <c r="J38" s="1359">
        <f>H38*33%</f>
        <v>-271714.74095046014</v>
      </c>
      <c r="K38" s="1359">
        <f>H38*34%</f>
        <v>-279948.52097926196</v>
      </c>
    </row>
    <row r="39" spans="1:13" ht="16.899999999999999" customHeight="1" x14ac:dyDescent="0.25">
      <c r="A39" s="1359"/>
      <c r="B39" s="1359"/>
      <c r="C39" s="1359"/>
      <c r="D39" s="1359"/>
      <c r="E39" s="1362"/>
      <c r="F39" s="1362"/>
      <c r="G39" s="1359"/>
      <c r="H39" s="1359"/>
      <c r="I39" s="1359"/>
      <c r="J39" s="1359"/>
      <c r="K39" s="1359"/>
    </row>
    <row r="40" spans="1:13" ht="16.5" x14ac:dyDescent="0.25">
      <c r="A40" s="1360" t="s">
        <v>2637</v>
      </c>
      <c r="B40" s="1360"/>
      <c r="C40" s="1360"/>
      <c r="D40" s="1360"/>
      <c r="E40" s="1360"/>
      <c r="F40" s="1360"/>
      <c r="G40" s="1360"/>
      <c r="H40" s="1360"/>
      <c r="I40" s="232">
        <v>3234320</v>
      </c>
      <c r="J40" s="232"/>
      <c r="K40" s="232"/>
    </row>
    <row r="41" spans="1:13" ht="16.5" x14ac:dyDescent="0.25">
      <c r="A41" s="1360" t="s">
        <v>2865</v>
      </c>
      <c r="B41" s="1360"/>
      <c r="C41" s="1360"/>
      <c r="D41" s="1360"/>
      <c r="E41" s="1360"/>
      <c r="F41" s="1360"/>
      <c r="G41" s="1360"/>
      <c r="H41" s="1360"/>
      <c r="I41" s="232"/>
      <c r="J41" s="232">
        <v>1676486</v>
      </c>
      <c r="K41" s="232">
        <v>6090000</v>
      </c>
    </row>
    <row r="42" spans="1:13" ht="16.5" x14ac:dyDescent="0.25">
      <c r="A42" s="1360" t="s">
        <v>2638</v>
      </c>
      <c r="B42" s="1360"/>
      <c r="C42" s="1360"/>
      <c r="D42" s="1360"/>
      <c r="E42" s="1360"/>
      <c r="F42" s="1360"/>
      <c r="G42" s="1360"/>
      <c r="H42" s="1360"/>
      <c r="I42" s="232">
        <v>1568356</v>
      </c>
      <c r="J42" s="232"/>
      <c r="K42" s="232"/>
    </row>
    <row r="43" spans="1:13" ht="16.5" x14ac:dyDescent="0.25">
      <c r="A43" s="1358" t="s">
        <v>2639</v>
      </c>
      <c r="B43" s="1358"/>
      <c r="C43" s="1358"/>
      <c r="D43" s="1358"/>
      <c r="E43" s="1358"/>
      <c r="F43" s="1358"/>
      <c r="G43" s="1358"/>
      <c r="H43" s="135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5" t="s">
        <v>2774</v>
      </c>
      <c r="B45" s="1365"/>
      <c r="C45" s="1365"/>
      <c r="D45" s="1365"/>
      <c r="E45" s="1365"/>
      <c r="F45" s="1365"/>
      <c r="G45" s="1365"/>
      <c r="H45" s="1365"/>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4" t="s">
        <v>3294</v>
      </c>
      <c r="B49" s="1354"/>
      <c r="C49" s="1354"/>
      <c r="D49" s="1354"/>
      <c r="E49" s="1354"/>
      <c r="F49" s="1354"/>
      <c r="G49" s="1354"/>
      <c r="H49" s="1354"/>
      <c r="I49" s="1354"/>
      <c r="J49" s="1354"/>
      <c r="K49" s="1354"/>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5">
        <f>'Main Summary'!Z19</f>
        <v>113012540.90419273</v>
      </c>
      <c r="B51" s="1355">
        <f>'Main Summary'!AA19</f>
        <v>164353252</v>
      </c>
      <c r="C51" s="1355">
        <f>B51-A51</f>
        <v>51340711.095807269</v>
      </c>
      <c r="D51" s="1355">
        <v>7000000</v>
      </c>
      <c r="E51" s="1356">
        <f>15000000+6000000</f>
        <v>21000000</v>
      </c>
      <c r="F51" s="345"/>
      <c r="G51" s="1355">
        <v>500000</v>
      </c>
      <c r="H51" s="1355">
        <f>C51-D51-G51-E51</f>
        <v>22840711.095807269</v>
      </c>
      <c r="I51" s="1355">
        <f>H51*33%</f>
        <v>7537434.661616399</v>
      </c>
      <c r="J51" s="1355">
        <f>H51*33%</f>
        <v>7537434.661616399</v>
      </c>
      <c r="K51" s="1355">
        <f>H51*34%</f>
        <v>7765841.7725744722</v>
      </c>
    </row>
    <row r="52" spans="1:13" ht="16.899999999999999" customHeight="1" x14ac:dyDescent="0.25">
      <c r="A52" s="1355"/>
      <c r="B52" s="1355"/>
      <c r="C52" s="1355"/>
      <c r="D52" s="1355"/>
      <c r="E52" s="1357"/>
      <c r="F52" s="346"/>
      <c r="G52" s="1355"/>
      <c r="H52" s="1355"/>
      <c r="I52" s="1355"/>
      <c r="J52" s="1355"/>
      <c r="K52" s="1355"/>
    </row>
    <row r="53" spans="1:13" ht="15.75" x14ac:dyDescent="0.25">
      <c r="A53" s="1351" t="s">
        <v>2637</v>
      </c>
      <c r="B53" s="1351"/>
      <c r="C53" s="1351"/>
      <c r="D53" s="1351"/>
      <c r="E53" s="1351"/>
      <c r="F53" s="1351"/>
      <c r="G53" s="1351"/>
      <c r="H53" s="1351"/>
      <c r="I53" s="226"/>
      <c r="J53" s="226"/>
      <c r="K53" s="226"/>
      <c r="M53" s="1">
        <v>1682985</v>
      </c>
    </row>
    <row r="54" spans="1:13" ht="15.75" x14ac:dyDescent="0.25">
      <c r="A54" s="1351" t="s">
        <v>2865</v>
      </c>
      <c r="B54" s="1351"/>
      <c r="C54" s="1351"/>
      <c r="D54" s="1351"/>
      <c r="E54" s="1351"/>
      <c r="F54" s="1351"/>
      <c r="G54" s="1351"/>
      <c r="H54" s="1351"/>
      <c r="I54" s="226">
        <f>450000+3000000+1300000+200000+6000000</f>
        <v>10950000</v>
      </c>
      <c r="J54" s="226">
        <f>3800000+300000+1500000+89000+1000000+1300000</f>
        <v>7989000</v>
      </c>
      <c r="K54" s="226">
        <f>150000+500000+500000+5000000</f>
        <v>6150000</v>
      </c>
      <c r="M54" s="1">
        <v>26656</v>
      </c>
    </row>
    <row r="55" spans="1:13" ht="15.75" x14ac:dyDescent="0.25">
      <c r="A55" s="1351" t="s">
        <v>4275</v>
      </c>
      <c r="B55" s="1351"/>
      <c r="C55" s="1351"/>
      <c r="D55" s="1351"/>
      <c r="E55" s="1351"/>
      <c r="F55" s="1351"/>
      <c r="G55" s="1351"/>
      <c r="H55" s="1351"/>
      <c r="I55" s="226"/>
      <c r="J55" s="226">
        <v>493250</v>
      </c>
      <c r="K55" s="226"/>
      <c r="M55" s="1">
        <v>7143</v>
      </c>
    </row>
    <row r="56" spans="1:13" ht="15.75" x14ac:dyDescent="0.25">
      <c r="A56" s="1352" t="s">
        <v>2639</v>
      </c>
      <c r="B56" s="1352"/>
      <c r="C56" s="1352"/>
      <c r="D56" s="1352"/>
      <c r="E56" s="1352"/>
      <c r="F56" s="1352"/>
      <c r="G56" s="1352"/>
      <c r="H56" s="1352"/>
      <c r="I56" s="264">
        <f>I51-I53-I54-I55</f>
        <v>-3412565.338383601</v>
      </c>
      <c r="J56" s="264">
        <f>J51+J55-J54</f>
        <v>41684.661616398953</v>
      </c>
      <c r="K56" s="264">
        <f>K51-K53-K54-K55</f>
        <v>1615841.7725744722</v>
      </c>
      <c r="M56" s="1">
        <v>7257</v>
      </c>
    </row>
    <row r="57" spans="1:13" ht="15.75" x14ac:dyDescent="0.25">
      <c r="A57" s="1353" t="s">
        <v>2774</v>
      </c>
      <c r="B57" s="1353"/>
      <c r="C57" s="1353"/>
      <c r="D57" s="1353"/>
      <c r="E57" s="1353"/>
      <c r="F57" s="1353"/>
      <c r="G57" s="1353"/>
      <c r="H57" s="1353"/>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4" t="s">
        <v>3670</v>
      </c>
      <c r="B61" s="1354"/>
      <c r="C61" s="1354"/>
      <c r="D61" s="1354"/>
      <c r="E61" s="1354"/>
      <c r="F61" s="1354"/>
      <c r="G61" s="1354"/>
      <c r="H61" s="1354"/>
      <c r="I61" s="1354"/>
      <c r="J61" s="1354"/>
      <c r="K61" s="1354"/>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5">
        <f>'Main Summary'!V19</f>
        <v>138622950.11069509</v>
      </c>
      <c r="B63" s="1355">
        <f>'Main Summary'!W19</f>
        <v>174948764</v>
      </c>
      <c r="C63" s="1355">
        <f>B63-A63</f>
        <v>36325813.889304906</v>
      </c>
      <c r="D63" s="1355">
        <v>2000000</v>
      </c>
      <c r="E63" s="1356">
        <v>4500000</v>
      </c>
      <c r="F63" s="1356">
        <v>889800</v>
      </c>
      <c r="G63" s="1355">
        <v>500000</v>
      </c>
      <c r="H63" s="1355">
        <f>C63-D63-G63-E63-F63</f>
        <v>28436013.889304906</v>
      </c>
      <c r="I63" s="1355">
        <f>H63*33%</f>
        <v>9383884.5834706202</v>
      </c>
      <c r="J63" s="1355">
        <f>H63*33%</f>
        <v>9383884.5834706202</v>
      </c>
      <c r="K63" s="1355">
        <f>H63*34%</f>
        <v>9668244.7223636694</v>
      </c>
    </row>
    <row r="64" spans="1:13" ht="15" customHeight="1" x14ac:dyDescent="0.25">
      <c r="A64" s="1355"/>
      <c r="B64" s="1355"/>
      <c r="C64" s="1355"/>
      <c r="D64" s="1355"/>
      <c r="E64" s="1357"/>
      <c r="F64" s="1357"/>
      <c r="G64" s="1355"/>
      <c r="H64" s="1355"/>
      <c r="I64" s="1355"/>
      <c r="J64" s="1355"/>
      <c r="K64" s="1355"/>
    </row>
    <row r="65" spans="1:18" ht="27" customHeight="1" x14ac:dyDescent="0.25">
      <c r="A65" s="1351" t="s">
        <v>2865</v>
      </c>
      <c r="B65" s="1351"/>
      <c r="C65" s="1351"/>
      <c r="D65" s="1351"/>
      <c r="E65" s="1351"/>
      <c r="F65" s="1351"/>
      <c r="G65" s="1351"/>
      <c r="H65" s="1351"/>
      <c r="I65" s="226">
        <f>'old Sharing details'!H30</f>
        <v>20909127</v>
      </c>
      <c r="J65" s="226">
        <f>'old Sharing details'!H65</f>
        <v>20630910</v>
      </c>
      <c r="K65" s="226">
        <f>'old Sharing details'!D125</f>
        <v>17742859</v>
      </c>
    </row>
    <row r="66" spans="1:18" ht="27" customHeight="1" x14ac:dyDescent="0.25">
      <c r="A66" s="1352" t="s">
        <v>2639</v>
      </c>
      <c r="B66" s="1352"/>
      <c r="C66" s="1352"/>
      <c r="D66" s="1352"/>
      <c r="E66" s="1352"/>
      <c r="F66" s="1352"/>
      <c r="G66" s="1352"/>
      <c r="H66" s="1352"/>
      <c r="I66" s="264">
        <f>I63-I65</f>
        <v>-11525242.41652938</v>
      </c>
      <c r="J66" s="264">
        <f t="shared" ref="J66:K66" si="0">J63-J65</f>
        <v>-11247025.41652938</v>
      </c>
      <c r="K66" s="264">
        <f t="shared" si="0"/>
        <v>-8074614.2776363306</v>
      </c>
    </row>
    <row r="67" spans="1:18" ht="15.75" x14ac:dyDescent="0.25">
      <c r="A67" s="1353" t="s">
        <v>2774</v>
      </c>
      <c r="B67" s="1353"/>
      <c r="C67" s="1353"/>
      <c r="D67" s="1353"/>
      <c r="E67" s="1353"/>
      <c r="F67" s="1353"/>
      <c r="G67" s="1353"/>
      <c r="H67" s="1353"/>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50" t="s">
        <v>5164</v>
      </c>
      <c r="B69" s="1350"/>
      <c r="C69" s="1350"/>
      <c r="D69" s="1350"/>
      <c r="E69" s="284">
        <v>3118282</v>
      </c>
      <c r="M69"/>
      <c r="N69" s="1">
        <v>4629646</v>
      </c>
      <c r="O69" s="1">
        <v>7330193</v>
      </c>
      <c r="P69" s="1">
        <v>1850440</v>
      </c>
      <c r="R69" s="1"/>
    </row>
    <row r="70" spans="1:18" x14ac:dyDescent="0.25">
      <c r="A70" s="1350" t="s">
        <v>5162</v>
      </c>
      <c r="B70" s="1350"/>
      <c r="C70" s="1350"/>
      <c r="D70" s="1350"/>
      <c r="E70" s="15">
        <v>1000000</v>
      </c>
      <c r="M70"/>
      <c r="N70" s="3"/>
      <c r="R70" s="1"/>
    </row>
    <row r="71" spans="1:18" ht="26.25" x14ac:dyDescent="0.25">
      <c r="A71" s="1350" t="s">
        <v>5163</v>
      </c>
      <c r="B71" s="1350"/>
      <c r="C71" s="1350"/>
      <c r="D71" s="1350"/>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7" t="s">
        <v>4712</v>
      </c>
      <c r="O73" s="1367"/>
      <c r="P73" s="1367"/>
    </row>
    <row r="74" spans="1:18" x14ac:dyDescent="0.25">
      <c r="A74">
        <f>139220029+2000000</f>
        <v>141220029</v>
      </c>
      <c r="B74" s="3">
        <f>B63-A74</f>
        <v>33728735</v>
      </c>
      <c r="M74"/>
      <c r="N74" s="1367"/>
      <c r="O74" s="1367"/>
      <c r="P74" s="136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1" t="s">
        <v>1767</v>
      </c>
      <c r="D1" s="1141"/>
      <c r="E1" s="1141"/>
    </row>
    <row r="2" spans="1:8" x14ac:dyDescent="0.25">
      <c r="C2" s="1141"/>
      <c r="D2" s="1141"/>
      <c r="E2" s="1141"/>
    </row>
    <row r="3" spans="1:8" x14ac:dyDescent="0.25">
      <c r="C3" s="1305" t="s">
        <v>4713</v>
      </c>
      <c r="D3" s="1305"/>
      <c r="E3" s="1305"/>
    </row>
    <row r="4" spans="1:8" x14ac:dyDescent="0.25">
      <c r="C4" s="1305"/>
      <c r="D4" s="1305"/>
      <c r="E4" s="1305"/>
    </row>
    <row r="6" spans="1:8" ht="14.45" customHeight="1" x14ac:dyDescent="0.25">
      <c r="A6" s="1382" t="s">
        <v>1894</v>
      </c>
      <c r="B6" s="1383"/>
      <c r="C6" s="1383"/>
      <c r="D6" s="1384"/>
      <c r="E6" s="1391" t="s">
        <v>4751</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282" t="s">
        <v>4590</v>
      </c>
      <c r="B9" s="1283"/>
      <c r="C9" s="1283"/>
      <c r="D9" s="1284"/>
      <c r="E9" s="1285" t="s">
        <v>4590</v>
      </c>
      <c r="F9" s="1286"/>
      <c r="G9" s="1286"/>
      <c r="H9" s="128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9" t="s">
        <v>4596</v>
      </c>
      <c r="F30" s="1289"/>
      <c r="G30" s="1290"/>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1" t="s">
        <v>4748</v>
      </c>
      <c r="F37" s="1286"/>
      <c r="G37" s="1286"/>
      <c r="H37" s="128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8" t="s">
        <v>4596</v>
      </c>
      <c r="B54" s="1288"/>
      <c r="C54" s="1288"/>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1" t="s">
        <v>4600</v>
      </c>
      <c r="B58" s="1372"/>
      <c r="C58" s="1372"/>
      <c r="D58" s="1372"/>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8" t="s">
        <v>4596</v>
      </c>
      <c r="F65" s="1288"/>
      <c r="G65" s="1288"/>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7" t="s">
        <v>4745</v>
      </c>
      <c r="F73" s="1377"/>
      <c r="G73" s="1377"/>
      <c r="H73" s="1377"/>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8" t="s">
        <v>4596</v>
      </c>
      <c r="F87" s="1379"/>
      <c r="G87" s="1380"/>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3" t="s">
        <v>4596</v>
      </c>
      <c r="B102" s="1323"/>
      <c r="C102" s="1324"/>
      <c r="D102" s="314">
        <f>SUM(D60:D101)</f>
        <v>8325000</v>
      </c>
    </row>
    <row r="104" spans="1:4" ht="15.75" thickBot="1" x14ac:dyDescent="0.3">
      <c r="D104" s="50"/>
    </row>
    <row r="105" spans="1:4" ht="21.75" thickBot="1" x14ac:dyDescent="0.3">
      <c r="A105" s="1374" t="s">
        <v>4597</v>
      </c>
      <c r="B105" s="1375"/>
      <c r="C105" s="1375"/>
      <c r="D105" s="1376"/>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22" t="s">
        <v>4596</v>
      </c>
      <c r="B124" s="1323"/>
      <c r="C124" s="1324"/>
      <c r="D124" s="321">
        <f>SUM(D107:D123)</f>
        <v>3665720</v>
      </c>
    </row>
    <row r="125" spans="1:4" ht="19.5" thickBot="1" x14ac:dyDescent="0.35">
      <c r="A125" s="1368" t="s">
        <v>4617</v>
      </c>
      <c r="B125" s="1369"/>
      <c r="C125" s="1370"/>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2024-04-22T12:45:30Z</dcterms:modified>
</cp:coreProperties>
</file>