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pivotTables/pivotTable1.xml" ContentType="application/vnd.openxmlformats-officedocument.spreadsheetml.pivotTable+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updateLinks="always" codeName="ThisWorkbook" defaultThemeVersion="124226"/>
  <mc:AlternateContent xmlns:mc="http://schemas.openxmlformats.org/markup-compatibility/2006">
    <mc:Choice Requires="x15">
      <x15ac:absPath xmlns:x15ac="http://schemas.microsoft.com/office/spreadsheetml/2010/11/ac" url="I:\PES\"/>
    </mc:Choice>
  </mc:AlternateContent>
  <bookViews>
    <workbookView xWindow="0" yWindow="0" windowWidth="23040" windowHeight="9405" activeTab="5"/>
  </bookViews>
  <sheets>
    <sheet name="Petty cash" sheetId="12" r:id="rId1"/>
    <sheet name="Cash Book" sheetId="37" r:id="rId2"/>
    <sheet name="Person 2222)" sheetId="42" r:id="rId3"/>
    <sheet name="Sheet2" sheetId="43" r:id="rId4"/>
    <sheet name="Person" sheetId="41" r:id="rId5"/>
    <sheet name="Imran engr" sheetId="28" r:id="rId6"/>
    <sheet name="Bilal bhai" sheetId="22" r:id="rId7"/>
    <sheet name="Nadeem" sheetId="19" r:id="rId8"/>
    <sheet name="azeem" sheetId="30" r:id="rId9"/>
    <sheet name="zeeshan ac" sheetId="34" r:id="rId10"/>
    <sheet name="Imran-mukhtiar-asif" sheetId="36" r:id="rId11"/>
    <sheet name="Abbas" sheetId="40" r:id="rId12"/>
    <sheet name="khalid man" sheetId="39" r:id="rId13"/>
    <sheet name="Jahangeer" sheetId="33" r:id="rId14"/>
    <sheet name="Khalid bhai" sheetId="32" r:id="rId15"/>
    <sheet name="Haneef" sheetId="31" r:id="rId16"/>
  </sheets>
  <externalReferences>
    <externalReference r:id="rId17"/>
  </externalReferences>
  <definedNames>
    <definedName name="_xlnm._FilterDatabase" localSheetId="1" hidden="1">'Cash Book'!$F$12:$J$22</definedName>
    <definedName name="_xlnm._FilterDatabase" localSheetId="0" hidden="1">'Petty cash'!$A$1:$L$10059</definedName>
    <definedName name="_xlnm.Print_Area" localSheetId="6">'Bilal bhai'!$A$590:$F$616</definedName>
    <definedName name="_xlnm.Print_Area" localSheetId="1">'Cash Book'!$A$1:$J$30</definedName>
    <definedName name="_xlnm.Print_Area" localSheetId="7">Nadeem!$A$486:$E$524</definedName>
    <definedName name="_xlnm.Print_Area" localSheetId="0">'Petty cash'!$A$9690:$F$9753</definedName>
    <definedName name="_xlnm.Print_Titles" localSheetId="0">'Petty cash'!$1:$1</definedName>
  </definedNames>
  <calcPr calcId="152511" iterate="1" calcOnSave="0"/>
  <pivotCaches>
    <pivotCache cacheId="141" r:id="rId18"/>
  </pivotCaches>
</workbook>
</file>

<file path=xl/calcChain.xml><?xml version="1.0" encoding="utf-8"?>
<calcChain xmlns="http://schemas.openxmlformats.org/spreadsheetml/2006/main">
  <c r="S27" i="36" l="1"/>
  <c r="G594" i="42" l="1"/>
  <c r="G593" i="42"/>
  <c r="G592" i="42"/>
  <c r="G591" i="42"/>
  <c r="G590" i="42"/>
  <c r="G589" i="42"/>
  <c r="G588" i="42"/>
  <c r="G587" i="42"/>
  <c r="G586" i="42"/>
  <c r="G585" i="42"/>
  <c r="E93" i="28"/>
  <c r="G584" i="42"/>
  <c r="G582" i="42"/>
  <c r="G581" i="42"/>
  <c r="G576" i="42"/>
  <c r="G575" i="42"/>
  <c r="G510" i="42"/>
  <c r="G524" i="42"/>
  <c r="G525" i="42"/>
  <c r="G421" i="42"/>
  <c r="G431" i="42"/>
  <c r="G432" i="42"/>
  <c r="G440" i="42"/>
  <c r="G446" i="42"/>
  <c r="G475" i="42"/>
  <c r="G491" i="42"/>
  <c r="G492" i="42"/>
  <c r="G499" i="42"/>
  <c r="G500" i="42"/>
  <c r="G503" i="42"/>
  <c r="G508" i="42"/>
  <c r="G518" i="42"/>
  <c r="G520" i="42"/>
  <c r="G521" i="42"/>
  <c r="G522" i="42"/>
  <c r="G528" i="42"/>
  <c r="G530" i="42"/>
  <c r="G540" i="42"/>
  <c r="G527" i="42"/>
  <c r="G547" i="42"/>
  <c r="G549" i="42"/>
  <c r="G550" i="42"/>
  <c r="G552" i="42"/>
  <c r="G555" i="42"/>
  <c r="G557" i="42"/>
  <c r="G558" i="42"/>
  <c r="G559" i="42"/>
  <c r="G561" i="42"/>
  <c r="G562" i="42"/>
  <c r="G563" i="42"/>
  <c r="G564" i="42"/>
  <c r="G566" i="42"/>
  <c r="G578" i="42"/>
  <c r="G579" i="42"/>
  <c r="G2" i="42"/>
  <c r="G3" i="42"/>
  <c r="G4" i="42"/>
  <c r="G5" i="42"/>
  <c r="G6" i="42"/>
  <c r="G7" i="42"/>
  <c r="G8" i="42"/>
  <c r="G9" i="42"/>
  <c r="G10" i="42"/>
  <c r="G11" i="42"/>
  <c r="G12" i="42"/>
  <c r="G13" i="42"/>
  <c r="G14" i="42"/>
  <c r="G15" i="42"/>
  <c r="G16" i="42"/>
  <c r="G17" i="42"/>
  <c r="G18" i="42"/>
  <c r="G19" i="42"/>
  <c r="G20" i="42"/>
  <c r="G21" i="42"/>
  <c r="G22" i="42"/>
  <c r="G23" i="42"/>
  <c r="G24" i="42"/>
  <c r="G25" i="42"/>
  <c r="G26" i="42"/>
  <c r="G27" i="42"/>
  <c r="G28" i="42"/>
  <c r="G29" i="42"/>
  <c r="G30" i="42"/>
  <c r="G31" i="42"/>
  <c r="G32" i="42"/>
  <c r="G33" i="42"/>
  <c r="G34" i="42"/>
  <c r="G35" i="42"/>
  <c r="G36" i="42"/>
  <c r="G37" i="42"/>
  <c r="G38" i="42"/>
  <c r="G39" i="42"/>
  <c r="G40" i="42"/>
  <c r="G41" i="42"/>
  <c r="G42" i="42"/>
  <c r="G43" i="42"/>
  <c r="G44" i="42"/>
  <c r="G45" i="42"/>
  <c r="G46" i="42"/>
  <c r="G47" i="42"/>
  <c r="G48" i="42"/>
  <c r="G49" i="42"/>
  <c r="G50" i="42"/>
  <c r="G51" i="42"/>
  <c r="G52" i="42"/>
  <c r="G53" i="42"/>
  <c r="G54" i="42"/>
  <c r="G55" i="42"/>
  <c r="G56" i="42"/>
  <c r="G57" i="42"/>
  <c r="G58" i="42"/>
  <c r="G59" i="42"/>
  <c r="G60" i="42"/>
  <c r="G61" i="42"/>
  <c r="G62" i="42"/>
  <c r="G63" i="42"/>
  <c r="G64" i="42"/>
  <c r="G65" i="42"/>
  <c r="G66" i="42"/>
  <c r="G67" i="42"/>
  <c r="G68" i="42"/>
  <c r="G69" i="42"/>
  <c r="G70" i="42"/>
  <c r="G71" i="42"/>
  <c r="G72" i="42"/>
  <c r="G73" i="42"/>
  <c r="G74" i="42"/>
  <c r="G75" i="42"/>
  <c r="G76" i="42"/>
  <c r="G77" i="42"/>
  <c r="G78" i="42"/>
  <c r="G79" i="42"/>
  <c r="G80" i="42"/>
  <c r="G81" i="42"/>
  <c r="G82" i="42"/>
  <c r="G83" i="42"/>
  <c r="G84" i="42"/>
  <c r="G85" i="42"/>
  <c r="G86" i="42"/>
  <c r="G87" i="42"/>
  <c r="G88" i="42"/>
  <c r="G89" i="42"/>
  <c r="G90" i="42"/>
  <c r="G91" i="42"/>
  <c r="G92" i="42"/>
  <c r="G93" i="42"/>
  <c r="G94" i="42"/>
  <c r="G95" i="42"/>
  <c r="G96" i="42"/>
  <c r="G97" i="42"/>
  <c r="G98" i="42"/>
  <c r="G99" i="42"/>
  <c r="G100" i="42"/>
  <c r="G101" i="42"/>
  <c r="G102" i="42"/>
  <c r="G103" i="42"/>
  <c r="G104" i="42"/>
  <c r="G105" i="42"/>
  <c r="G106" i="42"/>
  <c r="G107" i="42"/>
  <c r="G108" i="42"/>
  <c r="G109" i="42"/>
  <c r="G110" i="42"/>
  <c r="G111" i="42"/>
  <c r="G112" i="42"/>
  <c r="G113" i="42"/>
  <c r="G114" i="42"/>
  <c r="G115" i="42"/>
  <c r="G116" i="42"/>
  <c r="G117" i="42"/>
  <c r="G118" i="42"/>
  <c r="G119" i="42"/>
  <c r="G120" i="42"/>
  <c r="G121" i="42"/>
  <c r="G122" i="42"/>
  <c r="G123" i="42"/>
  <c r="G124" i="42"/>
  <c r="G125" i="42"/>
  <c r="G126" i="42"/>
  <c r="G127" i="42"/>
  <c r="G128" i="42"/>
  <c r="G129" i="42"/>
  <c r="G130" i="42"/>
  <c r="G131" i="42"/>
  <c r="G132" i="42"/>
  <c r="G133" i="42"/>
  <c r="G134" i="42"/>
  <c r="G135" i="42"/>
  <c r="G136" i="42"/>
  <c r="G137" i="42"/>
  <c r="G138" i="42"/>
  <c r="G139" i="42"/>
  <c r="G140" i="42"/>
  <c r="G141" i="42"/>
  <c r="G142" i="42"/>
  <c r="G143" i="42"/>
  <c r="G145" i="42"/>
  <c r="G146" i="42"/>
  <c r="G147" i="42"/>
  <c r="G148" i="42"/>
  <c r="G149" i="42"/>
  <c r="G150" i="42"/>
  <c r="G151" i="42"/>
  <c r="G144" i="42"/>
  <c r="G152" i="42"/>
  <c r="G157" i="42"/>
  <c r="G153" i="42"/>
  <c r="G154" i="42"/>
  <c r="G155" i="42"/>
  <c r="G156" i="42"/>
  <c r="G158" i="42"/>
  <c r="G159" i="42"/>
  <c r="G160" i="42"/>
  <c r="G161" i="42"/>
  <c r="G162" i="42"/>
  <c r="G163" i="42"/>
  <c r="G164" i="42"/>
  <c r="G165" i="42"/>
  <c r="G166" i="42"/>
  <c r="G167" i="42"/>
  <c r="G168" i="42"/>
  <c r="G169" i="42"/>
  <c r="G170" i="42"/>
  <c r="G171" i="42"/>
  <c r="G172" i="42"/>
  <c r="G173" i="42"/>
  <c r="G174" i="42"/>
  <c r="G175" i="42"/>
  <c r="G176" i="42"/>
  <c r="G177" i="42"/>
  <c r="G178" i="42"/>
  <c r="G179" i="42"/>
  <c r="G180" i="42"/>
  <c r="G181" i="42"/>
  <c r="G182" i="42"/>
  <c r="G183" i="42"/>
  <c r="G184" i="42"/>
  <c r="G185" i="42"/>
  <c r="G186" i="42"/>
  <c r="G187" i="42"/>
  <c r="G188" i="42"/>
  <c r="G189" i="42"/>
  <c r="G190" i="42"/>
  <c r="G191" i="42"/>
  <c r="G192" i="42"/>
  <c r="G193" i="42"/>
  <c r="G194" i="42"/>
  <c r="G195" i="42"/>
  <c r="G196" i="42"/>
  <c r="G197" i="42"/>
  <c r="G198" i="42"/>
  <c r="G199" i="42"/>
  <c r="G200" i="42"/>
  <c r="G202" i="42"/>
  <c r="G201" i="42"/>
  <c r="G204" i="42"/>
  <c r="G203" i="42"/>
  <c r="G207" i="42"/>
  <c r="G208" i="42"/>
  <c r="G209" i="42"/>
  <c r="G210" i="42"/>
  <c r="G211" i="42"/>
  <c r="G212" i="42"/>
  <c r="G213" i="42"/>
  <c r="G214" i="42"/>
  <c r="G215" i="42"/>
  <c r="G205" i="42"/>
  <c r="G206" i="42"/>
  <c r="G216" i="42"/>
  <c r="G217" i="42"/>
  <c r="G218" i="42"/>
  <c r="G219" i="42"/>
  <c r="G220" i="42"/>
  <c r="G221" i="42"/>
  <c r="G222" i="42"/>
  <c r="G223" i="42"/>
  <c r="G224" i="42"/>
  <c r="G225" i="42"/>
  <c r="G226" i="42"/>
  <c r="G227" i="42"/>
  <c r="G228" i="42"/>
  <c r="G229" i="42"/>
  <c r="G230" i="42"/>
  <c r="G231" i="42"/>
  <c r="G232" i="42"/>
  <c r="G233" i="42"/>
  <c r="G234" i="42"/>
  <c r="G235" i="42"/>
  <c r="G236" i="42"/>
  <c r="G237" i="42"/>
  <c r="G238" i="42"/>
  <c r="G239" i="42"/>
  <c r="G240" i="42"/>
  <c r="G241" i="42"/>
  <c r="G242" i="42"/>
  <c r="G243" i="42"/>
  <c r="G244" i="42"/>
  <c r="G245" i="42"/>
  <c r="G246" i="42"/>
  <c r="G247" i="42"/>
  <c r="G248" i="42"/>
  <c r="G249" i="42"/>
  <c r="G250" i="42"/>
  <c r="G251" i="42"/>
  <c r="G252" i="42"/>
  <c r="G253" i="42"/>
  <c r="G254" i="42"/>
  <c r="G255" i="42"/>
  <c r="G256" i="42"/>
  <c r="G257" i="42"/>
  <c r="G258" i="42"/>
  <c r="G259" i="42"/>
  <c r="G260" i="42"/>
  <c r="G261" i="42"/>
  <c r="G262" i="42"/>
  <c r="G263" i="42"/>
  <c r="G264" i="42"/>
  <c r="G265" i="42"/>
  <c r="G266" i="42"/>
  <c r="G267" i="42"/>
  <c r="G268" i="42"/>
  <c r="G269" i="42"/>
  <c r="G270" i="42"/>
  <c r="G271" i="42"/>
  <c r="G272" i="42"/>
  <c r="G273" i="42"/>
  <c r="G274" i="42"/>
  <c r="G275" i="42"/>
  <c r="G276" i="42"/>
  <c r="G277" i="42"/>
  <c r="G278" i="42"/>
  <c r="G279" i="42"/>
  <c r="G280" i="42"/>
  <c r="G281" i="42"/>
  <c r="G282" i="42"/>
  <c r="G283" i="42"/>
  <c r="G284" i="42"/>
  <c r="G285" i="42"/>
  <c r="G286" i="42"/>
  <c r="G287" i="42"/>
  <c r="G288" i="42"/>
  <c r="G289" i="42"/>
  <c r="G290" i="42"/>
  <c r="G291" i="42"/>
  <c r="G292" i="42"/>
  <c r="G293" i="42"/>
  <c r="G294" i="42"/>
  <c r="G295" i="42"/>
  <c r="G296" i="42"/>
  <c r="G297" i="42"/>
  <c r="G298" i="42"/>
  <c r="G299" i="42"/>
  <c r="G300" i="42"/>
  <c r="G301" i="42"/>
  <c r="G302" i="42"/>
  <c r="G303" i="42"/>
  <c r="G304" i="42"/>
  <c r="G305" i="42"/>
  <c r="G306" i="42"/>
  <c r="G307" i="42"/>
  <c r="G308" i="42"/>
  <c r="G309" i="42"/>
  <c r="G310" i="42"/>
  <c r="G311" i="42"/>
  <c r="G312" i="42"/>
  <c r="G313" i="42"/>
  <c r="G314" i="42"/>
  <c r="G315" i="42"/>
  <c r="G316" i="42"/>
  <c r="G317" i="42"/>
  <c r="G318" i="42"/>
  <c r="G319" i="42"/>
  <c r="G320" i="42"/>
  <c r="G321" i="42"/>
  <c r="G322" i="42"/>
  <c r="G323" i="42"/>
  <c r="G324" i="42"/>
  <c r="G325" i="42"/>
  <c r="G326" i="42"/>
  <c r="G327" i="42"/>
  <c r="G328" i="42"/>
  <c r="G329" i="42"/>
  <c r="G330" i="42"/>
  <c r="G331" i="42"/>
  <c r="G332" i="42"/>
  <c r="G333" i="42"/>
  <c r="G334" i="42"/>
  <c r="G335" i="42"/>
  <c r="G336" i="42"/>
  <c r="G337" i="42"/>
  <c r="G338" i="42"/>
  <c r="G339" i="42"/>
  <c r="G340" i="42"/>
  <c r="G341" i="42"/>
  <c r="G342" i="42"/>
  <c r="G343" i="42"/>
  <c r="G344" i="42"/>
  <c r="G345" i="42"/>
  <c r="G346" i="42"/>
  <c r="G347" i="42"/>
  <c r="G348" i="42"/>
  <c r="G349" i="42"/>
  <c r="G350" i="42"/>
  <c r="G351" i="42"/>
  <c r="G352" i="42"/>
  <c r="G353" i="42"/>
  <c r="G354" i="42"/>
  <c r="G355" i="42"/>
  <c r="G356" i="42"/>
  <c r="G357" i="42"/>
  <c r="G358" i="42"/>
  <c r="G359" i="42"/>
  <c r="G360" i="42"/>
  <c r="G361" i="42"/>
  <c r="G362" i="42"/>
  <c r="G363" i="42"/>
  <c r="G364" i="42"/>
  <c r="G365" i="42"/>
  <c r="G366" i="42"/>
  <c r="G367" i="42"/>
  <c r="G368" i="42"/>
  <c r="G369" i="42"/>
  <c r="G370" i="42"/>
  <c r="G371" i="42"/>
  <c r="G372" i="42"/>
  <c r="G373" i="42"/>
  <c r="G374" i="42"/>
  <c r="G375" i="42"/>
  <c r="G376" i="42"/>
  <c r="G377" i="42"/>
  <c r="G378" i="42"/>
  <c r="G381" i="42"/>
  <c r="G379" i="42"/>
  <c r="G380" i="42"/>
  <c r="G382" i="42"/>
  <c r="G383" i="42"/>
  <c r="G384" i="42"/>
  <c r="G385" i="42"/>
  <c r="G386" i="42"/>
  <c r="G387" i="42"/>
  <c r="G388" i="42"/>
  <c r="G389" i="42"/>
  <c r="G390" i="42"/>
  <c r="G391" i="42"/>
  <c r="G392" i="42"/>
  <c r="G393" i="42"/>
  <c r="G394" i="42"/>
  <c r="G395" i="42"/>
  <c r="G396" i="42"/>
  <c r="G397" i="42"/>
  <c r="G398" i="42"/>
  <c r="G399" i="42"/>
  <c r="G400" i="42"/>
  <c r="G401" i="42"/>
  <c r="G402" i="42"/>
  <c r="G403" i="42"/>
  <c r="G404" i="42"/>
  <c r="G405" i="42"/>
  <c r="G406" i="42"/>
  <c r="G407" i="42"/>
  <c r="G408" i="42"/>
  <c r="G409" i="42"/>
  <c r="G410" i="42"/>
  <c r="G411" i="42"/>
  <c r="G412" i="42"/>
  <c r="G413" i="42"/>
  <c r="G414" i="42"/>
  <c r="G415" i="42"/>
  <c r="G416" i="42"/>
  <c r="G417" i="42"/>
  <c r="G418" i="42"/>
  <c r="G419" i="42"/>
  <c r="G420" i="42"/>
  <c r="G422" i="42"/>
  <c r="G423" i="42"/>
  <c r="G424" i="42"/>
  <c r="G425" i="42"/>
  <c r="G426" i="42"/>
  <c r="G427" i="42"/>
  <c r="G428" i="42"/>
  <c r="G429" i="42"/>
  <c r="G430" i="42"/>
  <c r="G433" i="42"/>
  <c r="G434" i="42"/>
  <c r="G435" i="42"/>
  <c r="G436" i="42"/>
  <c r="G437" i="42"/>
  <c r="G438" i="42"/>
  <c r="G439" i="42"/>
  <c r="G441" i="42"/>
  <c r="G442" i="42"/>
  <c r="G443" i="42"/>
  <c r="G444" i="42"/>
  <c r="G445" i="42"/>
  <c r="G447" i="42"/>
  <c r="G448" i="42"/>
  <c r="G449" i="42"/>
  <c r="G450" i="42"/>
  <c r="G451" i="42"/>
  <c r="G452" i="42"/>
  <c r="G453" i="42"/>
  <c r="G454" i="42"/>
  <c r="G455" i="42"/>
  <c r="G456" i="42"/>
  <c r="G457" i="42"/>
  <c r="G458" i="42"/>
  <c r="G459" i="42"/>
  <c r="G460" i="42"/>
  <c r="G461" i="42"/>
  <c r="G462" i="42"/>
  <c r="G463" i="42"/>
  <c r="G464" i="42"/>
  <c r="G465" i="42"/>
  <c r="G466" i="42"/>
  <c r="G467" i="42"/>
  <c r="G468" i="42"/>
  <c r="G469" i="42"/>
  <c r="G470" i="42"/>
  <c r="G471" i="42"/>
  <c r="G472" i="42"/>
  <c r="G473" i="42"/>
  <c r="G474" i="42"/>
  <c r="G476" i="42"/>
  <c r="G477" i="42"/>
  <c r="G478" i="42"/>
  <c r="G479" i="42"/>
  <c r="G480" i="42"/>
  <c r="G481" i="42"/>
  <c r="G482" i="42"/>
  <c r="G483" i="42"/>
  <c r="G484" i="42"/>
  <c r="G485" i="42"/>
  <c r="G486" i="42"/>
  <c r="G487" i="42"/>
  <c r="G488" i="42"/>
  <c r="G489" i="42"/>
  <c r="G490" i="42"/>
  <c r="G493" i="42"/>
  <c r="G494" i="42"/>
  <c r="G495" i="42"/>
  <c r="G496" i="42"/>
  <c r="G497" i="42"/>
  <c r="G498" i="42"/>
  <c r="G501" i="42"/>
  <c r="G502" i="42"/>
  <c r="G504" i="42"/>
  <c r="G505" i="42"/>
  <c r="G506" i="42"/>
  <c r="G507" i="42"/>
  <c r="G509" i="42"/>
  <c r="G511" i="42"/>
  <c r="G512" i="42"/>
  <c r="G513" i="42"/>
  <c r="G514" i="42"/>
  <c r="G515" i="42"/>
  <c r="G516" i="42"/>
  <c r="G517" i="42"/>
  <c r="G519" i="42"/>
  <c r="G523" i="42"/>
  <c r="G526" i="42"/>
  <c r="G529" i="42"/>
  <c r="G531" i="42"/>
  <c r="G532" i="42"/>
  <c r="G533" i="42"/>
  <c r="G534" i="42"/>
  <c r="G535" i="42"/>
  <c r="G536" i="42"/>
  <c r="G537" i="42"/>
  <c r="G538" i="42"/>
  <c r="G539" i="42"/>
  <c r="G541" i="42"/>
  <c r="G542" i="42"/>
  <c r="G543" i="42"/>
  <c r="G544" i="42"/>
  <c r="G545" i="42"/>
  <c r="G546" i="42"/>
  <c r="G548" i="42"/>
  <c r="G551" i="42"/>
  <c r="G553" i="42"/>
  <c r="G554" i="42"/>
  <c r="G556" i="42"/>
  <c r="G560" i="42"/>
  <c r="G565" i="42"/>
  <c r="G567" i="42"/>
  <c r="G568" i="42"/>
  <c r="G569" i="42"/>
  <c r="G570" i="42"/>
  <c r="G571" i="42"/>
  <c r="G572" i="42"/>
  <c r="G573" i="42"/>
  <c r="G574" i="42"/>
  <c r="G577" i="42"/>
  <c r="G580" i="42"/>
  <c r="G583" i="42"/>
  <c r="J11" i="41" l="1"/>
  <c r="I11" i="41"/>
  <c r="I10" i="41"/>
  <c r="J10" i="41"/>
  <c r="I9" i="41"/>
  <c r="J9" i="41"/>
  <c r="K10" i="41" l="1"/>
  <c r="K11" i="41"/>
  <c r="K9" i="41"/>
  <c r="D9720" i="12"/>
  <c r="D9722" i="12"/>
  <c r="D9721" i="12"/>
  <c r="I7" i="41" l="1"/>
  <c r="I9698" i="12" l="1"/>
  <c r="J9692" i="12" l="1"/>
  <c r="J3" i="41" l="1"/>
  <c r="J8" i="41"/>
  <c r="J7" i="41"/>
  <c r="J6" i="41"/>
  <c r="J5" i="41"/>
  <c r="J4" i="41"/>
  <c r="J2" i="41"/>
  <c r="I8" i="41"/>
  <c r="E13" i="39"/>
  <c r="I6" i="41"/>
  <c r="I5" i="41"/>
  <c r="K6" i="41" l="1"/>
  <c r="K8" i="41"/>
  <c r="K7" i="41"/>
  <c r="K5" i="41"/>
  <c r="D9662" i="12" l="1"/>
  <c r="E166" i="30" l="1"/>
  <c r="E165" i="30" l="1"/>
  <c r="E164" i="30" l="1"/>
  <c r="E163" i="30"/>
  <c r="E92" i="28" l="1"/>
  <c r="E570" i="19" l="1"/>
  <c r="E571" i="19" s="1"/>
  <c r="E27" i="33" l="1"/>
  <c r="H9647" i="12" l="1"/>
  <c r="C251" i="37" l="1"/>
  <c r="J295" i="37"/>
  <c r="D295" i="37"/>
  <c r="J294" i="37"/>
  <c r="D294" i="37"/>
  <c r="J291" i="37"/>
  <c r="D291" i="37"/>
  <c r="J251" i="37"/>
  <c r="J248" i="37"/>
  <c r="J296" i="37" l="1"/>
  <c r="D296" i="37"/>
  <c r="E26" i="33" l="1"/>
  <c r="H9634" i="12" l="1"/>
  <c r="H9638" i="12" s="1"/>
  <c r="H9636" i="12" l="1"/>
  <c r="E162" i="30"/>
  <c r="E161" i="30"/>
  <c r="H9637" i="12" l="1"/>
  <c r="H9639" i="12" s="1"/>
  <c r="E91" i="28" l="1"/>
  <c r="E90" i="28"/>
  <c r="D9614" i="12" l="1"/>
  <c r="H9615" i="12" l="1"/>
  <c r="H9618" i="12" s="1"/>
  <c r="H9616" i="12" l="1"/>
  <c r="H9617" i="12" s="1"/>
  <c r="H9619" i="12" s="1"/>
  <c r="H9621" i="12" s="1"/>
  <c r="J9599" i="12"/>
  <c r="I9603" i="12"/>
  <c r="I9604" i="12" s="1"/>
  <c r="I9607" i="12" s="1"/>
  <c r="E89" i="28" l="1"/>
  <c r="E88" i="28" l="1"/>
  <c r="E13" i="36" l="1"/>
  <c r="D9582" i="12" l="1"/>
  <c r="D9581" i="12"/>
  <c r="I9588" i="12" l="1"/>
  <c r="I9589" i="12" s="1"/>
  <c r="I9590" i="12" s="1"/>
  <c r="I9592" i="12" l="1"/>
  <c r="E87" i="28"/>
  <c r="E86" i="28"/>
  <c r="E25" i="33" l="1"/>
  <c r="I9573" i="12" l="1"/>
  <c r="J9573" i="12" s="1"/>
  <c r="K9573" i="12" s="1"/>
  <c r="L9573" i="12" s="1"/>
  <c r="I9572" i="12"/>
  <c r="J9572" i="12" s="1"/>
  <c r="K9572" i="12" s="1"/>
  <c r="L9572" i="12" s="1"/>
  <c r="I9568" i="12" l="1"/>
  <c r="I9569" i="12" l="1"/>
  <c r="K9568" i="12"/>
  <c r="J9568" i="12"/>
  <c r="I9558" i="12" l="1"/>
  <c r="I9560" i="12" s="1"/>
  <c r="K9559" i="12"/>
  <c r="K9561" i="12" s="1"/>
  <c r="K9564" i="12" s="1"/>
  <c r="L9552" i="12" l="1"/>
  <c r="K9553" i="12"/>
  <c r="E24" i="33"/>
  <c r="E23" i="33"/>
  <c r="E22" i="33"/>
  <c r="I9563" i="12"/>
  <c r="I9565" i="12" s="1"/>
  <c r="E12" i="36" l="1"/>
  <c r="E11" i="36"/>
  <c r="K49" i="36" l="1"/>
  <c r="K48" i="36"/>
  <c r="E10" i="36" l="1"/>
  <c r="E9" i="36"/>
  <c r="E17" i="31" l="1"/>
  <c r="E16" i="31"/>
  <c r="E15" i="31"/>
  <c r="E21" i="33" l="1"/>
  <c r="H9516" i="12" l="1"/>
  <c r="K9502" i="12" l="1"/>
  <c r="I9503" i="12"/>
  <c r="K9503" i="12" s="1"/>
  <c r="L9503" i="12" l="1"/>
  <c r="I9504" i="12"/>
  <c r="E562" i="19"/>
  <c r="I9491" i="12" l="1"/>
  <c r="E20" i="33" l="1"/>
  <c r="E9" i="40" l="1"/>
  <c r="C197" i="37" l="1"/>
  <c r="C196" i="37"/>
  <c r="J242" i="37"/>
  <c r="D242" i="37"/>
  <c r="J241" i="37"/>
  <c r="D241" i="37"/>
  <c r="J238" i="37"/>
  <c r="D238" i="37"/>
  <c r="J198" i="37"/>
  <c r="J195" i="37"/>
  <c r="J243" i="37" l="1"/>
  <c r="J197" i="37"/>
  <c r="C250" i="37" s="1"/>
  <c r="J250" i="37" s="1"/>
  <c r="D243" i="37"/>
  <c r="J196" i="37"/>
  <c r="C249" i="37" s="1"/>
  <c r="J249" i="37" s="1"/>
  <c r="E8" i="40" l="1"/>
  <c r="D9443" i="12"/>
  <c r="J9451" i="12" l="1"/>
  <c r="H9451" i="12"/>
  <c r="J9465" i="12" l="1"/>
  <c r="E12" i="39" l="1"/>
  <c r="E11" i="39"/>
  <c r="E10" i="39"/>
  <c r="E9" i="39"/>
  <c r="K47" i="36" l="1"/>
  <c r="K46" i="36"/>
  <c r="D9415" i="12" l="1"/>
  <c r="K45" i="36" l="1"/>
  <c r="K44" i="36"/>
  <c r="J9433" i="12" l="1"/>
  <c r="J9401" i="12" l="1"/>
  <c r="J9403" i="12" s="1"/>
  <c r="E7" i="40" l="1"/>
  <c r="E6" i="40"/>
  <c r="E2" i="40"/>
  <c r="E3" i="40" s="1"/>
  <c r="E4" i="40" s="1"/>
  <c r="E5" i="40" s="1"/>
  <c r="C138" i="30" l="1"/>
  <c r="K43" i="36" l="1"/>
  <c r="D9363" i="12" l="1"/>
  <c r="Q26" i="36" l="1"/>
  <c r="K42" i="36" l="1"/>
  <c r="K41" i="36"/>
  <c r="K40" i="36"/>
  <c r="E9353" i="12" l="1"/>
  <c r="C153" i="37" l="1"/>
  <c r="C152" i="37"/>
  <c r="J188" i="37"/>
  <c r="D188" i="37"/>
  <c r="J187" i="37"/>
  <c r="D187" i="37"/>
  <c r="J184" i="37"/>
  <c r="D184" i="37"/>
  <c r="J151" i="37"/>
  <c r="D189" i="37" l="1"/>
  <c r="J189" i="37"/>
  <c r="J152" i="37"/>
  <c r="J153" i="37"/>
  <c r="E24" i="34" l="1"/>
  <c r="E23" i="34"/>
  <c r="Q24" i="36" l="1"/>
  <c r="D9286" i="12" l="1"/>
  <c r="Q23" i="36" l="1"/>
  <c r="Q22" i="36"/>
  <c r="Q21" i="36"/>
  <c r="Q20" i="36"/>
  <c r="E8" i="36" l="1"/>
  <c r="Q19" i="36" l="1"/>
  <c r="Q18" i="36"/>
  <c r="D9280" i="12" l="1"/>
  <c r="E14" i="31" l="1"/>
  <c r="E13" i="31"/>
  <c r="E12" i="31"/>
  <c r="K39" i="36" l="1"/>
  <c r="K38" i="36"/>
  <c r="K37" i="36"/>
  <c r="K36" i="36"/>
  <c r="K35" i="36"/>
  <c r="K34" i="36"/>
  <c r="Q17" i="36" l="1"/>
  <c r="D9254" i="12" l="1"/>
  <c r="E126" i="30"/>
  <c r="E127" i="30" s="1"/>
  <c r="E128" i="30" s="1"/>
  <c r="E129" i="30" s="1"/>
  <c r="E130" i="30" s="1"/>
  <c r="E131" i="30" s="1"/>
  <c r="E132" i="30" s="1"/>
  <c r="E133" i="30" s="1"/>
  <c r="E134" i="30" s="1"/>
  <c r="E135" i="30" s="1"/>
  <c r="E136" i="30" s="1"/>
  <c r="E137" i="30" s="1"/>
  <c r="E138" i="30" s="1"/>
  <c r="E139" i="30" s="1"/>
  <c r="E140" i="30" s="1"/>
  <c r="E141" i="30" s="1"/>
  <c r="E142" i="30" l="1"/>
  <c r="E143" i="30" s="1"/>
  <c r="E144" i="30" s="1"/>
  <c r="E145" i="30" s="1"/>
  <c r="E146" i="30" s="1"/>
  <c r="E147" i="30" s="1"/>
  <c r="E148" i="30" s="1"/>
  <c r="E149" i="30" s="1"/>
  <c r="E150" i="30" s="1"/>
  <c r="E151" i="30" s="1"/>
  <c r="E152" i="30" s="1"/>
  <c r="E153" i="30" s="1"/>
  <c r="E154" i="30" s="1"/>
  <c r="E155" i="30" s="1"/>
  <c r="E156" i="30" s="1"/>
  <c r="E157" i="30" s="1"/>
  <c r="E158" i="30" s="1"/>
  <c r="E159" i="30" s="1"/>
  <c r="E160" i="30" s="1"/>
  <c r="D9247" i="12"/>
  <c r="Q15" i="36" l="1"/>
  <c r="Q16" i="36" s="1"/>
  <c r="E7" i="36" l="1"/>
  <c r="D144" i="37" l="1"/>
  <c r="D9223" i="12" l="1"/>
  <c r="Q14" i="36" l="1"/>
  <c r="E19" i="33" l="1"/>
  <c r="E18" i="33"/>
  <c r="D9215" i="12" l="1"/>
  <c r="E8" i="39" l="1"/>
  <c r="C8" i="39"/>
  <c r="E7" i="39"/>
  <c r="E6" i="39"/>
  <c r="E3" i="39"/>
  <c r="E4" i="39" s="1"/>
  <c r="E5" i="39" s="1"/>
  <c r="Q13" i="36" l="1"/>
  <c r="C110" i="37" l="1"/>
  <c r="J144" i="37" l="1"/>
  <c r="J143" i="37"/>
  <c r="D143" i="37"/>
  <c r="D145" i="37" s="1"/>
  <c r="J140" i="37"/>
  <c r="D140" i="37"/>
  <c r="J107" i="37"/>
  <c r="J145" i="37" l="1"/>
  <c r="D9202" i="12"/>
  <c r="K33" i="36" l="1"/>
  <c r="K32" i="36"/>
  <c r="E6" i="36"/>
  <c r="D9181" i="12" l="1"/>
  <c r="K31" i="36" l="1"/>
  <c r="K30" i="36"/>
  <c r="E17" i="33" l="1"/>
  <c r="E21" i="34" l="1"/>
  <c r="Q12" i="36" l="1"/>
  <c r="K29" i="36" l="1"/>
  <c r="K28" i="36"/>
  <c r="D9152" i="12" l="1"/>
  <c r="Q11" i="36" l="1"/>
  <c r="Q10" i="36"/>
  <c r="Q9" i="36"/>
  <c r="Q8" i="36" l="1"/>
  <c r="D9117" i="12"/>
  <c r="Q7" i="36" l="1"/>
  <c r="Q6" i="36" l="1"/>
  <c r="E11" i="31" l="1"/>
  <c r="D100" i="37" l="1"/>
  <c r="J101" i="37"/>
  <c r="J100" i="37"/>
  <c r="J97" i="37"/>
  <c r="D97" i="37"/>
  <c r="D9110" i="12" l="1"/>
  <c r="K27" i="36" l="1"/>
  <c r="K26" i="36"/>
  <c r="K25" i="36" l="1"/>
  <c r="Q5" i="36" l="1"/>
  <c r="D9086" i="12" l="1"/>
  <c r="Q4" i="36" l="1"/>
  <c r="K24" i="36" l="1"/>
  <c r="E16" i="33" l="1"/>
  <c r="E15" i="33"/>
  <c r="E2" i="39" l="1"/>
  <c r="Q2" i="36"/>
  <c r="Q3" i="36" s="1"/>
  <c r="K3" i="36"/>
  <c r="K4" i="36" s="1"/>
  <c r="K5" i="36" s="1"/>
  <c r="K6" i="36" s="1"/>
  <c r="K7" i="36" s="1"/>
  <c r="K8" i="36" s="1"/>
  <c r="K9" i="36" s="1"/>
  <c r="K10" i="36" s="1"/>
  <c r="K11" i="36" s="1"/>
  <c r="K12" i="36" s="1"/>
  <c r="K13" i="36" s="1"/>
  <c r="K14" i="36" s="1"/>
  <c r="K15" i="36" s="1"/>
  <c r="K16" i="36" s="1"/>
  <c r="K17" i="36" s="1"/>
  <c r="K18" i="36" s="1"/>
  <c r="K19" i="36" s="1"/>
  <c r="K20" i="36" s="1"/>
  <c r="K21" i="36" s="1"/>
  <c r="K22" i="36" s="1"/>
  <c r="K23" i="36" s="1"/>
  <c r="K2" i="36"/>
  <c r="D9052" i="12" l="1"/>
  <c r="D9037" i="12" l="1"/>
  <c r="D8990" i="12" l="1"/>
  <c r="E10" i="31" l="1"/>
  <c r="C11" i="34"/>
  <c r="E5" i="36" l="1"/>
  <c r="E4" i="36" l="1"/>
  <c r="E9" i="34" l="1"/>
  <c r="E10" i="34" s="1"/>
  <c r="E11" i="34" s="1"/>
  <c r="E12" i="34" s="1"/>
  <c r="E13" i="34" s="1"/>
  <c r="E14" i="34" s="1"/>
  <c r="E15" i="34" s="1"/>
  <c r="E16" i="34" s="1"/>
  <c r="E17" i="34" s="1"/>
  <c r="E18" i="34" s="1"/>
  <c r="E19" i="34" s="1"/>
  <c r="E20" i="34" s="1"/>
  <c r="E9" i="31" l="1"/>
  <c r="E8" i="31"/>
  <c r="C94" i="30"/>
  <c r="J40" i="37" l="1"/>
  <c r="J4" i="37"/>
  <c r="D101" i="37" l="1"/>
  <c r="D102" i="37" l="1"/>
  <c r="J102" i="37"/>
  <c r="E24" i="32" l="1"/>
  <c r="E7" i="31" l="1"/>
  <c r="D8965" i="12" l="1"/>
  <c r="D8964" i="12"/>
  <c r="D8962" i="12"/>
  <c r="D8958" i="12" l="1"/>
  <c r="E14" i="33" l="1"/>
  <c r="E13" i="33"/>
  <c r="K4" i="32" l="1"/>
  <c r="K5" i="32" s="1"/>
  <c r="K3" i="32"/>
  <c r="D8946" i="12" l="1"/>
  <c r="E23" i="32" l="1"/>
  <c r="D8928" i="12" l="1"/>
  <c r="E22" i="32" l="1"/>
  <c r="C7" i="37"/>
  <c r="J7" i="37" s="1"/>
  <c r="C43" i="37" s="1"/>
  <c r="J43" i="37" l="1"/>
  <c r="D34" i="37"/>
  <c r="D33" i="37"/>
  <c r="J34" i="37"/>
  <c r="J33" i="37"/>
  <c r="D30" i="37"/>
  <c r="J5" i="37" l="1"/>
  <c r="C41" i="37" s="1"/>
  <c r="J41" i="37" s="1"/>
  <c r="C108" i="37" s="1"/>
  <c r="J6" i="37"/>
  <c r="C42" i="37" s="1"/>
  <c r="J42" i="37" s="1"/>
  <c r="C109" i="37" s="1"/>
  <c r="J109" i="37" s="1"/>
  <c r="D35" i="37"/>
  <c r="J35" i="37"/>
  <c r="J30" i="37"/>
  <c r="J108" i="37" l="1"/>
  <c r="E21" i="32" l="1"/>
  <c r="E20" i="32"/>
  <c r="N8904" i="12" l="1"/>
  <c r="E11" i="33" l="1"/>
  <c r="E10" i="33" l="1"/>
  <c r="E2" i="36" l="1"/>
  <c r="E3" i="36" s="1"/>
  <c r="E9" i="33" l="1"/>
  <c r="E8" i="33" l="1"/>
  <c r="E7" i="33"/>
  <c r="E6" i="33"/>
  <c r="E5" i="33"/>
  <c r="E4" i="33"/>
  <c r="E3" i="33"/>
  <c r="E19" i="32" l="1"/>
  <c r="E18" i="32"/>
  <c r="D8855" i="12" l="1"/>
  <c r="E17" i="32" l="1"/>
  <c r="E16" i="32"/>
  <c r="E15" i="32" l="1"/>
  <c r="K6" i="32"/>
  <c r="K7" i="32" s="1"/>
  <c r="K8" i="32" s="1"/>
  <c r="K9" i="32" s="1"/>
  <c r="K10" i="32" s="1"/>
  <c r="K11" i="32" s="1"/>
  <c r="K12" i="32" s="1"/>
  <c r="K13" i="32" s="1"/>
  <c r="K14" i="32" s="1"/>
  <c r="O8828" i="12" l="1"/>
  <c r="O8827" i="12"/>
  <c r="D8834" i="12" l="1"/>
  <c r="E14" i="32" l="1"/>
  <c r="D8832" i="12" l="1"/>
  <c r="E2" i="34" l="1"/>
  <c r="E3" i="34" s="1"/>
  <c r="E4" i="34" s="1"/>
  <c r="E5" i="34" s="1"/>
  <c r="E6" i="34" s="1"/>
  <c r="E7" i="34" s="1"/>
  <c r="E2" i="33"/>
  <c r="D8814" i="12" l="1"/>
  <c r="E13" i="32" l="1"/>
  <c r="C465" i="19" l="1"/>
  <c r="D8793" i="12" l="1"/>
  <c r="E12" i="32" l="1"/>
  <c r="D8771" i="12" l="1"/>
  <c r="E11" i="32" l="1"/>
  <c r="E10" i="32" l="1"/>
  <c r="E9" i="32"/>
  <c r="E8" i="32" l="1"/>
  <c r="E6" i="32"/>
  <c r="E3" i="32"/>
  <c r="E4" i="32" s="1"/>
  <c r="E5" i="32" s="1"/>
  <c r="E7" i="32" l="1"/>
  <c r="D8729" i="12" l="1"/>
  <c r="E57" i="28" l="1"/>
  <c r="E58" i="28" s="1"/>
  <c r="E59" i="28" s="1"/>
  <c r="E60" i="28" s="1"/>
  <c r="E61" i="28" s="1"/>
  <c r="E62" i="28" s="1"/>
  <c r="E63" i="28" s="1"/>
  <c r="E64" i="28" s="1"/>
  <c r="E65" i="28" s="1"/>
  <c r="E66" i="28" s="1"/>
  <c r="E67" i="28" s="1"/>
  <c r="E68" i="28" s="1"/>
  <c r="E69" i="28" s="1"/>
  <c r="E70" i="28" s="1"/>
  <c r="E71" i="28" s="1"/>
  <c r="E72" i="28" s="1"/>
  <c r="E73" i="28" s="1"/>
  <c r="E74" i="28" s="1"/>
  <c r="E75" i="28" s="1"/>
  <c r="E76" i="28" s="1"/>
  <c r="E77" i="28" s="1"/>
  <c r="E78" i="28" s="1"/>
  <c r="E79" i="28" s="1"/>
  <c r="E80" i="28" s="1"/>
  <c r="E81" i="28" s="1"/>
  <c r="E82" i="28" s="1"/>
  <c r="E83" i="28" s="1"/>
  <c r="E84" i="28" s="1"/>
  <c r="E85" i="28" s="1"/>
  <c r="F629" i="22" l="1"/>
  <c r="D8686" i="12" l="1"/>
  <c r="D8683" i="12" l="1"/>
  <c r="D8681" i="12" l="1"/>
  <c r="D8662" i="12" l="1"/>
  <c r="D8647" i="12" l="1"/>
  <c r="F628" i="22" l="1"/>
  <c r="F627" i="22" l="1"/>
  <c r="F626" i="22"/>
  <c r="F614" i="22" l="1"/>
  <c r="F615" i="22"/>
  <c r="F616" i="22"/>
  <c r="F617" i="22"/>
  <c r="F618" i="22" s="1"/>
  <c r="F619" i="22" s="1"/>
  <c r="F620" i="22" s="1"/>
  <c r="F621" i="22" s="1"/>
  <c r="F622" i="22" s="1"/>
  <c r="F623" i="22" s="1"/>
  <c r="F624" i="22" s="1"/>
  <c r="F625" i="22" s="1"/>
  <c r="D8613" i="12" l="1"/>
  <c r="D8600" i="12" l="1"/>
  <c r="D8595" i="12" l="1"/>
  <c r="E48" i="28" l="1"/>
  <c r="E49" i="28" s="1"/>
  <c r="E50" i="28" s="1"/>
  <c r="E51" i="28" s="1"/>
  <c r="E52" i="28" s="1"/>
  <c r="E53" i="28" s="1"/>
  <c r="E54" i="28" s="1"/>
  <c r="E55" i="28" s="1"/>
  <c r="F8587" i="12" l="1"/>
  <c r="F8588" i="12" s="1"/>
  <c r="F8589" i="12" s="1"/>
  <c r="F8590" i="12" s="1"/>
  <c r="F8591" i="12" s="1"/>
  <c r="F8592" i="12" s="1"/>
  <c r="F8593" i="12" s="1"/>
  <c r="F8594" i="12" s="1"/>
  <c r="F8595" i="12" s="1"/>
  <c r="F8596" i="12" s="1"/>
  <c r="F8597" i="12" s="1"/>
  <c r="F8598" i="12" s="1"/>
  <c r="F8599" i="12" s="1"/>
  <c r="F8600" i="12" s="1"/>
  <c r="F8601" i="12" s="1"/>
  <c r="F8602" i="12" s="1"/>
  <c r="F8603" i="12" s="1"/>
  <c r="F8604" i="12" s="1"/>
  <c r="F8605" i="12" s="1"/>
  <c r="F8606" i="12" s="1"/>
  <c r="F8607" i="12" s="1"/>
  <c r="F8608" i="12" s="1"/>
  <c r="F8609" i="12" s="1"/>
  <c r="F8610" i="12" s="1"/>
  <c r="F8611" i="12" s="1"/>
  <c r="F8612" i="12" s="1"/>
  <c r="F8613" i="12" s="1"/>
  <c r="F8614" i="12" s="1"/>
  <c r="F8615" i="12" s="1"/>
  <c r="F8616" i="12" s="1"/>
  <c r="F8617" i="12" s="1"/>
  <c r="F8618" i="12" s="1"/>
  <c r="F8619" i="12" s="1"/>
  <c r="F8620" i="12" l="1"/>
  <c r="F8621" i="12" s="1"/>
  <c r="F8622" i="12" s="1"/>
  <c r="F8623" i="12" s="1"/>
  <c r="F8624" i="12" s="1"/>
  <c r="F8625" i="12" s="1"/>
  <c r="F8626" i="12" s="1"/>
  <c r="F8627" i="12" s="1"/>
  <c r="F8628" i="12" s="1"/>
  <c r="F8629" i="12" s="1"/>
  <c r="F8630" i="12" s="1"/>
  <c r="F8631" i="12" s="1"/>
  <c r="F8632" i="12" s="1"/>
  <c r="F8633" i="12" s="1"/>
  <c r="F8634" i="12" s="1"/>
  <c r="F8635" i="12" s="1"/>
  <c r="F8636" i="12" s="1"/>
  <c r="F8637" i="12" s="1"/>
  <c r="F8638" i="12" s="1"/>
  <c r="F8639" i="12" s="1"/>
  <c r="F8640" i="12" s="1"/>
  <c r="F8641" i="12" s="1"/>
  <c r="F8642" i="12" s="1"/>
  <c r="F8643" i="12" s="1"/>
  <c r="F8644" i="12" s="1"/>
  <c r="F8645" i="12" s="1"/>
  <c r="F8646" i="12" s="1"/>
  <c r="F8647" i="12" s="1"/>
  <c r="F8648" i="12" s="1"/>
  <c r="F8649" i="12" s="1"/>
  <c r="F8650" i="12" s="1"/>
  <c r="F8651" i="12" s="1"/>
  <c r="F8652" i="12" s="1"/>
  <c r="F8653" i="12" s="1"/>
  <c r="F8654" i="12" s="1"/>
  <c r="F8655" i="12" s="1"/>
  <c r="F8656" i="12" s="1"/>
  <c r="F8657" i="12" s="1"/>
  <c r="F8658" i="12" s="1"/>
  <c r="F8659" i="12" s="1"/>
  <c r="F8660" i="12" s="1"/>
  <c r="F8661" i="12" s="1"/>
  <c r="F8662" i="12" s="1"/>
  <c r="F8663" i="12" s="1"/>
  <c r="F8664" i="12" s="1"/>
  <c r="F8665" i="12" s="1"/>
  <c r="F8666" i="12" s="1"/>
  <c r="F8667" i="12" s="1"/>
  <c r="F8668" i="12" s="1"/>
  <c r="F8669" i="12" s="1"/>
  <c r="F8670" i="12" s="1"/>
  <c r="F8671" i="12" s="1"/>
  <c r="F8672" i="12" s="1"/>
  <c r="F8673" i="12" s="1"/>
  <c r="F8674" i="12" s="1"/>
  <c r="F8675" i="12" s="1"/>
  <c r="F8676" i="12" s="1"/>
  <c r="F8677" i="12" s="1"/>
  <c r="F8678" i="12" s="1"/>
  <c r="F8679" i="12" s="1"/>
  <c r="F8680" i="12" s="1"/>
  <c r="F8681" i="12" s="1"/>
  <c r="F8682" i="12" s="1"/>
  <c r="F8683" i="12" s="1"/>
  <c r="F8684" i="12" s="1"/>
  <c r="F8685" i="12" s="1"/>
  <c r="F8686" i="12" s="1"/>
  <c r="F8687" i="12" s="1"/>
  <c r="F8688" i="12" s="1"/>
  <c r="F8689" i="12" s="1"/>
  <c r="F8690" i="12" s="1"/>
  <c r="F8691" i="12" s="1"/>
  <c r="F8692" i="12" s="1"/>
  <c r="F8693" i="12" s="1"/>
  <c r="F8694" i="12" s="1"/>
  <c r="F8695" i="12" s="1"/>
  <c r="F8696" i="12" s="1"/>
  <c r="F8697" i="12" s="1"/>
  <c r="F8698" i="12" s="1"/>
  <c r="F8699" i="12" s="1"/>
  <c r="F8700" i="12" s="1"/>
  <c r="F8701" i="12" s="1"/>
  <c r="F8702" i="12" s="1"/>
  <c r="F8703" i="12" s="1"/>
  <c r="F8704" i="12" s="1"/>
  <c r="F8705" i="12" l="1"/>
  <c r="F8706" i="12" s="1"/>
  <c r="F8707" i="12" s="1"/>
  <c r="F8708" i="12" s="1"/>
  <c r="F8709" i="12" s="1"/>
  <c r="F8710" i="12" s="1"/>
  <c r="F8711" i="12" s="1"/>
  <c r="F8712" i="12" s="1"/>
  <c r="F8713" i="12" s="1"/>
  <c r="F8714" i="12" s="1"/>
  <c r="F8715" i="12" s="1"/>
  <c r="F8716" i="12" s="1"/>
  <c r="F8717" i="12" s="1"/>
  <c r="F8718" i="12" s="1"/>
  <c r="F8719" i="12" s="1"/>
  <c r="F8720" i="12" s="1"/>
  <c r="F8721" i="12" s="1"/>
  <c r="F8722" i="12" s="1"/>
  <c r="F8723" i="12" s="1"/>
  <c r="F8724" i="12" s="1"/>
  <c r="F8725" i="12" s="1"/>
  <c r="F8726" i="12" s="1"/>
  <c r="F8727" i="12" s="1"/>
  <c r="F8728" i="12" s="1"/>
  <c r="F8729" i="12" s="1"/>
  <c r="F8730" i="12" s="1"/>
  <c r="F8731" i="12" s="1"/>
  <c r="F8732" i="12" s="1"/>
  <c r="F8733" i="12" s="1"/>
  <c r="F8734" i="12" s="1"/>
  <c r="F8735" i="12" s="1"/>
  <c r="F8736" i="12" s="1"/>
  <c r="F8737" i="12" s="1"/>
  <c r="F8738" i="12" s="1"/>
  <c r="F8739" i="12" s="1"/>
  <c r="F8740" i="12" s="1"/>
  <c r="F8741" i="12" s="1"/>
  <c r="F8742" i="12" s="1"/>
  <c r="F8743" i="12" s="1"/>
  <c r="F8744" i="12" s="1"/>
  <c r="F8745" i="12" s="1"/>
  <c r="F8746" i="12" s="1"/>
  <c r="F8747" i="12" s="1"/>
  <c r="F8748" i="12" s="1"/>
  <c r="F8749" i="12" s="1"/>
  <c r="F8750" i="12" s="1"/>
  <c r="F8751" i="12" s="1"/>
  <c r="F8752" i="12" s="1"/>
  <c r="F8753" i="12" s="1"/>
  <c r="F8754" i="12" s="1"/>
  <c r="F8755" i="12" s="1"/>
  <c r="F8756" i="12" s="1"/>
  <c r="F8757" i="12" s="1"/>
  <c r="F8758" i="12" s="1"/>
  <c r="F8759" i="12" s="1"/>
  <c r="F8760" i="12" s="1"/>
  <c r="F8761" i="12" s="1"/>
  <c r="F8762" i="12" s="1"/>
  <c r="F8763" i="12" s="1"/>
  <c r="F8764" i="12" s="1"/>
  <c r="F8765" i="12" s="1"/>
  <c r="F8766" i="12" s="1"/>
  <c r="F8767" i="12" s="1"/>
  <c r="F8768" i="12" s="1"/>
  <c r="F8769" i="12" s="1"/>
  <c r="F8770" i="12" s="1"/>
  <c r="F8771" i="12" s="1"/>
  <c r="F8772" i="12" s="1"/>
  <c r="F8773" i="12" s="1"/>
  <c r="F8774" i="12" s="1"/>
  <c r="F8775" i="12" s="1"/>
  <c r="F8776" i="12" s="1"/>
  <c r="F8777" i="12" s="1"/>
  <c r="F8778" i="12" s="1"/>
  <c r="F8779" i="12" s="1"/>
  <c r="F8780" i="12" s="1"/>
  <c r="F8781" i="12" s="1"/>
  <c r="F8782" i="12" s="1"/>
  <c r="F8783" i="12" s="1"/>
  <c r="F8784" i="12" s="1"/>
  <c r="F8785" i="12" s="1"/>
  <c r="F8786" i="12" s="1"/>
  <c r="F8787" i="12" s="1"/>
  <c r="F8788" i="12" s="1"/>
  <c r="F8789" i="12" s="1"/>
  <c r="F8790" i="12" s="1"/>
  <c r="F8791" i="12" s="1"/>
  <c r="F8792" i="12" s="1"/>
  <c r="F8793" i="12" s="1"/>
  <c r="F8794" i="12" s="1"/>
  <c r="F8795" i="12" s="1"/>
  <c r="F8796" i="12" s="1"/>
  <c r="F8797" i="12" s="1"/>
  <c r="F8798" i="12" s="1"/>
  <c r="F8799" i="12" s="1"/>
  <c r="F8800" i="12" s="1"/>
  <c r="F8801" i="12" s="1"/>
  <c r="F8802" i="12" s="1"/>
  <c r="F8803" i="12" s="1"/>
  <c r="F8804" i="12" s="1"/>
  <c r="F8805" i="12" s="1"/>
  <c r="F8806" i="12" s="1"/>
  <c r="F8807" i="12" s="1"/>
  <c r="F8808" i="12" s="1"/>
  <c r="F8809" i="12" s="1"/>
  <c r="F8810" i="12" s="1"/>
  <c r="F8811" i="12" s="1"/>
  <c r="F8812" i="12" s="1"/>
  <c r="F8813" i="12" s="1"/>
  <c r="F8814" i="12" s="1"/>
  <c r="F8815" i="12" s="1"/>
  <c r="F8816" i="12" s="1"/>
  <c r="F8817" i="12" s="1"/>
  <c r="F8818" i="12" s="1"/>
  <c r="F8819" i="12" s="1"/>
  <c r="F8820" i="12" s="1"/>
  <c r="F8821" i="12" s="1"/>
  <c r="F8822" i="12" s="1"/>
  <c r="F8823" i="12" s="1"/>
  <c r="F8824" i="12" s="1"/>
  <c r="F8825" i="12" s="1"/>
  <c r="F8826" i="12" s="1"/>
  <c r="F8827" i="12" s="1"/>
  <c r="F8828" i="12" s="1"/>
  <c r="F8829" i="12" s="1"/>
  <c r="F8830" i="12" s="1"/>
  <c r="F8831" i="12" s="1"/>
  <c r="F8832" i="12" s="1"/>
  <c r="F8833" i="12" s="1"/>
  <c r="F8834" i="12" s="1"/>
  <c r="F8835" i="12" s="1"/>
  <c r="F8836" i="12" s="1"/>
  <c r="F8837" i="12" s="1"/>
  <c r="F8838" i="12" s="1"/>
  <c r="F8839" i="12" s="1"/>
  <c r="F8840" i="12" s="1"/>
  <c r="F8841" i="12" s="1"/>
  <c r="F8842" i="12" s="1"/>
  <c r="F8843" i="12" s="1"/>
  <c r="F8844" i="12" s="1"/>
  <c r="F8845" i="12" s="1"/>
  <c r="F8846" i="12" s="1"/>
  <c r="F8847" i="12" s="1"/>
  <c r="F8848" i="12" s="1"/>
  <c r="F8849" i="12" s="1"/>
  <c r="F8850" i="12" s="1"/>
  <c r="F8851" i="12" s="1"/>
  <c r="F8852" i="12" s="1"/>
  <c r="F8853" i="12" s="1"/>
  <c r="F8854" i="12" s="1"/>
  <c r="F8855" i="12" s="1"/>
  <c r="F8856" i="12" s="1"/>
  <c r="F8857" i="12" s="1"/>
  <c r="F8858" i="12" s="1"/>
  <c r="F8859" i="12" s="1"/>
  <c r="F8860" i="12" s="1"/>
  <c r="F8861" i="12" s="1"/>
  <c r="F8862" i="12" s="1"/>
  <c r="F8863" i="12" s="1"/>
  <c r="F8864" i="12" s="1"/>
  <c r="F8865" i="12" s="1"/>
  <c r="F8866" i="12" s="1"/>
  <c r="F8867" i="12" s="1"/>
  <c r="F8868" i="12" s="1"/>
  <c r="F8869" i="12" s="1"/>
  <c r="F8870" i="12" s="1"/>
  <c r="F8871" i="12" s="1"/>
  <c r="F8872" i="12" s="1"/>
  <c r="F8873" i="12" s="1"/>
  <c r="F8874" i="12" s="1"/>
  <c r="F8875" i="12" s="1"/>
  <c r="F8876" i="12" s="1"/>
  <c r="F8877" i="12" s="1"/>
  <c r="F8878" i="12" s="1"/>
  <c r="F8879" i="12" s="1"/>
  <c r="F8880" i="12" s="1"/>
  <c r="F8881" i="12" s="1"/>
  <c r="F8882" i="12" s="1"/>
  <c r="F8883" i="12" s="1"/>
  <c r="F8884" i="12" s="1"/>
  <c r="F8885" i="12" s="1"/>
  <c r="F8886" i="12" s="1"/>
  <c r="F8887" i="12" s="1"/>
  <c r="F8888" i="12" s="1"/>
  <c r="F8889" i="12" s="1"/>
  <c r="F8890" i="12" s="1"/>
  <c r="F8891" i="12" s="1"/>
  <c r="F8892" i="12" s="1"/>
  <c r="F8893" i="12" s="1"/>
  <c r="F8894" i="12" s="1"/>
  <c r="F8895" i="12" s="1"/>
  <c r="F8896" i="12" s="1"/>
  <c r="F8897" i="12" s="1"/>
  <c r="F8898" i="12" s="1"/>
  <c r="F8899" i="12" s="1"/>
  <c r="F8900" i="12" s="1"/>
  <c r="F8901" i="12" s="1"/>
  <c r="F8902" i="12" s="1"/>
  <c r="F8903" i="12" s="1"/>
  <c r="F8904" i="12" s="1"/>
  <c r="F8905" i="12" s="1"/>
  <c r="F8906" i="12" s="1"/>
  <c r="F8907" i="12" s="1"/>
  <c r="F8908" i="12" s="1"/>
  <c r="F8909" i="12" s="1"/>
  <c r="F8910" i="12" s="1"/>
  <c r="F8911" i="12" s="1"/>
  <c r="F8912" i="12" s="1"/>
  <c r="F8913" i="12" s="1"/>
  <c r="F8914" i="12" s="1"/>
  <c r="F8915" i="12" s="1"/>
  <c r="F8916" i="12" s="1"/>
  <c r="F8917" i="12" s="1"/>
  <c r="F8918" i="12" s="1"/>
  <c r="F8919" i="12" s="1"/>
  <c r="F8920" i="12" s="1"/>
  <c r="F8921" i="12" s="1"/>
  <c r="F8922" i="12" s="1"/>
  <c r="F8923" i="12" s="1"/>
  <c r="F8924" i="12" s="1"/>
  <c r="F8925" i="12" s="1"/>
  <c r="F8926" i="12" s="1"/>
  <c r="F8927" i="12" s="1"/>
  <c r="F8928" i="12" s="1"/>
  <c r="F8929" i="12" s="1"/>
  <c r="D8586" i="12"/>
  <c r="F8930" i="12" l="1"/>
  <c r="F8931" i="12" s="1"/>
  <c r="F8932" i="12" s="1"/>
  <c r="F8933" i="12" s="1"/>
  <c r="F8934" i="12" s="1"/>
  <c r="F8935" i="12" s="1"/>
  <c r="F8936" i="12" s="1"/>
  <c r="F8937" i="12" s="1"/>
  <c r="F8938" i="12" s="1"/>
  <c r="F8939" i="12" s="1"/>
  <c r="F8940" i="12" l="1"/>
  <c r="F8941" i="12" s="1"/>
  <c r="F8942" i="12" s="1"/>
  <c r="F8943" i="12" s="1"/>
  <c r="F8944" i="12" s="1"/>
  <c r="F8945" i="12" s="1"/>
  <c r="F8946" i="12" s="1"/>
  <c r="F8947" i="12" s="1"/>
  <c r="F8948" i="12" s="1"/>
  <c r="F8949" i="12" s="1"/>
  <c r="F8950" i="12" s="1"/>
  <c r="F8951" i="12" s="1"/>
  <c r="F8952" i="12" s="1"/>
  <c r="F8953" i="12" s="1"/>
  <c r="F8954" i="12" s="1"/>
  <c r="F8955" i="12" s="1"/>
  <c r="D8569" i="12"/>
  <c r="F8956" i="12" l="1"/>
  <c r="F8957" i="12" s="1"/>
  <c r="F8958" i="12" s="1"/>
  <c r="F8959" i="12" s="1"/>
  <c r="F8960" i="12" s="1"/>
  <c r="F8961" i="12" s="1"/>
  <c r="F8962" i="12" s="1"/>
  <c r="F8963" i="12" s="1"/>
  <c r="F8964" i="12" s="1"/>
  <c r="F8965" i="12" s="1"/>
  <c r="F8966" i="12" s="1"/>
  <c r="F8967" i="12" s="1"/>
  <c r="F8968" i="12" s="1"/>
  <c r="F8969" i="12" s="1"/>
  <c r="F8970" i="12" s="1"/>
  <c r="F8971" i="12" s="1"/>
  <c r="F8972" i="12" s="1"/>
  <c r="F8973" i="12" s="1"/>
  <c r="F8974" i="12" s="1"/>
  <c r="F8975" i="12" s="1"/>
  <c r="F8976" i="12" s="1"/>
  <c r="F8977" i="12" s="1"/>
  <c r="F8978" i="12" s="1"/>
  <c r="F8979" i="12" s="1"/>
  <c r="F8980" i="12" s="1"/>
  <c r="F8981" i="12" s="1"/>
  <c r="F8982" i="12" s="1"/>
  <c r="F8983" i="12" s="1"/>
  <c r="F8984" i="12" s="1"/>
  <c r="F8985" i="12" s="1"/>
  <c r="F8986" i="12" s="1"/>
  <c r="F8987" i="12" s="1"/>
  <c r="F8988" i="12" s="1"/>
  <c r="F8989" i="12" s="1"/>
  <c r="F8990" i="12" s="1"/>
  <c r="F8991" i="12" s="1"/>
  <c r="F8992" i="12" l="1"/>
  <c r="F8993" i="12" s="1"/>
  <c r="F8994" i="12" s="1"/>
  <c r="F8995" i="12" s="1"/>
  <c r="F8996" i="12" s="1"/>
  <c r="F8997" i="12" s="1"/>
  <c r="F8998" i="12" s="1"/>
  <c r="F8999" i="12" s="1"/>
  <c r="F9000" i="12" s="1"/>
  <c r="F9001" i="12" s="1"/>
  <c r="F9002" i="12" s="1"/>
  <c r="D8548" i="12"/>
  <c r="F9003" i="12" l="1"/>
  <c r="F9004" i="12" s="1"/>
  <c r="F9005" i="12" s="1"/>
  <c r="F9006" i="12" s="1"/>
  <c r="F9007" i="12" s="1"/>
  <c r="F9008" i="12" s="1"/>
  <c r="F9009" i="12" s="1"/>
  <c r="F9010" i="12" s="1"/>
  <c r="F8510" i="12"/>
  <c r="D8517" i="12"/>
  <c r="D8516" i="12"/>
  <c r="D8511" i="12"/>
  <c r="F9011" i="12" l="1"/>
  <c r="F9012" i="12" s="1"/>
  <c r="F9013" i="12" s="1"/>
  <c r="F9014" i="12" s="1"/>
  <c r="F9015" i="12" s="1"/>
  <c r="F9016" i="12" s="1"/>
  <c r="F9017" i="12" s="1"/>
  <c r="F9018" i="12" s="1"/>
  <c r="F9019" i="12" s="1"/>
  <c r="F9020" i="12" s="1"/>
  <c r="F9021" i="12" s="1"/>
  <c r="F9022" i="12" s="1"/>
  <c r="F9023" i="12" s="1"/>
  <c r="F9024" i="12" s="1"/>
  <c r="F8511" i="12"/>
  <c r="F8512" i="12" s="1"/>
  <c r="F8513" i="12" s="1"/>
  <c r="F8514" i="12" s="1"/>
  <c r="F8515" i="12" s="1"/>
  <c r="F8516" i="12" s="1"/>
  <c r="F8517" i="12" s="1"/>
  <c r="F8518" i="12" s="1"/>
  <c r="F8519" i="12" s="1"/>
  <c r="F8520" i="12" s="1"/>
  <c r="F8521" i="12" s="1"/>
  <c r="F8522" i="12" s="1"/>
  <c r="F8523" i="12" s="1"/>
  <c r="F8524" i="12" s="1"/>
  <c r="F8525" i="12" s="1"/>
  <c r="F8526" i="12" s="1"/>
  <c r="F8527" i="12" s="1"/>
  <c r="F8528" i="12" s="1"/>
  <c r="F8529" i="12" s="1"/>
  <c r="F8530" i="12" s="1"/>
  <c r="F8531" i="12" s="1"/>
  <c r="F8532" i="12" s="1"/>
  <c r="F8533" i="12" s="1"/>
  <c r="F8534" i="12" s="1"/>
  <c r="F8535" i="12" s="1"/>
  <c r="F8536" i="12" s="1"/>
  <c r="F8537" i="12" s="1"/>
  <c r="F8538" i="12" s="1"/>
  <c r="F8539" i="12" s="1"/>
  <c r="F8540" i="12" s="1"/>
  <c r="F8541" i="12" s="1"/>
  <c r="F8542" i="12" s="1"/>
  <c r="F8543" i="12" s="1"/>
  <c r="F8544" i="12" s="1"/>
  <c r="F8545" i="12" s="1"/>
  <c r="F8546" i="12" s="1"/>
  <c r="F8547" i="12" s="1"/>
  <c r="F8548" i="12" s="1"/>
  <c r="F8549" i="12" s="1"/>
  <c r="F8550" i="12" s="1"/>
  <c r="F8551" i="12" s="1"/>
  <c r="F8552" i="12" s="1"/>
  <c r="F8553" i="12" s="1"/>
  <c r="F8554" i="12" s="1"/>
  <c r="F8555" i="12" s="1"/>
  <c r="F8556" i="12" s="1"/>
  <c r="F8557" i="12" s="1"/>
  <c r="F8558" i="12" s="1"/>
  <c r="F8559" i="12" s="1"/>
  <c r="F8560" i="12" s="1"/>
  <c r="F8561" i="12" s="1"/>
  <c r="F8562" i="12" s="1"/>
  <c r="F8563" i="12" s="1"/>
  <c r="F8564" i="12" s="1"/>
  <c r="F8565" i="12" s="1"/>
  <c r="F8566" i="12" s="1"/>
  <c r="F8567" i="12" s="1"/>
  <c r="F8568" i="12" s="1"/>
  <c r="F8569" i="12" s="1"/>
  <c r="F8570" i="12" s="1"/>
  <c r="F8571" i="12" s="1"/>
  <c r="F8572" i="12" s="1"/>
  <c r="F8573" i="12" s="1"/>
  <c r="F8574" i="12" s="1"/>
  <c r="F8575" i="12" s="1"/>
  <c r="F8576" i="12" s="1"/>
  <c r="F8577" i="12" s="1"/>
  <c r="F8578" i="12" s="1"/>
  <c r="F8579" i="12" s="1"/>
  <c r="F8580" i="12" s="1"/>
  <c r="F8581" i="12" s="1"/>
  <c r="F8582" i="12" s="1"/>
  <c r="F8583" i="12" s="1"/>
  <c r="F8584" i="12" s="1"/>
  <c r="F8585" i="12" s="1"/>
  <c r="F8586" i="12" s="1"/>
  <c r="F9025" i="12" l="1"/>
  <c r="F9026" i="12" s="1"/>
  <c r="F9027" i="12" s="1"/>
  <c r="F9028" i="12" s="1"/>
  <c r="F9029" i="12" s="1"/>
  <c r="F9030" i="12" s="1"/>
  <c r="F9031" i="12" s="1"/>
  <c r="F9032" i="12" s="1"/>
  <c r="D8481" i="12"/>
  <c r="F9033" i="12" l="1"/>
  <c r="F9034" i="12" s="1"/>
  <c r="F9035" i="12" s="1"/>
  <c r="F9036" i="12" s="1"/>
  <c r="F9037" i="12" s="1"/>
  <c r="F9038" i="12" s="1"/>
  <c r="F9039" i="12" s="1"/>
  <c r="F9040" i="12" s="1"/>
  <c r="F9041" i="12" s="1"/>
  <c r="F9042" i="12" s="1"/>
  <c r="F9043" i="12" s="1"/>
  <c r="F9044" i="12" s="1"/>
  <c r="F9045" i="12" s="1"/>
  <c r="F9046" i="12" s="1"/>
  <c r="F9047" i="12" s="1"/>
  <c r="F9048" i="12" s="1"/>
  <c r="F9049" i="12" s="1"/>
  <c r="F9050" i="12" s="1"/>
  <c r="F9051" i="12" s="1"/>
  <c r="F9052" i="12" s="1"/>
  <c r="F9053" i="12" s="1"/>
  <c r="F9054" i="12" s="1"/>
  <c r="F9055" i="12" s="1"/>
  <c r="F9056" i="12" s="1"/>
  <c r="F9057" i="12" s="1"/>
  <c r="F9058" i="12" s="1"/>
  <c r="F9059" i="12" s="1"/>
  <c r="F9060" i="12" s="1"/>
  <c r="F9061" i="12" s="1"/>
  <c r="F9062" i="12" s="1"/>
  <c r="F9063" i="12" s="1"/>
  <c r="F9064" i="12" s="1"/>
  <c r="F9065" i="12" s="1"/>
  <c r="F9066" i="12" s="1"/>
  <c r="F9067" i="12" l="1"/>
  <c r="D8478" i="12"/>
  <c r="F9068" i="12" l="1"/>
  <c r="F9069" i="12" s="1"/>
  <c r="F9070" i="12" s="1"/>
  <c r="F9071" i="12" s="1"/>
  <c r="F9072" i="12" s="1"/>
  <c r="D8450" i="12"/>
  <c r="F9073" i="12" l="1"/>
  <c r="F9074" i="12" s="1"/>
  <c r="F9075" i="12" s="1"/>
  <c r="F9076" i="12" s="1"/>
  <c r="F9077" i="12" s="1"/>
  <c r="F9078" i="12" s="1"/>
  <c r="F9079" i="12" s="1"/>
  <c r="D8460" i="12"/>
  <c r="D8459" i="12"/>
  <c r="F9080" i="12" l="1"/>
  <c r="F9081" i="12" s="1"/>
  <c r="F9082" i="12" s="1"/>
  <c r="D8439" i="12"/>
  <c r="F9083" i="12" l="1"/>
  <c r="F9084" i="12" s="1"/>
  <c r="F9085" i="12" s="1"/>
  <c r="F9086" i="12" s="1"/>
  <c r="F9087" i="12" s="1"/>
  <c r="F9088" i="12" s="1"/>
  <c r="F9089" i="12" s="1"/>
  <c r="F9090" i="12" s="1"/>
  <c r="F9091" i="12" l="1"/>
  <c r="F9092" i="12" s="1"/>
  <c r="F9093" i="12" s="1"/>
  <c r="F9094" i="12" s="1"/>
  <c r="F9095" i="12" s="1"/>
  <c r="F9096" i="12" s="1"/>
  <c r="F9097" i="12" s="1"/>
  <c r="F9098" i="12" s="1"/>
  <c r="F9099" i="12" s="1"/>
  <c r="D8400" i="12"/>
  <c r="F9100" i="12" l="1"/>
  <c r="F9101" i="12" s="1"/>
  <c r="F9102" i="12" s="1"/>
  <c r="F9103" i="12" s="1"/>
  <c r="F9104" i="12" s="1"/>
  <c r="F9105" i="12" s="1"/>
  <c r="F9106" i="12" s="1"/>
  <c r="F9107" i="12" s="1"/>
  <c r="F9108" i="12" s="1"/>
  <c r="F9109" i="12" s="1"/>
  <c r="F9110" i="12" s="1"/>
  <c r="F9111" i="12" s="1"/>
  <c r="F9112" i="12" s="1"/>
  <c r="F9113" i="12" s="1"/>
  <c r="F9114" i="12" s="1"/>
  <c r="F9115" i="12" s="1"/>
  <c r="F9116" i="12" s="1"/>
  <c r="F9117" i="12" s="1"/>
  <c r="F9118" i="12" s="1"/>
  <c r="F9119" i="12" s="1"/>
  <c r="F9120" i="12" s="1"/>
  <c r="F9121" i="12" s="1"/>
  <c r="F9122" i="12" s="1"/>
  <c r="F9123" i="12" s="1"/>
  <c r="F9124" i="12" s="1"/>
  <c r="F9125" i="12" s="1"/>
  <c r="F9126" i="12" s="1"/>
  <c r="F9127" i="12" s="1"/>
  <c r="F9128" i="12" s="1"/>
  <c r="F9129" i="12" s="1"/>
  <c r="F9130" i="12" s="1"/>
  <c r="F9131" i="12" s="1"/>
  <c r="F9132" i="12" s="1"/>
  <c r="F9133" i="12" s="1"/>
  <c r="F9134" i="12" s="1"/>
  <c r="F9135" i="12" s="1"/>
  <c r="F9136" i="12" s="1"/>
  <c r="F9137" i="12" s="1"/>
  <c r="F9138" i="12" s="1"/>
  <c r="F9139" i="12" s="1"/>
  <c r="F9140" i="12" s="1"/>
  <c r="F9141" i="12" s="1"/>
  <c r="F9142" i="12" s="1"/>
  <c r="F9143" i="12" s="1"/>
  <c r="F9144" i="12" l="1"/>
  <c r="F9145" i="12" s="1"/>
  <c r="F9146" i="12" s="1"/>
  <c r="F9147" i="12" s="1"/>
  <c r="F9148" i="12" l="1"/>
  <c r="F9149" i="12" s="1"/>
  <c r="F9150" i="12" s="1"/>
  <c r="F9151" i="12" s="1"/>
  <c r="F9152" i="12" s="1"/>
  <c r="F9153" i="12" s="1"/>
  <c r="F9154" i="12" s="1"/>
  <c r="F9155" i="12" s="1"/>
  <c r="D8354" i="12"/>
  <c r="F9156" i="12" l="1"/>
  <c r="F9157" i="12" s="1"/>
  <c r="F9158" i="12" s="1"/>
  <c r="F9159" i="12" s="1"/>
  <c r="F9160" i="12" s="1"/>
  <c r="D8335" i="12"/>
  <c r="F9161" i="12" l="1"/>
  <c r="F9162" i="12" s="1"/>
  <c r="F9163" i="12" s="1"/>
  <c r="F9164" i="12" s="1"/>
  <c r="F9165" i="12" s="1"/>
  <c r="F9166" i="12" s="1"/>
  <c r="F9167" i="12" s="1"/>
  <c r="F9168" i="12" l="1"/>
  <c r="F9169" i="12" s="1"/>
  <c r="F9170" i="12" s="1"/>
  <c r="F9171" i="12" s="1"/>
  <c r="F9172" i="12" s="1"/>
  <c r="F9173" i="12" s="1"/>
  <c r="F9174" i="12" s="1"/>
  <c r="F9175" i="12" s="1"/>
  <c r="F9176" i="12" s="1"/>
  <c r="F9177" i="12" s="1"/>
  <c r="F9178" i="12" s="1"/>
  <c r="F9179" i="12" s="1"/>
  <c r="F9180" i="12" s="1"/>
  <c r="F9181" i="12" s="1"/>
  <c r="F9182" i="12" s="1"/>
  <c r="F9183" i="12" s="1"/>
  <c r="F9184" i="12" s="1"/>
  <c r="F9185" i="12" s="1"/>
  <c r="F9186" i="12" s="1"/>
  <c r="F9187" i="12" s="1"/>
  <c r="F9188" i="12" s="1"/>
  <c r="F9189" i="12" s="1"/>
  <c r="F9190" i="12" s="1"/>
  <c r="F9191" i="12" s="1"/>
  <c r="F9192" i="12" s="1"/>
  <c r="F9193" i="12" s="1"/>
  <c r="F9194" i="12" s="1"/>
  <c r="F9195" i="12" s="1"/>
  <c r="F9196" i="12" s="1"/>
  <c r="F9197" i="12" s="1"/>
  <c r="F9198" i="12" s="1"/>
  <c r="F9199" i="12" s="1"/>
  <c r="F9200" i="12" s="1"/>
  <c r="F9201" i="12" s="1"/>
  <c r="F9202" i="12" s="1"/>
  <c r="F9203" i="12" s="1"/>
  <c r="F9204" i="12" s="1"/>
  <c r="F9205" i="12" s="1"/>
  <c r="F9206" i="12" s="1"/>
  <c r="F9207" i="12" s="1"/>
  <c r="F9208" i="12" s="1"/>
  <c r="F9209" i="12" s="1"/>
  <c r="F9210" i="12" s="1"/>
  <c r="F9211" i="12" s="1"/>
  <c r="F9212" i="12" s="1"/>
  <c r="F9213" i="12" l="1"/>
  <c r="F9214" i="12" s="1"/>
  <c r="F9215" i="12" s="1"/>
  <c r="F9216" i="12" s="1"/>
  <c r="F9217" i="12" s="1"/>
  <c r="D8319" i="12"/>
  <c r="D8300" i="12" l="1"/>
  <c r="F9218" i="12" l="1"/>
  <c r="F9219" i="12" s="1"/>
  <c r="F9220" i="12" s="1"/>
  <c r="F9221" i="12" s="1"/>
  <c r="F9222" i="12" s="1"/>
  <c r="F9223" i="12" s="1"/>
  <c r="F9224" i="12" s="1"/>
  <c r="F9225" i="12" s="1"/>
  <c r="D8279" i="12"/>
  <c r="F9226" i="12" l="1"/>
  <c r="F9227" i="12" s="1"/>
  <c r="F9228" i="12" s="1"/>
  <c r="F9229" i="12" s="1"/>
  <c r="F9230" i="12" s="1"/>
  <c r="F9231" i="12" s="1"/>
  <c r="F9232" i="12" s="1"/>
  <c r="F9233" i="12" s="1"/>
  <c r="F9234" i="12" s="1"/>
  <c r="F9235" i="12" s="1"/>
  <c r="F9236" i="12" s="1"/>
  <c r="F9237" i="12" s="1"/>
  <c r="F9238" i="12" s="1"/>
  <c r="F9239" i="12" s="1"/>
  <c r="F9240" i="12" s="1"/>
  <c r="F9241" i="12" s="1"/>
  <c r="F9242" i="12" s="1"/>
  <c r="F9243" i="12" s="1"/>
  <c r="F9244" i="12" s="1"/>
  <c r="F9245" i="12" s="1"/>
  <c r="F9246" i="12" s="1"/>
  <c r="F9247" i="12" s="1"/>
  <c r="F9248" i="12" s="1"/>
  <c r="F9249" i="12" l="1"/>
  <c r="F9250" i="12" s="1"/>
  <c r="D8272" i="12"/>
  <c r="D8263" i="12" l="1"/>
  <c r="F9251" i="12" l="1"/>
  <c r="F9252" i="12" s="1"/>
  <c r="F9253" i="12" s="1"/>
  <c r="F9254" i="12" s="1"/>
  <c r="F9255" i="12" s="1"/>
  <c r="F9256" i="12" s="1"/>
  <c r="F9257" i="12" s="1"/>
  <c r="F9258" i="12" s="1"/>
  <c r="F9259" i="12" s="1"/>
  <c r="F9260" i="12" s="1"/>
  <c r="F9261" i="12" s="1"/>
  <c r="F9262" i="12" s="1"/>
  <c r="F9263" i="12" s="1"/>
  <c r="F9264" i="12" s="1"/>
  <c r="E2" i="31"/>
  <c r="E3" i="31" s="1"/>
  <c r="E4" i="31" s="1"/>
  <c r="E5" i="31" s="1"/>
  <c r="E6" i="31" s="1"/>
  <c r="F9265" i="12" l="1"/>
  <c r="F9266" i="12" s="1"/>
  <c r="F9267" i="12" s="1"/>
  <c r="F9268" i="12" s="1"/>
  <c r="F9269" i="12" s="1"/>
  <c r="F9270" i="12" l="1"/>
  <c r="F9271" i="12" s="1"/>
  <c r="F9272" i="12" s="1"/>
  <c r="F9273" i="12" s="1"/>
  <c r="F9274" i="12" l="1"/>
  <c r="F9275" i="12" s="1"/>
  <c r="F9276" i="12" s="1"/>
  <c r="F9277" i="12" s="1"/>
  <c r="F9278" i="12" s="1"/>
  <c r="D8250" i="12"/>
  <c r="F9279" i="12" l="1"/>
  <c r="F9280" i="12" s="1"/>
  <c r="F9281" i="12" s="1"/>
  <c r="F9282" i="12" s="1"/>
  <c r="D8238" i="12"/>
  <c r="D8239" i="12"/>
  <c r="F9283" i="12" l="1"/>
  <c r="F9284" i="12" s="1"/>
  <c r="F9285" i="12" s="1"/>
  <c r="F9286" i="12" s="1"/>
  <c r="D8191" i="12"/>
  <c r="F9287" i="12" l="1"/>
  <c r="F9288" i="12" s="1"/>
  <c r="D8231" i="12"/>
  <c r="F9289" i="12" l="1"/>
  <c r="F9290" i="12" s="1"/>
  <c r="F9291" i="12" s="1"/>
  <c r="F9292" i="12" s="1"/>
  <c r="F9293" i="12" s="1"/>
  <c r="F9294" i="12" s="1"/>
  <c r="F9295" i="12" s="1"/>
  <c r="F9296" i="12" s="1"/>
  <c r="F9297" i="12" s="1"/>
  <c r="F9298" i="12" s="1"/>
  <c r="F9299" i="12" s="1"/>
  <c r="D8223" i="12"/>
  <c r="F9300" i="12" l="1"/>
  <c r="F9301" i="12" s="1"/>
  <c r="F9302" i="12" s="1"/>
  <c r="F9303" i="12" s="1"/>
  <c r="D8202" i="12"/>
  <c r="F9304" i="12" l="1"/>
  <c r="F9305" i="12" s="1"/>
  <c r="D8200" i="12"/>
  <c r="F9306" i="12" l="1"/>
  <c r="F9307" i="12" s="1"/>
  <c r="F9308" i="12" s="1"/>
  <c r="F9309" i="12" s="1"/>
  <c r="E15" i="28"/>
  <c r="E16" i="28" s="1"/>
  <c r="E17" i="28" s="1"/>
  <c r="E18" i="28" s="1"/>
  <c r="E19" i="28" s="1"/>
  <c r="E20" i="28" s="1"/>
  <c r="E21" i="28" s="1"/>
  <c r="E22" i="28" s="1"/>
  <c r="D8181" i="12"/>
  <c r="F9310" i="12" l="1"/>
  <c r="F9311" i="12" s="1"/>
  <c r="F9312" i="12" s="1"/>
  <c r="F9313" i="12" s="1"/>
  <c r="E23" i="28"/>
  <c r="E24" i="28" s="1"/>
  <c r="E25" i="28" s="1"/>
  <c r="E26" i="28" s="1"/>
  <c r="E27" i="28" s="1"/>
  <c r="E28" i="28" s="1"/>
  <c r="E29" i="28" s="1"/>
  <c r="E30" i="28" s="1"/>
  <c r="E31" i="28" s="1"/>
  <c r="E32" i="28" s="1"/>
  <c r="E33" i="28" s="1"/>
  <c r="E34" i="28" s="1"/>
  <c r="E35" i="28" s="1"/>
  <c r="E36" i="28" s="1"/>
  <c r="E37" i="28" s="1"/>
  <c r="E38" i="28" s="1"/>
  <c r="E39" i="28" s="1"/>
  <c r="E40" i="28" s="1"/>
  <c r="E41" i="28" s="1"/>
  <c r="E42" i="28" s="1"/>
  <c r="D8156" i="12"/>
  <c r="F9314" i="12" l="1"/>
  <c r="F9315" i="12" s="1"/>
  <c r="F9316" i="12" s="1"/>
  <c r="F9317" i="12" s="1"/>
  <c r="F9318" i="12" s="1"/>
  <c r="F9319" i="12" s="1"/>
  <c r="F9320" i="12" s="1"/>
  <c r="F9321" i="12" s="1"/>
  <c r="F9322" i="12" s="1"/>
  <c r="F9323" i="12" s="1"/>
  <c r="F9324" i="12" s="1"/>
  <c r="F9325" i="12" s="1"/>
  <c r="F9326" i="12" s="1"/>
  <c r="F9327" i="12" s="1"/>
  <c r="F9328" i="12" s="1"/>
  <c r="F9329" i="12" s="1"/>
  <c r="F9330" i="12" s="1"/>
  <c r="F9331" i="12" s="1"/>
  <c r="F9332" i="12" s="1"/>
  <c r="E43" i="28"/>
  <c r="E44" i="28" s="1"/>
  <c r="E45" i="28" s="1"/>
  <c r="D8172" i="12"/>
  <c r="F9333" i="12" l="1"/>
  <c r="F9334" i="12" s="1"/>
  <c r="F9335" i="12" s="1"/>
  <c r="D8148" i="12"/>
  <c r="F9336" i="12" l="1"/>
  <c r="F9337" i="12" s="1"/>
  <c r="F9338" i="12" s="1"/>
  <c r="F9339" i="12" s="1"/>
  <c r="D8131" i="12"/>
  <c r="F9340" i="12" l="1"/>
  <c r="F9341" i="12" s="1"/>
  <c r="F9342" i="12" s="1"/>
  <c r="F9343" i="12" s="1"/>
  <c r="F9344" i="12" s="1"/>
  <c r="F9345" i="12" s="1"/>
  <c r="D8120" i="12"/>
  <c r="F9346" i="12" l="1"/>
  <c r="F9347" i="12" s="1"/>
  <c r="F9348" i="12" s="1"/>
  <c r="F9349" i="12" s="1"/>
  <c r="F9350" i="12" s="1"/>
  <c r="F9351" i="12" s="1"/>
  <c r="F9352" i="12" s="1"/>
  <c r="F9353" i="12" s="1"/>
  <c r="F9354" i="12" s="1"/>
  <c r="F9355" i="12" s="1"/>
  <c r="F9356" i="12" s="1"/>
  <c r="F9357" i="12" s="1"/>
  <c r="F9358" i="12" s="1"/>
  <c r="D8117" i="12"/>
  <c r="F9359" i="12" l="1"/>
  <c r="F9360" i="12" s="1"/>
  <c r="F9361" i="12" s="1"/>
  <c r="F9362" i="12" s="1"/>
  <c r="D8102" i="12"/>
  <c r="F9363" i="12" l="1"/>
  <c r="F9364" i="12" s="1"/>
  <c r="F9365" i="12" s="1"/>
  <c r="F9366" i="12" s="1"/>
  <c r="F9367" i="12" s="1"/>
  <c r="F9368" i="12" s="1"/>
  <c r="F9369" i="12" s="1"/>
  <c r="F9370" i="12" s="1"/>
  <c r="F9371" i="12" s="1"/>
  <c r="F9372" i="12" s="1"/>
  <c r="F9373" i="12" s="1"/>
  <c r="F9374" i="12" s="1"/>
  <c r="F9375" i="12" s="1"/>
  <c r="F9376" i="12" s="1"/>
  <c r="F9377" i="12" s="1"/>
  <c r="F9378" i="12" s="1"/>
  <c r="F9379" i="12" s="1"/>
  <c r="F9380" i="12" s="1"/>
  <c r="F9381" i="12" s="1"/>
  <c r="F9382" i="12" s="1"/>
  <c r="F9383" i="12" s="1"/>
  <c r="F9384" i="12" s="1"/>
  <c r="F9385" i="12" s="1"/>
  <c r="F9386" i="12" s="1"/>
  <c r="F9387" i="12" s="1"/>
  <c r="D8096" i="12"/>
  <c r="D8095" i="12"/>
  <c r="F9388" i="12" l="1"/>
  <c r="F9389" i="12" s="1"/>
  <c r="D8083" i="12"/>
  <c r="F9390" i="12" l="1"/>
  <c r="F9391" i="12" s="1"/>
  <c r="F9392" i="12" s="1"/>
  <c r="F9393" i="12" s="1"/>
  <c r="F9394" i="12" s="1"/>
  <c r="F9395" i="12" s="1"/>
  <c r="F9396" i="12" s="1"/>
  <c r="F9397" i="12" s="1"/>
  <c r="F9398" i="12" s="1"/>
  <c r="F9399" i="12" s="1"/>
  <c r="F9400" i="12" s="1"/>
  <c r="F9401" i="12" s="1"/>
  <c r="F9402" i="12" s="1"/>
  <c r="F9403" i="12" s="1"/>
  <c r="F9404" i="12" s="1"/>
  <c r="F9405" i="12" s="1"/>
  <c r="F9406" i="12" s="1"/>
  <c r="F9407" i="12" s="1"/>
  <c r="F9408" i="12" s="1"/>
  <c r="F9409" i="12" s="1"/>
  <c r="F9410" i="12" s="1"/>
  <c r="F9411" i="12" s="1"/>
  <c r="D8035" i="12"/>
  <c r="F9412" i="12" l="1"/>
  <c r="F9413" i="12" s="1"/>
  <c r="F9414" i="12" s="1"/>
  <c r="F9415" i="12" s="1"/>
  <c r="F9416" i="12" s="1"/>
  <c r="F9417" i="12" s="1"/>
  <c r="F9418" i="12" s="1"/>
  <c r="F9419" i="12" s="1"/>
  <c r="F9420" i="12" s="1"/>
  <c r="F9421" i="12" s="1"/>
  <c r="F9422" i="12" s="1"/>
  <c r="F9423" i="12" s="1"/>
  <c r="F9424" i="12" s="1"/>
  <c r="F9425" i="12" s="1"/>
  <c r="F9426" i="12" s="1"/>
  <c r="F9427" i="12" s="1"/>
  <c r="F9428" i="12" s="1"/>
  <c r="F9429" i="12" s="1"/>
  <c r="F9430" i="12" s="1"/>
  <c r="F9431" i="12" s="1"/>
  <c r="F9432" i="12" s="1"/>
  <c r="F9433" i="12" s="1"/>
  <c r="F9434" i="12" s="1"/>
  <c r="F9435" i="12" s="1"/>
  <c r="F9436" i="12" s="1"/>
  <c r="F9437" i="12" s="1"/>
  <c r="F9438" i="12" s="1"/>
  <c r="F9439" i="12" s="1"/>
  <c r="F9440" i="12" s="1"/>
  <c r="F9441" i="12" l="1"/>
  <c r="F9442" i="12" s="1"/>
  <c r="F9443" i="12" s="1"/>
  <c r="F9444" i="12" s="1"/>
  <c r="F9445" i="12" s="1"/>
  <c r="F9446" i="12" s="1"/>
  <c r="F9447" i="12" s="1"/>
  <c r="F9448" i="12" s="1"/>
  <c r="F9449" i="12" s="1"/>
  <c r="F9450" i="12" s="1"/>
  <c r="F9451" i="12" s="1"/>
  <c r="F9452" i="12" s="1"/>
  <c r="F9453" i="12" s="1"/>
  <c r="F9454" i="12" s="1"/>
  <c r="F9455" i="12" s="1"/>
  <c r="F9456" i="12" s="1"/>
  <c r="F9457" i="12" s="1"/>
  <c r="F9458" i="12" s="1"/>
  <c r="F9459" i="12" l="1"/>
  <c r="F9460" i="12" s="1"/>
  <c r="F9461" i="12" s="1"/>
  <c r="F9462" i="12" s="1"/>
  <c r="F9463" i="12" s="1"/>
  <c r="F9464" i="12" s="1"/>
  <c r="F9465" i="12" s="1"/>
  <c r="F9466" i="12" s="1"/>
  <c r="F9467" i="12" s="1"/>
  <c r="F9468" i="12" s="1"/>
  <c r="F9469" i="12" s="1"/>
  <c r="F9470" i="12" s="1"/>
  <c r="E2" i="28"/>
  <c r="E3" i="28" s="1"/>
  <c r="E4" i="28" s="1"/>
  <c r="E5" i="28" s="1"/>
  <c r="E6" i="28" s="1"/>
  <c r="E7" i="28" s="1"/>
  <c r="E8" i="28" s="1"/>
  <c r="E9" i="28" s="1"/>
  <c r="E10" i="28" s="1"/>
  <c r="E11" i="28" s="1"/>
  <c r="E12" i="28" s="1"/>
  <c r="E13" i="28" s="1"/>
  <c r="E14" i="28" s="1"/>
  <c r="F9471" i="12" l="1"/>
  <c r="F9472" i="12" s="1"/>
  <c r="F9473" i="12" s="1"/>
  <c r="F9474" i="12" s="1"/>
  <c r="F9475" i="12" s="1"/>
  <c r="F9476" i="12" s="1"/>
  <c r="F9477" i="12" s="1"/>
  <c r="F9478" i="12" s="1"/>
  <c r="F9479" i="12" s="1"/>
  <c r="F9480" i="12" s="1"/>
  <c r="F9481" i="12" s="1"/>
  <c r="F9482" i="12" s="1"/>
  <c r="F9483" i="12" s="1"/>
  <c r="F9484" i="12" s="1"/>
  <c r="F9485" i="12" s="1"/>
  <c r="F9486" i="12" s="1"/>
  <c r="F9487" i="12" s="1"/>
  <c r="F9488" i="12" s="1"/>
  <c r="F9489" i="12" s="1"/>
  <c r="F9490" i="12" s="1"/>
  <c r="F9491" i="12" s="1"/>
  <c r="F9492" i="12" s="1"/>
  <c r="F9493" i="12" s="1"/>
  <c r="F9494" i="12" s="1"/>
  <c r="F9495" i="12" s="1"/>
  <c r="F9496" i="12" s="1"/>
  <c r="F9497" i="12" s="1"/>
  <c r="F9498" i="12" s="1"/>
  <c r="F9499" i="12" s="1"/>
  <c r="F9500" i="12" s="1"/>
  <c r="F9501" i="12" s="1"/>
  <c r="F9502" i="12" s="1"/>
  <c r="F9503" i="12" s="1"/>
  <c r="F9504" i="12" s="1"/>
  <c r="F9505" i="12" s="1"/>
  <c r="F9506" i="12" s="1"/>
  <c r="F9507" i="12" s="1"/>
  <c r="F9508" i="12" s="1"/>
  <c r="F9509" i="12" s="1"/>
  <c r="F9510" i="12" s="1"/>
  <c r="F9511" i="12" s="1"/>
  <c r="F9512" i="12" s="1"/>
  <c r="F9513" i="12" s="1"/>
  <c r="F9514" i="12" s="1"/>
  <c r="F9515" i="12" s="1"/>
  <c r="F9516" i="12" s="1"/>
  <c r="F9517" i="12" s="1"/>
  <c r="F9518" i="12" s="1"/>
  <c r="F9519" i="12" s="1"/>
  <c r="D8045" i="12"/>
  <c r="F9520" i="12" l="1"/>
  <c r="F9521" i="12" s="1"/>
  <c r="F9522" i="12" s="1"/>
  <c r="F9523" i="12" s="1"/>
  <c r="D8019" i="12"/>
  <c r="F9524" i="12" l="1"/>
  <c r="D8000" i="12"/>
  <c r="F9525" i="12" l="1"/>
  <c r="F9526" i="12" s="1"/>
  <c r="F9527" i="12" s="1"/>
  <c r="D7994" i="12"/>
  <c r="D7993" i="12"/>
  <c r="D7992" i="12" l="1"/>
  <c r="D7957" i="12" l="1"/>
  <c r="F9528" i="12" l="1"/>
  <c r="F9529" i="12" s="1"/>
  <c r="F9530" i="12" s="1"/>
  <c r="F9531" i="12" s="1"/>
  <c r="F9532" i="12" s="1"/>
  <c r="F9533" i="12" s="1"/>
  <c r="D7932" i="12"/>
  <c r="F9534" i="12" l="1"/>
  <c r="F9535" i="12" s="1"/>
  <c r="F9536" i="12" s="1"/>
  <c r="F9537" i="12" s="1"/>
  <c r="F9538" i="12" l="1"/>
  <c r="D7892" i="12"/>
  <c r="F9539" i="12" l="1"/>
  <c r="F9540" i="12" s="1"/>
  <c r="F9541" i="12" s="1"/>
  <c r="F9542" i="12" s="1"/>
  <c r="F9543" i="12" s="1"/>
  <c r="F9544" i="12" s="1"/>
  <c r="F9545" i="12" s="1"/>
  <c r="F9546" i="12" s="1"/>
  <c r="F9547" i="12" s="1"/>
  <c r="F9548" i="12" s="1"/>
  <c r="F9549" i="12" s="1"/>
  <c r="F9550" i="12" s="1"/>
  <c r="F9551" i="12" s="1"/>
  <c r="F9552" i="12" s="1"/>
  <c r="F9553" i="12" s="1"/>
  <c r="F9554" i="12" s="1"/>
  <c r="F9555" i="12" s="1"/>
  <c r="F9556" i="12" s="1"/>
  <c r="F9557" i="12" s="1"/>
  <c r="F9558" i="12" s="1"/>
  <c r="F9559" i="12" s="1"/>
  <c r="F9560" i="12" s="1"/>
  <c r="F9561" i="12" s="1"/>
  <c r="F9562" i="12" s="1"/>
  <c r="F9563" i="12" s="1"/>
  <c r="F9564" i="12" s="1"/>
  <c r="C274" i="19"/>
  <c r="D7840" i="12" l="1"/>
  <c r="F9565" i="12" l="1"/>
  <c r="D7845" i="12"/>
  <c r="F9566" i="12" l="1"/>
  <c r="F9567" i="12" s="1"/>
  <c r="F9568" i="12" s="1"/>
  <c r="F9569" i="12" s="1"/>
  <c r="F9570" i="12" s="1"/>
  <c r="F9571" i="12" s="1"/>
  <c r="F9572" i="12" s="1"/>
  <c r="F9573" i="12" s="1"/>
  <c r="D7816" i="12"/>
  <c r="D7815" i="12"/>
  <c r="F9574" i="12" l="1"/>
  <c r="F9575" i="12" s="1"/>
  <c r="F9576" i="12" s="1"/>
  <c r="F9577" i="12" s="1"/>
  <c r="F9578" i="12" s="1"/>
  <c r="F9579" i="12" l="1"/>
  <c r="F9580" i="12" s="1"/>
  <c r="F9581" i="12" s="1"/>
  <c r="F9582" i="12" s="1"/>
  <c r="F9583" i="12" s="1"/>
  <c r="F9584" i="12" s="1"/>
  <c r="F9585" i="12" s="1"/>
  <c r="F9586" i="12" s="1"/>
  <c r="F9587" i="12" s="1"/>
  <c r="F9588" i="12" s="1"/>
  <c r="F9589" i="12" s="1"/>
  <c r="F9590" i="12" s="1"/>
  <c r="F9591" i="12" s="1"/>
  <c r="F9592" i="12" s="1"/>
  <c r="F9593" i="12" s="1"/>
  <c r="F9594" i="12" s="1"/>
  <c r="F9595" i="12" s="1"/>
  <c r="F9596" i="12" s="1"/>
  <c r="F9597" i="12" s="1"/>
  <c r="F9598" i="12" s="1"/>
  <c r="F9599" i="12" s="1"/>
  <c r="F9600" i="12" s="1"/>
  <c r="F9601" i="12" s="1"/>
  <c r="F9602" i="12" s="1"/>
  <c r="F9603" i="12" s="1"/>
  <c r="F9604" i="12" s="1"/>
  <c r="F9605" i="12" s="1"/>
  <c r="F9606" i="12" s="1"/>
  <c r="F9607" i="12" s="1"/>
  <c r="F9608" i="12" s="1"/>
  <c r="F9609" i="12" s="1"/>
  <c r="F9610" i="12" s="1"/>
  <c r="F9611" i="12" s="1"/>
  <c r="F9612" i="12" s="1"/>
  <c r="F9613" i="12" s="1"/>
  <c r="F9614" i="12" s="1"/>
  <c r="F9615" i="12" s="1"/>
  <c r="F9616" i="12" s="1"/>
  <c r="F9617" i="12" s="1"/>
  <c r="F9618" i="12" s="1"/>
  <c r="F9619" i="12" l="1"/>
  <c r="F9620" i="12" s="1"/>
  <c r="F9621" i="12" s="1"/>
  <c r="F9622" i="12" s="1"/>
  <c r="F9623" i="12" s="1"/>
  <c r="F9624" i="12" s="1"/>
  <c r="F9625" i="12" s="1"/>
  <c r="F9626" i="12" s="1"/>
  <c r="F9627" i="12" s="1"/>
  <c r="F9628" i="12" s="1"/>
  <c r="F9629" i="12" s="1"/>
  <c r="F9630" i="12" s="1"/>
  <c r="F9631" i="12" s="1"/>
  <c r="F9632" i="12" s="1"/>
  <c r="F9633" i="12" s="1"/>
  <c r="F9634" i="12" s="1"/>
  <c r="F9635" i="12" s="1"/>
  <c r="F9636" i="12" s="1"/>
  <c r="F9637" i="12" s="1"/>
  <c r="F9638" i="12" s="1"/>
  <c r="F9639" i="12" s="1"/>
  <c r="F9640" i="12" s="1"/>
  <c r="F9641" i="12" s="1"/>
  <c r="F9642" i="12" s="1"/>
  <c r="F9643" i="12" s="1"/>
  <c r="F9644" i="12" s="1"/>
  <c r="F9645" i="12" s="1"/>
  <c r="F9646" i="12" s="1"/>
  <c r="F9647" i="12" s="1"/>
  <c r="F9648" i="12" s="1"/>
  <c r="F9649" i="12" s="1"/>
  <c r="F9650" i="12" s="1"/>
  <c r="D7756" i="12"/>
  <c r="D7757" i="12"/>
  <c r="F9651" i="12" l="1"/>
  <c r="F9652" i="12" s="1"/>
  <c r="F9653" i="12" s="1"/>
  <c r="F9654" i="12" s="1"/>
  <c r="F9655" i="12" s="1"/>
  <c r="F9656" i="12" s="1"/>
  <c r="F9657" i="12" s="1"/>
  <c r="F9658" i="12" s="1"/>
  <c r="F9659" i="12" s="1"/>
  <c r="F9660" i="12" s="1"/>
  <c r="D7704" i="12"/>
  <c r="F9661" i="12" l="1"/>
  <c r="F9662" i="12" s="1"/>
  <c r="F9663" i="12" s="1"/>
  <c r="F9664" i="12" s="1"/>
  <c r="F9665" i="12" s="1"/>
  <c r="F9666" i="12" s="1"/>
  <c r="F9667" i="12" s="1"/>
  <c r="F9668" i="12" s="1"/>
  <c r="F9669" i="12" s="1"/>
  <c r="F9670" i="12" s="1"/>
  <c r="F9671" i="12" s="1"/>
  <c r="F9672" i="12" s="1"/>
  <c r="F9673" i="12" s="1"/>
  <c r="F9674" i="12" s="1"/>
  <c r="F9675" i="12" s="1"/>
  <c r="F9676" i="12" s="1"/>
  <c r="F9677" i="12" s="1"/>
  <c r="F9678" i="12" s="1"/>
  <c r="F9679" i="12" s="1"/>
  <c r="F9680" i="12" s="1"/>
  <c r="F9681" i="12" s="1"/>
  <c r="F9682" i="12" s="1"/>
  <c r="F9683" i="12" s="1"/>
  <c r="F9684" i="12" s="1"/>
  <c r="F9685" i="12" s="1"/>
  <c r="F9686" i="12" s="1"/>
  <c r="F9687" i="12" s="1"/>
  <c r="F9688" i="12" s="1"/>
  <c r="D7695" i="12"/>
  <c r="D7696" i="12"/>
  <c r="F9689" i="12" l="1"/>
  <c r="F9690" i="12" s="1"/>
  <c r="F9691" i="12" s="1"/>
  <c r="F9692" i="12" s="1"/>
  <c r="F9693" i="12" s="1"/>
  <c r="F9694" i="12" s="1"/>
  <c r="D7675" i="12"/>
  <c r="F9695" i="12" l="1"/>
  <c r="F9696" i="12" s="1"/>
  <c r="F9697" i="12" s="1"/>
  <c r="F9698" i="12" s="1"/>
  <c r="F9699" i="12" s="1"/>
  <c r="F9700" i="12" s="1"/>
  <c r="F9701" i="12" s="1"/>
  <c r="F9702" i="12" s="1"/>
  <c r="F9703" i="12" s="1"/>
  <c r="F9704" i="12" s="1"/>
  <c r="F9705" i="12" s="1"/>
  <c r="F9706" i="12" s="1"/>
  <c r="F9707" i="12" s="1"/>
  <c r="F9708" i="12" s="1"/>
  <c r="D7663" i="12"/>
  <c r="D7666" i="12"/>
  <c r="D7665" i="12"/>
  <c r="F9709" i="12" l="1"/>
  <c r="F9710" i="12" s="1"/>
  <c r="F9711" i="12" s="1"/>
  <c r="F9712" i="12" s="1"/>
  <c r="F9713" i="12" s="1"/>
  <c r="F9714" i="12" s="1"/>
  <c r="F9715" i="12" s="1"/>
  <c r="F9716" i="12" s="1"/>
  <c r="F9717" i="12" s="1"/>
  <c r="F9718" i="12" s="1"/>
  <c r="F9719" i="12" s="1"/>
  <c r="F9720" i="12" s="1"/>
  <c r="F9721" i="12" s="1"/>
  <c r="F9722" i="12" s="1"/>
  <c r="F9723" i="12" s="1"/>
  <c r="F9724" i="12" s="1"/>
  <c r="F9725" i="12" s="1"/>
  <c r="F9726" i="12" s="1"/>
  <c r="F9727" i="12" s="1"/>
  <c r="F9728" i="12" s="1"/>
  <c r="F9729" i="12" s="1"/>
  <c r="F9730" i="12" s="1"/>
  <c r="F9731" i="12" s="1"/>
  <c r="F9732" i="12" s="1"/>
  <c r="F9733" i="12" s="1"/>
  <c r="F9734" i="12" s="1"/>
  <c r="F9735" i="12" s="1"/>
  <c r="F9736" i="12" s="1"/>
  <c r="F9737" i="12" s="1"/>
  <c r="F9738" i="12" s="1"/>
  <c r="F9739" i="12" s="1"/>
  <c r="F9740" i="12" s="1"/>
  <c r="F9741" i="12" s="1"/>
  <c r="F9742" i="12" s="1"/>
  <c r="D7653" i="12"/>
  <c r="F9743" i="12" l="1"/>
  <c r="F9744" i="12" s="1"/>
  <c r="F9745" i="12" s="1"/>
  <c r="E2" i="30"/>
  <c r="E3" i="30" s="1"/>
  <c r="E4" i="30" s="1"/>
  <c r="E5" i="30" s="1"/>
  <c r="E6" i="30" s="1"/>
  <c r="E7" i="30" s="1"/>
  <c r="E8" i="30" s="1"/>
  <c r="E9" i="30" s="1"/>
  <c r="E10" i="30" s="1"/>
  <c r="E11" i="30" s="1"/>
  <c r="E12" i="30" s="1"/>
  <c r="E13" i="30" s="1"/>
  <c r="E14" i="30" s="1"/>
  <c r="E15" i="30" s="1"/>
  <c r="E16" i="30" s="1"/>
  <c r="E17" i="30" s="1"/>
  <c r="E18" i="30" s="1"/>
  <c r="E19" i="30" s="1"/>
  <c r="E20" i="30" s="1"/>
  <c r="E21" i="30" s="1"/>
  <c r="E22" i="30" s="1"/>
  <c r="E23" i="30" s="1"/>
  <c r="E24" i="30" s="1"/>
  <c r="E25" i="30" s="1"/>
  <c r="E26" i="30" s="1"/>
  <c r="E27" i="30" s="1"/>
  <c r="E28" i="30" s="1"/>
  <c r="E29" i="30" s="1"/>
  <c r="E30" i="30" s="1"/>
  <c r="E31" i="30" s="1"/>
  <c r="E32" i="30" s="1"/>
  <c r="E33" i="30" s="1"/>
  <c r="E34" i="30" s="1"/>
  <c r="E35" i="30" s="1"/>
  <c r="E36" i="30" s="1"/>
  <c r="E37" i="30" s="1"/>
  <c r="E38" i="30" s="1"/>
  <c r="E39" i="30" s="1"/>
  <c r="E40" i="30" s="1"/>
  <c r="E41" i="30" s="1"/>
  <c r="E42" i="30" s="1"/>
  <c r="E43" i="30" s="1"/>
  <c r="E44" i="30" s="1"/>
  <c r="E45" i="30" s="1"/>
  <c r="E46" i="30" s="1"/>
  <c r="E47" i="30" s="1"/>
  <c r="E48" i="30" s="1"/>
  <c r="E49" i="30" s="1"/>
  <c r="E50" i="30" s="1"/>
  <c r="E51" i="30" s="1"/>
  <c r="E52" i="30" s="1"/>
  <c r="E53" i="30" s="1"/>
  <c r="E54" i="30" s="1"/>
  <c r="E55" i="30" s="1"/>
  <c r="E56" i="30" s="1"/>
  <c r="E57" i="30" s="1"/>
  <c r="E58" i="30" s="1"/>
  <c r="E59" i="30" s="1"/>
  <c r="E60" i="30" s="1"/>
  <c r="E61" i="30" s="1"/>
  <c r="E62" i="30" s="1"/>
  <c r="E63" i="30" s="1"/>
  <c r="E64" i="30" s="1"/>
  <c r="E65" i="30" s="1"/>
  <c r="E66" i="30" s="1"/>
  <c r="E67" i="30" s="1"/>
  <c r="E68" i="30" s="1"/>
  <c r="E69" i="30" s="1"/>
  <c r="E70" i="30" s="1"/>
  <c r="E71" i="30" s="1"/>
  <c r="E72" i="30" s="1"/>
  <c r="E73" i="30" s="1"/>
  <c r="E74" i="30" s="1"/>
  <c r="E75" i="30" s="1"/>
  <c r="E76" i="30" s="1"/>
  <c r="E77" i="30" s="1"/>
  <c r="E78" i="30" s="1"/>
  <c r="E79" i="30" s="1"/>
  <c r="E80" i="30" s="1"/>
  <c r="E81" i="30" s="1"/>
  <c r="E82" i="30" s="1"/>
  <c r="E83" i="30" s="1"/>
  <c r="E84" i="30" s="1"/>
  <c r="E85" i="30" s="1"/>
  <c r="E86" i="30" s="1"/>
  <c r="E87" i="30" s="1"/>
  <c r="E88" i="30" s="1"/>
  <c r="E89" i="30" s="1"/>
  <c r="E90" i="30" s="1"/>
  <c r="E91" i="30" s="1"/>
  <c r="E92" i="30" s="1"/>
  <c r="E93" i="30" s="1"/>
  <c r="E94" i="30" s="1"/>
  <c r="E95" i="30" s="1"/>
  <c r="E96" i="30" s="1"/>
  <c r="E97" i="30" s="1"/>
  <c r="E98" i="30" s="1"/>
  <c r="E99" i="30" s="1"/>
  <c r="E100" i="30" s="1"/>
  <c r="E101" i="30" s="1"/>
  <c r="E102" i="30" s="1"/>
  <c r="E103" i="30" s="1"/>
  <c r="E104" i="30" s="1"/>
  <c r="E105" i="30" s="1"/>
  <c r="E106" i="30" s="1"/>
  <c r="E107" i="30" s="1"/>
  <c r="E108" i="30" s="1"/>
  <c r="E109" i="30" s="1"/>
  <c r="E110" i="30" s="1"/>
  <c r="E111" i="30" s="1"/>
  <c r="E112" i="30" s="1"/>
  <c r="E113" i="30" s="1"/>
  <c r="E114" i="30" s="1"/>
  <c r="E115" i="30" s="1"/>
  <c r="E116" i="30" s="1"/>
  <c r="E117" i="30" s="1"/>
  <c r="E118" i="30" s="1"/>
  <c r="E119" i="30" s="1"/>
  <c r="E120" i="30" s="1"/>
  <c r="E121" i="30" s="1"/>
  <c r="E122" i="30" s="1"/>
  <c r="E123" i="30" s="1"/>
  <c r="E124" i="30" s="1"/>
  <c r="F9746" i="12" l="1"/>
  <c r="F9747" i="12" s="1"/>
  <c r="F9748" i="12" s="1"/>
  <c r="F9749" i="12" s="1"/>
  <c r="F9750" i="12" s="1"/>
  <c r="F9751" i="12" s="1"/>
  <c r="F9752" i="12" s="1"/>
  <c r="F9753" i="12" s="1"/>
  <c r="F9754" i="12" s="1"/>
  <c r="F9755" i="12" s="1"/>
  <c r="F9756" i="12" s="1"/>
  <c r="F9757" i="12" s="1"/>
  <c r="F9758" i="12" s="1"/>
  <c r="F9759" i="12" s="1"/>
  <c r="F9760" i="12" s="1"/>
  <c r="F9761" i="12" s="1"/>
  <c r="F9762" i="12" s="1"/>
  <c r="F9763" i="12" s="1"/>
  <c r="F9764" i="12" s="1"/>
  <c r="F9765" i="12" s="1"/>
  <c r="F9766" i="12" s="1"/>
  <c r="F9767" i="12" s="1"/>
  <c r="F9768" i="12" s="1"/>
  <c r="F9769" i="12" s="1"/>
  <c r="F9770" i="12" s="1"/>
  <c r="F9771" i="12" s="1"/>
  <c r="F9772" i="12" s="1"/>
  <c r="F9773" i="12" s="1"/>
  <c r="F9774" i="12" s="1"/>
  <c r="F9775" i="12" s="1"/>
  <c r="F9776" i="12" s="1"/>
  <c r="F9777" i="12" s="1"/>
  <c r="F9778" i="12" s="1"/>
  <c r="F9779" i="12" s="1"/>
  <c r="F9780" i="12" s="1"/>
  <c r="F9781" i="12" s="1"/>
  <c r="F9782" i="12" s="1"/>
  <c r="F9783" i="12" s="1"/>
  <c r="F9784" i="12" s="1"/>
  <c r="F9785" i="12" s="1"/>
  <c r="F9786" i="12" s="1"/>
  <c r="F9787" i="12" s="1"/>
  <c r="F9788" i="12" s="1"/>
  <c r="F9789" i="12" s="1"/>
  <c r="F9790" i="12" s="1"/>
  <c r="F9791" i="12" s="1"/>
  <c r="F9792" i="12" s="1"/>
  <c r="F9793" i="12" s="1"/>
  <c r="F9794" i="12" s="1"/>
  <c r="F9795" i="12" s="1"/>
  <c r="F9796" i="12" s="1"/>
  <c r="F9797" i="12" s="1"/>
  <c r="F9798" i="12" s="1"/>
  <c r="F9799" i="12" s="1"/>
  <c r="F9800" i="12" s="1"/>
  <c r="F9801" i="12" s="1"/>
  <c r="F9802" i="12" s="1"/>
  <c r="F9803" i="12" s="1"/>
  <c r="F9804" i="12" s="1"/>
  <c r="F9805" i="12" s="1"/>
  <c r="F9806" i="12" s="1"/>
  <c r="F9807" i="12" s="1"/>
  <c r="F9808" i="12" s="1"/>
  <c r="F9809" i="12" s="1"/>
  <c r="F9810" i="12" s="1"/>
  <c r="F9811" i="12" s="1"/>
  <c r="F9812" i="12" s="1"/>
  <c r="F9813" i="12" s="1"/>
  <c r="F9814" i="12" s="1"/>
  <c r="F9815" i="12" s="1"/>
  <c r="F9816" i="12" s="1"/>
  <c r="F9817" i="12" s="1"/>
  <c r="F9818" i="12" s="1"/>
  <c r="F9819" i="12" s="1"/>
  <c r="F9820" i="12" s="1"/>
  <c r="F9821" i="12" s="1"/>
  <c r="F9822" i="12" s="1"/>
  <c r="F9823" i="12" s="1"/>
  <c r="F9824" i="12" s="1"/>
  <c r="F9825" i="12" s="1"/>
  <c r="F9826" i="12" s="1"/>
  <c r="F9827" i="12" s="1"/>
  <c r="F9828" i="12" s="1"/>
  <c r="F9829" i="12" s="1"/>
  <c r="F9830" i="12" s="1"/>
  <c r="F9831" i="12" s="1"/>
  <c r="F9832" i="12" s="1"/>
  <c r="F9833" i="12" s="1"/>
  <c r="F9834" i="12" s="1"/>
  <c r="F9835" i="12" s="1"/>
  <c r="F9836" i="12" s="1"/>
  <c r="F9837" i="12" s="1"/>
  <c r="F9838" i="12" s="1"/>
  <c r="F9839" i="12" s="1"/>
  <c r="F9840" i="12" s="1"/>
  <c r="F9841" i="12" s="1"/>
  <c r="F9842" i="12" s="1"/>
  <c r="F9843" i="12" s="1"/>
  <c r="F9844" i="12" s="1"/>
  <c r="F9845" i="12" s="1"/>
  <c r="F9846" i="12" s="1"/>
  <c r="F9847" i="12" s="1"/>
  <c r="F9848" i="12" s="1"/>
  <c r="F9849" i="12" s="1"/>
  <c r="F9850" i="12" s="1"/>
  <c r="F9851" i="12" s="1"/>
  <c r="F9852" i="12" s="1"/>
  <c r="F9853" i="12" s="1"/>
  <c r="F9854" i="12" s="1"/>
  <c r="F9855" i="12" s="1"/>
  <c r="F9856" i="12" s="1"/>
  <c r="F9857" i="12" s="1"/>
  <c r="F9858" i="12" s="1"/>
  <c r="F9859" i="12" s="1"/>
  <c r="F9860" i="12" s="1"/>
  <c r="F9861" i="12" s="1"/>
  <c r="F9862" i="12" s="1"/>
  <c r="F9863" i="12" s="1"/>
  <c r="F9864" i="12" s="1"/>
  <c r="F9865" i="12" s="1"/>
  <c r="F9866" i="12" s="1"/>
  <c r="F9867" i="12" s="1"/>
  <c r="F9868" i="12" s="1"/>
  <c r="F9869" i="12" s="1"/>
  <c r="F9870" i="12" s="1"/>
  <c r="F9871" i="12" s="1"/>
  <c r="F9872" i="12" s="1"/>
  <c r="F9873" i="12" s="1"/>
  <c r="F9874" i="12" s="1"/>
  <c r="F9875" i="12" s="1"/>
  <c r="F9876" i="12" s="1"/>
  <c r="F9877" i="12" s="1"/>
  <c r="F9878" i="12" s="1"/>
  <c r="F9879" i="12" s="1"/>
  <c r="F9880" i="12" s="1"/>
  <c r="F9881" i="12" s="1"/>
  <c r="F9882" i="12" s="1"/>
  <c r="F9883" i="12" s="1"/>
  <c r="F9884" i="12" s="1"/>
  <c r="F9885" i="12" s="1"/>
  <c r="F9886" i="12" s="1"/>
  <c r="F9887" i="12" s="1"/>
  <c r="F9888" i="12" s="1"/>
  <c r="F9889" i="12" s="1"/>
  <c r="F9890" i="12" s="1"/>
  <c r="F9891" i="12" s="1"/>
  <c r="F9892" i="12" s="1"/>
  <c r="F9893" i="12" s="1"/>
  <c r="F9894" i="12" s="1"/>
  <c r="F9895" i="12" s="1"/>
  <c r="F9896" i="12" s="1"/>
  <c r="F9897" i="12" s="1"/>
  <c r="F9898" i="12" s="1"/>
  <c r="F9899" i="12" s="1"/>
  <c r="F9900" i="12" s="1"/>
  <c r="F9901" i="12" s="1"/>
  <c r="F9902" i="12" s="1"/>
  <c r="F9903" i="12" s="1"/>
  <c r="F9904" i="12" s="1"/>
  <c r="F9905" i="12" s="1"/>
  <c r="F9906" i="12" s="1"/>
  <c r="F9907" i="12" s="1"/>
  <c r="F9908" i="12" s="1"/>
  <c r="F9909" i="12" s="1"/>
  <c r="F9910" i="12" s="1"/>
  <c r="F9911" i="12" s="1"/>
  <c r="F9912" i="12" s="1"/>
  <c r="F9913" i="12" s="1"/>
  <c r="F9914" i="12" s="1"/>
  <c r="F9915" i="12" s="1"/>
  <c r="F9916" i="12" s="1"/>
  <c r="F9917" i="12" s="1"/>
  <c r="F9918" i="12" s="1"/>
  <c r="F9919" i="12" s="1"/>
  <c r="F9920" i="12" s="1"/>
  <c r="F9921" i="12" s="1"/>
  <c r="F9922" i="12" s="1"/>
  <c r="F9923" i="12" s="1"/>
  <c r="F9924" i="12" s="1"/>
  <c r="F9925" i="12" s="1"/>
  <c r="F9926" i="12" s="1"/>
  <c r="F9927" i="12" s="1"/>
  <c r="F9928" i="12" s="1"/>
  <c r="F9929" i="12" s="1"/>
  <c r="F9930" i="12" s="1"/>
  <c r="F9931" i="12" s="1"/>
  <c r="F9932" i="12" s="1"/>
  <c r="F9933" i="12" s="1"/>
  <c r="F9934" i="12" s="1"/>
  <c r="F9935" i="12" s="1"/>
  <c r="F9936" i="12" s="1"/>
  <c r="F9937" i="12" s="1"/>
  <c r="F9938" i="12" s="1"/>
  <c r="F9939" i="12" s="1"/>
  <c r="F9940" i="12" s="1"/>
  <c r="F9941" i="12" s="1"/>
  <c r="F9942" i="12" s="1"/>
  <c r="F9943" i="12" s="1"/>
  <c r="F9944" i="12" s="1"/>
  <c r="F9945" i="12" s="1"/>
  <c r="F9946" i="12" s="1"/>
  <c r="F9947" i="12" s="1"/>
  <c r="F9948" i="12" s="1"/>
  <c r="F9949" i="12" s="1"/>
  <c r="F9950" i="12" s="1"/>
  <c r="F9951" i="12" s="1"/>
  <c r="F9952" i="12" s="1"/>
  <c r="F9953" i="12" s="1"/>
  <c r="F9954" i="12" s="1"/>
  <c r="F9955" i="12" s="1"/>
  <c r="F9956" i="12" s="1"/>
  <c r="F9957" i="12" s="1"/>
  <c r="F9958" i="12" s="1"/>
  <c r="F9959" i="12" s="1"/>
  <c r="F9960" i="12" s="1"/>
  <c r="F9961" i="12" s="1"/>
  <c r="F9962" i="12" s="1"/>
  <c r="F9963" i="12" s="1"/>
  <c r="F9964" i="12" s="1"/>
  <c r="F9965" i="12" s="1"/>
  <c r="F9966" i="12" s="1"/>
  <c r="F9967" i="12" s="1"/>
  <c r="F9968" i="12" s="1"/>
  <c r="F9969" i="12" s="1"/>
  <c r="F9970" i="12" s="1"/>
  <c r="F9971" i="12" s="1"/>
  <c r="F9972" i="12" s="1"/>
  <c r="F9973" i="12" s="1"/>
  <c r="F9974" i="12" s="1"/>
  <c r="F9975" i="12" s="1"/>
  <c r="F9976" i="12" s="1"/>
  <c r="F9977" i="12" s="1"/>
  <c r="F9978" i="12" s="1"/>
  <c r="F9979" i="12" s="1"/>
  <c r="F9980" i="12" s="1"/>
  <c r="F9981" i="12" s="1"/>
  <c r="F9982" i="12" s="1"/>
  <c r="F9983" i="12" s="1"/>
  <c r="F9984" i="12" s="1"/>
  <c r="F9985" i="12" s="1"/>
  <c r="F9986" i="12" s="1"/>
  <c r="F9987" i="12" s="1"/>
  <c r="F9988" i="12" s="1"/>
  <c r="F9989" i="12" s="1"/>
  <c r="F9990" i="12" s="1"/>
  <c r="F9991" i="12" s="1"/>
  <c r="F9992" i="12" s="1"/>
  <c r="F9993" i="12" s="1"/>
  <c r="F9994" i="12" s="1"/>
  <c r="F9995" i="12" s="1"/>
  <c r="F9996" i="12" s="1"/>
  <c r="F9997" i="12" s="1"/>
  <c r="F9998" i="12" s="1"/>
  <c r="F9999" i="12" s="1"/>
  <c r="F10000" i="12" s="1"/>
  <c r="F10001" i="12" s="1"/>
  <c r="F10002" i="12" s="1"/>
  <c r="F10003" i="12" s="1"/>
  <c r="F10004" i="12" s="1"/>
  <c r="F10005" i="12" s="1"/>
  <c r="F10006" i="12" s="1"/>
  <c r="F10007" i="12" s="1"/>
  <c r="F10008" i="12" s="1"/>
  <c r="F10009" i="12" s="1"/>
  <c r="F10010" i="12" s="1"/>
  <c r="F10011" i="12" s="1"/>
  <c r="F10012" i="12" s="1"/>
  <c r="F10013" i="12" s="1"/>
  <c r="F10014" i="12" s="1"/>
  <c r="F10015" i="12" s="1"/>
  <c r="F10016" i="12" s="1"/>
  <c r="F10017" i="12" s="1"/>
  <c r="F10018" i="12" s="1"/>
  <c r="F10019" i="12" s="1"/>
  <c r="F10020" i="12" s="1"/>
  <c r="F10021" i="12" s="1"/>
  <c r="F10022" i="12" s="1"/>
  <c r="F10023" i="12" s="1"/>
  <c r="F10024" i="12" s="1"/>
  <c r="F10025" i="12" s="1"/>
  <c r="F10026" i="12" s="1"/>
  <c r="F10027" i="12" s="1"/>
  <c r="F10028" i="12" s="1"/>
  <c r="F10029" i="12" s="1"/>
  <c r="F10030" i="12" s="1"/>
  <c r="F10031" i="12" s="1"/>
  <c r="F10032" i="12" s="1"/>
  <c r="F10033" i="12" s="1"/>
  <c r="F10034" i="12" s="1"/>
  <c r="F10035" i="12" s="1"/>
  <c r="F10036" i="12" s="1"/>
  <c r="F10037" i="12" s="1"/>
  <c r="F10038" i="12" s="1"/>
  <c r="F10039" i="12" s="1"/>
  <c r="F10040" i="12" s="1"/>
  <c r="F10041" i="12" s="1"/>
  <c r="F10042" i="12" s="1"/>
  <c r="F10043" i="12" s="1"/>
  <c r="F10044" i="12" s="1"/>
  <c r="F10045" i="12" s="1"/>
  <c r="F10046" i="12" s="1"/>
  <c r="F10047" i="12" s="1"/>
  <c r="F10048" i="12" s="1"/>
  <c r="F10049" i="12" s="1"/>
  <c r="F10050" i="12" s="1"/>
  <c r="F10051" i="12" s="1"/>
  <c r="F10052" i="12" s="1"/>
  <c r="F10053" i="12" s="1"/>
  <c r="F10054" i="12" s="1"/>
  <c r="F10055" i="12" s="1"/>
  <c r="F10056" i="12" s="1"/>
  <c r="F10057" i="12" s="1"/>
  <c r="E7639" i="12"/>
  <c r="D7629" i="12" l="1"/>
  <c r="D7628" i="12"/>
  <c r="D7611" i="12" l="1"/>
  <c r="D7610" i="12"/>
  <c r="D7608" i="12" l="1"/>
  <c r="F453" i="22" l="1"/>
  <c r="F454" i="22" s="1"/>
  <c r="F455" i="22" s="1"/>
  <c r="F456" i="22" s="1"/>
  <c r="F457" i="22" s="1"/>
  <c r="F458" i="22" s="1"/>
  <c r="F459" i="22" s="1"/>
  <c r="F460" i="22" s="1"/>
  <c r="F461" i="22" s="1"/>
  <c r="F462" i="22" l="1"/>
  <c r="F463" i="22" s="1"/>
  <c r="F464" i="22" s="1"/>
  <c r="F465" i="22" s="1"/>
  <c r="F466" i="22" s="1"/>
  <c r="F467" i="22" s="1"/>
  <c r="F468" i="22" s="1"/>
  <c r="F469" i="22" s="1"/>
  <c r="F470" i="22" s="1"/>
  <c r="F471" i="22" s="1"/>
  <c r="F472" i="22" s="1"/>
  <c r="F473" i="22" s="1"/>
  <c r="F474" i="22" l="1"/>
  <c r="F475" i="22" s="1"/>
  <c r="F476" i="22" s="1"/>
  <c r="F477" i="22" s="1"/>
  <c r="F478" i="22" s="1"/>
  <c r="F479" i="22" s="1"/>
  <c r="F480" i="22" s="1"/>
  <c r="F481" i="22" s="1"/>
  <c r="F482" i="22" s="1"/>
  <c r="F483" i="22" s="1"/>
  <c r="F484" i="22" s="1"/>
  <c r="F485" i="22" s="1"/>
  <c r="F486" i="22" s="1"/>
  <c r="F487" i="22" s="1"/>
  <c r="F488" i="22" s="1"/>
  <c r="F489" i="22" s="1"/>
  <c r="F490" i="22" s="1"/>
  <c r="F491" i="22" s="1"/>
  <c r="F492" i="22" s="1"/>
  <c r="F493" i="22" s="1"/>
  <c r="F494" i="22" s="1"/>
  <c r="F495" i="22" s="1"/>
  <c r="F496" i="22" s="1"/>
  <c r="F497" i="22" s="1"/>
  <c r="F498" i="22" s="1"/>
  <c r="F499" i="22" s="1"/>
  <c r="F500" i="22" s="1"/>
  <c r="F501" i="22" s="1"/>
  <c r="F502" i="22" s="1"/>
  <c r="F503" i="22" s="1"/>
  <c r="F504" i="22" s="1"/>
  <c r="F505" i="22" s="1"/>
  <c r="F506" i="22" s="1"/>
  <c r="F507" i="22" s="1"/>
  <c r="F508" i="22" s="1"/>
  <c r="F509" i="22" s="1"/>
  <c r="F510" i="22" s="1"/>
  <c r="F511" i="22" s="1"/>
  <c r="F512" i="22" s="1"/>
  <c r="F513" i="22" s="1"/>
  <c r="F514" i="22" s="1"/>
  <c r="F515" i="22" s="1"/>
  <c r="F516" i="22" s="1"/>
  <c r="F517" i="22" s="1"/>
  <c r="F518" i="22" s="1"/>
  <c r="F519" i="22" s="1"/>
  <c r="F520" i="22" s="1"/>
  <c r="F521" i="22" s="1"/>
  <c r="F522" i="22" s="1"/>
  <c r="F523" i="22" s="1"/>
  <c r="F524" i="22" s="1"/>
  <c r="F525" i="22" s="1"/>
  <c r="F526" i="22" s="1"/>
  <c r="F527" i="22" s="1"/>
  <c r="F528" i="22" s="1"/>
  <c r="F529" i="22" s="1"/>
  <c r="F530" i="22" s="1"/>
  <c r="F531" i="22" s="1"/>
  <c r="F532" i="22" s="1"/>
  <c r="F533" i="22" s="1"/>
  <c r="F534" i="22" s="1"/>
  <c r="F535" i="22" s="1"/>
  <c r="F536" i="22" s="1"/>
  <c r="F537" i="22" s="1"/>
  <c r="F538" i="22" s="1"/>
  <c r="F539" i="22" s="1"/>
  <c r="F540" i="22" s="1"/>
  <c r="F541" i="22" s="1"/>
  <c r="F542" i="22" s="1"/>
  <c r="F543" i="22" s="1"/>
  <c r="F544" i="22" s="1"/>
  <c r="F545" i="22" s="1"/>
  <c r="F546" i="22" s="1"/>
  <c r="F547" i="22" s="1"/>
  <c r="F548" i="22" s="1"/>
  <c r="F549" i="22" s="1"/>
  <c r="F550" i="22" s="1"/>
  <c r="F551" i="22" s="1"/>
  <c r="F552" i="22" s="1"/>
  <c r="F553" i="22" s="1"/>
  <c r="F554" i="22" s="1"/>
  <c r="F555" i="22" s="1"/>
  <c r="F556" i="22" s="1"/>
  <c r="F557" i="22" s="1"/>
  <c r="F558" i="22" s="1"/>
  <c r="F559" i="22" s="1"/>
  <c r="F560" i="22" s="1"/>
  <c r="F561" i="22" s="1"/>
  <c r="F562" i="22" s="1"/>
  <c r="F563" i="22" s="1"/>
  <c r="F564" i="22" s="1"/>
  <c r="F565" i="22" s="1"/>
  <c r="F566" i="22" s="1"/>
  <c r="F567" i="22" s="1"/>
  <c r="F568" i="22" s="1"/>
  <c r="F569" i="22" s="1"/>
  <c r="F570" i="22" s="1"/>
  <c r="F571" i="22" s="1"/>
  <c r="F572" i="22" s="1"/>
  <c r="F573" i="22" s="1"/>
  <c r="F574" i="22" s="1"/>
  <c r="F575" i="22" s="1"/>
  <c r="F576" i="22" s="1"/>
  <c r="F577" i="22" s="1"/>
  <c r="F578" i="22" s="1"/>
  <c r="F579" i="22" s="1"/>
  <c r="F580" i="22" s="1"/>
  <c r="F581" i="22" s="1"/>
  <c r="F582" i="22" s="1"/>
  <c r="F583" i="22" s="1"/>
  <c r="F584" i="22" s="1"/>
  <c r="F585" i="22" s="1"/>
  <c r="F586" i="22" s="1"/>
  <c r="F587" i="22" s="1"/>
  <c r="F588" i="22" s="1"/>
  <c r="F589" i="22" s="1"/>
  <c r="F590" i="22" s="1"/>
  <c r="F591" i="22" s="1"/>
  <c r="F592" i="22" s="1"/>
  <c r="F593" i="22" s="1"/>
  <c r="F594" i="22" s="1"/>
  <c r="F595" i="22" s="1"/>
  <c r="F596" i="22" s="1"/>
  <c r="F597" i="22" s="1"/>
  <c r="F598" i="22" s="1"/>
  <c r="F599" i="22" s="1"/>
  <c r="F600" i="22" s="1"/>
  <c r="F601" i="22" s="1"/>
  <c r="F602" i="22" s="1"/>
  <c r="F603" i="22" s="1"/>
  <c r="F604" i="22" s="1"/>
  <c r="F605" i="22" s="1"/>
  <c r="F606" i="22" s="1"/>
  <c r="F607" i="22" s="1"/>
  <c r="F608" i="22" s="1"/>
  <c r="F609" i="22" s="1"/>
  <c r="F610" i="22" s="1"/>
  <c r="F611" i="22" s="1"/>
  <c r="F612" i="22" s="1"/>
  <c r="F613" i="22" s="1"/>
  <c r="D7527" i="12" l="1"/>
  <c r="D7499" i="12" l="1"/>
  <c r="D7470" i="12" l="1"/>
  <c r="D7474" i="12" l="1"/>
  <c r="D7444" i="12" l="1"/>
  <c r="D7414" i="12" l="1"/>
  <c r="D7385" i="12" l="1"/>
  <c r="D7335" i="12" l="1"/>
  <c r="D7307" i="12" l="1"/>
  <c r="D7274" i="12" l="1"/>
  <c r="F7201" i="12" l="1"/>
  <c r="F7202" i="12" s="1"/>
  <c r="D7203" i="12" l="1"/>
  <c r="F7203" i="12" l="1"/>
  <c r="F7204" i="12" s="1"/>
  <c r="F7205" i="12" s="1"/>
  <c r="F7206" i="12" s="1"/>
  <c r="F7207" i="12" s="1"/>
  <c r="F7208" i="12" s="1"/>
  <c r="F7209" i="12" s="1"/>
  <c r="F7210" i="12" s="1"/>
  <c r="F7211" i="12" s="1"/>
  <c r="F7212" i="12" s="1"/>
  <c r="F7213" i="12" s="1"/>
  <c r="F7214" i="12" s="1"/>
  <c r="F7215" i="12" s="1"/>
  <c r="F7216" i="12" s="1"/>
  <c r="F7217" i="12" s="1"/>
  <c r="F7218" i="12" s="1"/>
  <c r="F7219" i="12" s="1"/>
  <c r="F7220" i="12" s="1"/>
  <c r="F7221" i="12" s="1"/>
  <c r="F7222" i="12" s="1"/>
  <c r="F7223" i="12" s="1"/>
  <c r="F7224" i="12" s="1"/>
  <c r="F7225" i="12" s="1"/>
  <c r="F7226" i="12" s="1"/>
  <c r="F7227" i="12" s="1"/>
  <c r="F7228" i="12" s="1"/>
  <c r="F7229" i="12" s="1"/>
  <c r="F7230" i="12" s="1"/>
  <c r="F7231" i="12" s="1"/>
  <c r="F7232" i="12" s="1"/>
  <c r="F7233" i="12" s="1"/>
  <c r="F7234" i="12" s="1"/>
  <c r="F7235" i="12" s="1"/>
  <c r="F7236" i="12" s="1"/>
  <c r="F7237" i="12" s="1"/>
  <c r="F7238" i="12" s="1"/>
  <c r="F7239" i="12" s="1"/>
  <c r="F7240" i="12" s="1"/>
  <c r="F7241" i="12" s="1"/>
  <c r="F7242" i="12" s="1"/>
  <c r="F7243" i="12" s="1"/>
  <c r="F7244" i="12" s="1"/>
  <c r="F7245" i="12" s="1"/>
  <c r="F7246" i="12" s="1"/>
  <c r="F7247" i="12" l="1"/>
  <c r="F7248" i="12" s="1"/>
  <c r="F7249" i="12" s="1"/>
  <c r="F7250" i="12" s="1"/>
  <c r="F7251" i="12" s="1"/>
  <c r="F7252" i="12" s="1"/>
  <c r="F7253" i="12" s="1"/>
  <c r="F7254" i="12" s="1"/>
  <c r="F7255" i="12" s="1"/>
  <c r="F7256" i="12" l="1"/>
  <c r="F7257" i="12" s="1"/>
  <c r="F7258" i="12" s="1"/>
  <c r="F7259" i="12" s="1"/>
  <c r="F7260" i="12" s="1"/>
  <c r="F7261" i="12" s="1"/>
  <c r="F7262" i="12" s="1"/>
  <c r="F7263" i="12" s="1"/>
  <c r="F7264" i="12" s="1"/>
  <c r="F7265" i="12" s="1"/>
  <c r="F7266" i="12" s="1"/>
  <c r="F7267" i="12" s="1"/>
  <c r="F7268" i="12" s="1"/>
  <c r="F7269" i="12" s="1"/>
  <c r="F7270" i="12" s="1"/>
  <c r="F7271" i="12" l="1"/>
  <c r="F7272" i="12" s="1"/>
  <c r="F7273" i="12" s="1"/>
  <c r="F7274" i="12" s="1"/>
  <c r="F7275" i="12" s="1"/>
  <c r="F7276" i="12" s="1"/>
  <c r="D7192" i="12"/>
  <c r="F7277" i="12" l="1"/>
  <c r="F7278" i="12" s="1"/>
  <c r="F7279" i="12" s="1"/>
  <c r="F7280" i="12" s="1"/>
  <c r="F7281" i="12" s="1"/>
  <c r="F7282" i="12" s="1"/>
  <c r="F7283" i="12" s="1"/>
  <c r="F7284" i="12" s="1"/>
  <c r="F7285" i="12" s="1"/>
  <c r="F7286" i="12" s="1"/>
  <c r="F7287" i="12" s="1"/>
  <c r="F7288" i="12" s="1"/>
  <c r="F7289" i="12" s="1"/>
  <c r="F7290" i="12" s="1"/>
  <c r="F7291" i="12" s="1"/>
  <c r="F7292" i="12" s="1"/>
  <c r="F7293" i="12" s="1"/>
  <c r="F7294" i="12" s="1"/>
  <c r="F7295" i="12" s="1"/>
  <c r="F7296" i="12" s="1"/>
  <c r="F7297" i="12" s="1"/>
  <c r="F7298" i="12" s="1"/>
  <c r="F7299" i="12" s="1"/>
  <c r="F7300" i="12" s="1"/>
  <c r="F7301" i="12" s="1"/>
  <c r="F7302" i="12" s="1"/>
  <c r="F7303" i="12" s="1"/>
  <c r="F7304" i="12" s="1"/>
  <c r="F7305" i="12" s="1"/>
  <c r="F7306" i="12" s="1"/>
  <c r="F7307" i="12" s="1"/>
  <c r="F7308" i="12" s="1"/>
  <c r="F7309" i="12" s="1"/>
  <c r="F7310" i="12" s="1"/>
  <c r="D7188" i="12"/>
  <c r="F7311" i="12" l="1"/>
  <c r="F7312" i="12" s="1"/>
  <c r="F7313" i="12" s="1"/>
  <c r="F7314" i="12" l="1"/>
  <c r="F7315" i="12" s="1"/>
  <c r="F7316" i="12" s="1"/>
  <c r="F7317" i="12" s="1"/>
  <c r="F7318" i="12" s="1"/>
  <c r="F7319" i="12" s="1"/>
  <c r="F7320" i="12" s="1"/>
  <c r="F7321" i="12" s="1"/>
  <c r="F7322" i="12" s="1"/>
  <c r="F7323" i="12" s="1"/>
  <c r="F7324" i="12" s="1"/>
  <c r="F7325" i="12" s="1"/>
  <c r="F7326" i="12" s="1"/>
  <c r="F7327" i="12" s="1"/>
  <c r="F7328" i="12" s="1"/>
  <c r="F7329" i="12" s="1"/>
  <c r="F7330" i="12" s="1"/>
  <c r="F7331" i="12" s="1"/>
  <c r="F7332" i="12" s="1"/>
  <c r="F7333" i="12" s="1"/>
  <c r="F7334" i="12" s="1"/>
  <c r="F7335" i="12" s="1"/>
  <c r="F7336" i="12" s="1"/>
  <c r="F7337" i="12" s="1"/>
  <c r="F7338" i="12" s="1"/>
  <c r="F7339" i="12" s="1"/>
  <c r="F7340" i="12" s="1"/>
  <c r="F7341" i="12" s="1"/>
  <c r="F7342" i="12" s="1"/>
  <c r="F7343" i="12" s="1"/>
  <c r="F7344" i="12" s="1"/>
  <c r="F7345" i="12" s="1"/>
  <c r="F7346" i="12" s="1"/>
  <c r="F7347" i="12" s="1"/>
  <c r="F7348" i="12" s="1"/>
  <c r="F7349" i="12" s="1"/>
  <c r="F7350" i="12" s="1"/>
  <c r="F7351" i="12" s="1"/>
  <c r="F7352" i="12" s="1"/>
  <c r="F7353" i="12" s="1"/>
  <c r="F7354" i="12" s="1"/>
  <c r="F7355" i="12" s="1"/>
  <c r="F7356" i="12" s="1"/>
  <c r="F7357" i="12" s="1"/>
  <c r="F7358" i="12" s="1"/>
  <c r="F7359" i="12" s="1"/>
  <c r="F7360" i="12" s="1"/>
  <c r="F7361" i="12" s="1"/>
  <c r="F7362" i="12" l="1"/>
  <c r="F7363" i="12" s="1"/>
  <c r="F7364" i="12" s="1"/>
  <c r="F7365" i="12" s="1"/>
  <c r="F7366" i="12" s="1"/>
  <c r="F7367" i="12" l="1"/>
  <c r="F7368" i="12" s="1"/>
  <c r="F7369" i="12" s="1"/>
  <c r="F7370" i="12" s="1"/>
  <c r="F7371" i="12" s="1"/>
  <c r="F7372" i="12" s="1"/>
  <c r="F7373" i="12" s="1"/>
  <c r="F7374" i="12" s="1"/>
  <c r="F7375" i="12" s="1"/>
  <c r="F7376" i="12" s="1"/>
  <c r="F7377" i="12" s="1"/>
  <c r="F7378" i="12" s="1"/>
  <c r="F7379" i="12" s="1"/>
  <c r="F7380" i="12" s="1"/>
  <c r="F7381" i="12" s="1"/>
  <c r="F7382" i="12" s="1"/>
  <c r="F7383" i="12" s="1"/>
  <c r="F7384" i="12" s="1"/>
  <c r="F7385" i="12" s="1"/>
  <c r="F7386" i="12" s="1"/>
  <c r="F7387" i="12" s="1"/>
  <c r="F7388" i="12" s="1"/>
  <c r="F7389" i="12" s="1"/>
  <c r="F7390" i="12" s="1"/>
  <c r="F7391" i="12" s="1"/>
  <c r="F7392" i="12" s="1"/>
  <c r="F7393" i="12" s="1"/>
  <c r="F7394" i="12" s="1"/>
  <c r="F7395" i="12" s="1"/>
  <c r="F7396" i="12" s="1"/>
  <c r="F7397" i="12" s="1"/>
  <c r="F7398" i="12" s="1"/>
  <c r="F7399" i="12" s="1"/>
  <c r="F7400" i="12" s="1"/>
  <c r="F7401" i="12" s="1"/>
  <c r="F7402" i="12" s="1"/>
  <c r="F7403" i="12" s="1"/>
  <c r="F7404" i="12" s="1"/>
  <c r="F7405" i="12" s="1"/>
  <c r="F7406" i="12" s="1"/>
  <c r="F7407" i="12" s="1"/>
  <c r="F7408" i="12" s="1"/>
  <c r="F7409" i="12" s="1"/>
  <c r="F7410" i="12" s="1"/>
  <c r="F7411" i="12" s="1"/>
  <c r="F7412" i="12" s="1"/>
  <c r="F7413" i="12" s="1"/>
  <c r="F7414" i="12" s="1"/>
  <c r="F7415" i="12" s="1"/>
  <c r="F7416" i="12" s="1"/>
  <c r="F7417" i="12" s="1"/>
  <c r="F7418" i="12" s="1"/>
  <c r="F7419" i="12" s="1"/>
  <c r="F7420" i="12" s="1"/>
  <c r="F7421" i="12" s="1"/>
  <c r="F7422" i="12" s="1"/>
  <c r="F7423" i="12" s="1"/>
  <c r="F7424" i="12" s="1"/>
  <c r="F7425" i="12" s="1"/>
  <c r="F7426" i="12" s="1"/>
  <c r="F7427" i="12" s="1"/>
  <c r="F7428" i="12" s="1"/>
  <c r="F7429" i="12" s="1"/>
  <c r="F7430" i="12" s="1"/>
  <c r="F7431" i="12" s="1"/>
  <c r="F7432" i="12" s="1"/>
  <c r="F7433" i="12" s="1"/>
  <c r="F7434" i="12" s="1"/>
  <c r="F7435" i="12" s="1"/>
  <c r="F7436" i="12" s="1"/>
  <c r="F7437" i="12" s="1"/>
  <c r="F7438" i="12" s="1"/>
  <c r="F7439" i="12" s="1"/>
  <c r="F7440" i="12" s="1"/>
  <c r="F7441" i="12" s="1"/>
  <c r="F7442" i="12" s="1"/>
  <c r="F7443" i="12" s="1"/>
  <c r="F7444" i="12" s="1"/>
  <c r="F7445" i="12" s="1"/>
  <c r="F7446" i="12" s="1"/>
  <c r="F7447" i="12" s="1"/>
  <c r="F7448" i="12" s="1"/>
  <c r="F7449" i="12" s="1"/>
  <c r="F7450" i="12" s="1"/>
  <c r="F7451" i="12" s="1"/>
  <c r="F7452" i="12" s="1"/>
  <c r="F7453" i="12" s="1"/>
  <c r="F7454" i="12" s="1"/>
  <c r="F7455" i="12" s="1"/>
  <c r="F7456" i="12" s="1"/>
  <c r="F7457" i="12" s="1"/>
  <c r="F7458" i="12" s="1"/>
  <c r="F7459" i="12" s="1"/>
  <c r="F7460" i="12" s="1"/>
  <c r="F7461" i="12" s="1"/>
  <c r="F7462" i="12" s="1"/>
  <c r="F7463" i="12" s="1"/>
  <c r="F7464" i="12" s="1"/>
  <c r="F7465" i="12" s="1"/>
  <c r="F7466" i="12" s="1"/>
  <c r="F7467" i="12" s="1"/>
  <c r="F7468" i="12" s="1"/>
  <c r="F7469" i="12" s="1"/>
  <c r="F7470" i="12" s="1"/>
  <c r="F7471" i="12" s="1"/>
  <c r="F7472" i="12" s="1"/>
  <c r="F7473" i="12" s="1"/>
  <c r="F7474" i="12" s="1"/>
  <c r="F7475" i="12" s="1"/>
  <c r="F7476" i="12" s="1"/>
  <c r="F7477" i="12" s="1"/>
  <c r="F7478" i="12" s="1"/>
  <c r="F7479" i="12" s="1"/>
  <c r="F7480" i="12" s="1"/>
  <c r="F7481" i="12" s="1"/>
  <c r="F7482" i="12" s="1"/>
  <c r="F7483" i="12" s="1"/>
  <c r="F7484" i="12" s="1"/>
  <c r="F7485" i="12" s="1"/>
  <c r="F7486" i="12" s="1"/>
  <c r="F7487" i="12" s="1"/>
  <c r="F7488" i="12" s="1"/>
  <c r="F7489" i="12" s="1"/>
  <c r="F7490" i="12" s="1"/>
  <c r="F7491" i="12" s="1"/>
  <c r="F7492" i="12" s="1"/>
  <c r="F7493" i="12" s="1"/>
  <c r="F7494" i="12" s="1"/>
  <c r="F7495" i="12" s="1"/>
  <c r="F7496" i="12" s="1"/>
  <c r="F7497" i="12" s="1"/>
  <c r="F7498" i="12" s="1"/>
  <c r="F7499" i="12" s="1"/>
  <c r="D7166" i="12"/>
  <c r="F7500" i="12" l="1"/>
  <c r="F7501" i="12" s="1"/>
  <c r="F7502" i="12" s="1"/>
  <c r="F7503" i="12" s="1"/>
  <c r="F7504" i="12" s="1"/>
  <c r="F7505" i="12" s="1"/>
  <c r="F7506" i="12" s="1"/>
  <c r="F7507" i="12" s="1"/>
  <c r="F7508" i="12" s="1"/>
  <c r="F7509" i="12" s="1"/>
  <c r="F7510" i="12" s="1"/>
  <c r="F7511" i="12" s="1"/>
  <c r="F7512" i="12" s="1"/>
  <c r="F7513" i="12" s="1"/>
  <c r="F7514" i="12" s="1"/>
  <c r="F7515" i="12" s="1"/>
  <c r="F7516" i="12" s="1"/>
  <c r="F7517" i="12" s="1"/>
  <c r="F7518" i="12" s="1"/>
  <c r="F7519" i="12" s="1"/>
  <c r="F7520" i="12" s="1"/>
  <c r="F7521" i="12" s="1"/>
  <c r="F7522" i="12" s="1"/>
  <c r="F7523" i="12" s="1"/>
  <c r="F7524" i="12" s="1"/>
  <c r="F7525" i="12" s="1"/>
  <c r="F7526" i="12" s="1"/>
  <c r="F7527" i="12" s="1"/>
  <c r="F7528" i="12" s="1"/>
  <c r="F7529" i="12" s="1"/>
  <c r="F7530" i="12" s="1"/>
  <c r="F7531" i="12" s="1"/>
  <c r="F7532" i="12" s="1"/>
  <c r="F7533" i="12" s="1"/>
  <c r="F7534" i="12" s="1"/>
  <c r="F7535" i="12" s="1"/>
  <c r="F7536" i="12" s="1"/>
  <c r="F7537" i="12" s="1"/>
  <c r="F7538" i="12" s="1"/>
  <c r="F7539" i="12" s="1"/>
  <c r="F7540" i="12" s="1"/>
  <c r="F7541" i="12" s="1"/>
  <c r="F7542" i="12" s="1"/>
  <c r="F7543" i="12" s="1"/>
  <c r="F7544" i="12" s="1"/>
  <c r="F7545" i="12" s="1"/>
  <c r="F7546" i="12" s="1"/>
  <c r="F7547" i="12" s="1"/>
  <c r="F7548" i="12" s="1"/>
  <c r="F7549" i="12" s="1"/>
  <c r="F7550" i="12" l="1"/>
  <c r="F7551" i="12" s="1"/>
  <c r="F7552" i="12" s="1"/>
  <c r="F7553" i="12" s="1"/>
  <c r="F7554" i="12" s="1"/>
  <c r="F7555" i="12" s="1"/>
  <c r="F7556" i="12" s="1"/>
  <c r="F7557" i="12" s="1"/>
  <c r="F7558" i="12" s="1"/>
  <c r="F7559" i="12" s="1"/>
  <c r="F7560" i="12" s="1"/>
  <c r="F7561" i="12" s="1"/>
  <c r="F7562" i="12" s="1"/>
  <c r="F7563" i="12" s="1"/>
  <c r="F7564" i="12" s="1"/>
  <c r="F7565" i="12" s="1"/>
  <c r="F7566" i="12" s="1"/>
  <c r="F7567" i="12" s="1"/>
  <c r="F7568" i="12" s="1"/>
  <c r="F7569" i="12" s="1"/>
  <c r="F7570" i="12" s="1"/>
  <c r="F7571" i="12" s="1"/>
  <c r="F7572" i="12" s="1"/>
  <c r="F7573" i="12" s="1"/>
  <c r="F7574" i="12" l="1"/>
  <c r="F7575" i="12" s="1"/>
  <c r="F7576" i="12" s="1"/>
  <c r="F7577" i="12" s="1"/>
  <c r="F7578" i="12" s="1"/>
  <c r="F7579" i="12" s="1"/>
  <c r="F7580" i="12" s="1"/>
  <c r="F7581" i="12" s="1"/>
  <c r="F7582" i="12" s="1"/>
  <c r="F7583" i="12" s="1"/>
  <c r="F7584" i="12" s="1"/>
  <c r="F7585" i="12" s="1"/>
  <c r="F7586" i="12" s="1"/>
  <c r="F7587" i="12" s="1"/>
  <c r="F7588" i="12" s="1"/>
  <c r="F7589" i="12" s="1"/>
  <c r="F7590" i="12" s="1"/>
  <c r="F7591" i="12" s="1"/>
  <c r="F7592" i="12" s="1"/>
  <c r="F7593" i="12" s="1"/>
  <c r="F7594" i="12" s="1"/>
  <c r="F7595" i="12" s="1"/>
  <c r="F7596" i="12" s="1"/>
  <c r="F7597" i="12" s="1"/>
  <c r="F7598" i="12" s="1"/>
  <c r="F7599" i="12" s="1"/>
  <c r="F7600" i="12" s="1"/>
  <c r="F7601" i="12" s="1"/>
  <c r="F7602" i="12" s="1"/>
  <c r="F7603" i="12" s="1"/>
  <c r="D7152" i="12"/>
  <c r="F7604" i="12" l="1"/>
  <c r="F7605" i="12" s="1"/>
  <c r="F7606" i="12" s="1"/>
  <c r="F7607" i="12" s="1"/>
  <c r="F7608" i="12" s="1"/>
  <c r="F7609" i="12" s="1"/>
  <c r="F7610" i="12" s="1"/>
  <c r="F7611" i="12" s="1"/>
  <c r="F7612" i="12" s="1"/>
  <c r="F7613" i="12" s="1"/>
  <c r="F7614" i="12" s="1"/>
  <c r="F7615" i="12" s="1"/>
  <c r="F7616" i="12" s="1"/>
  <c r="F7617" i="12" s="1"/>
  <c r="F7618" i="12" s="1"/>
  <c r="F7619" i="12" s="1"/>
  <c r="F7620" i="12" s="1"/>
  <c r="F7621" i="12" s="1"/>
  <c r="F7622" i="12" s="1"/>
  <c r="F7623" i="12" s="1"/>
  <c r="F7624" i="12" s="1"/>
  <c r="F7625" i="12" s="1"/>
  <c r="F7626" i="12" s="1"/>
  <c r="F7627" i="12" s="1"/>
  <c r="F7628" i="12" s="1"/>
  <c r="F7629" i="12" s="1"/>
  <c r="F7630" i="12" s="1"/>
  <c r="F7631" i="12" s="1"/>
  <c r="F7632" i="12" s="1"/>
  <c r="F7633" i="12" s="1"/>
  <c r="F7634" i="12" s="1"/>
  <c r="F7635" i="12" s="1"/>
  <c r="F7636" i="12" s="1"/>
  <c r="F7637" i="12" s="1"/>
  <c r="F7638" i="12" s="1"/>
  <c r="F7639" i="12" s="1"/>
  <c r="F7640" i="12" s="1"/>
  <c r="F7641" i="12" s="1"/>
  <c r="F7642" i="12" s="1"/>
  <c r="F7643" i="12" s="1"/>
  <c r="F7644" i="12" s="1"/>
  <c r="F7645" i="12" s="1"/>
  <c r="F7646" i="12" s="1"/>
  <c r="F7647" i="12" s="1"/>
  <c r="F7648" i="12" s="1"/>
  <c r="F7649" i="12" s="1"/>
  <c r="F7650" i="12" s="1"/>
  <c r="F7651" i="12" s="1"/>
  <c r="F7652" i="12" s="1"/>
  <c r="F7653" i="12" s="1"/>
  <c r="F7654" i="12" s="1"/>
  <c r="F7655" i="12" s="1"/>
  <c r="F7656" i="12" s="1"/>
  <c r="F7657" i="12" s="1"/>
  <c r="F7658" i="12" s="1"/>
  <c r="F7659" i="12" s="1"/>
  <c r="F7660" i="12" s="1"/>
  <c r="F7661" i="12" s="1"/>
  <c r="F7662" i="12" s="1"/>
  <c r="F7663" i="12" s="1"/>
  <c r="F7664" i="12" s="1"/>
  <c r="F7665" i="12" s="1"/>
  <c r="F7666" i="12" s="1"/>
  <c r="F7667" i="12" s="1"/>
  <c r="F7668" i="12" s="1"/>
  <c r="F7669" i="12" s="1"/>
  <c r="F7670" i="12" s="1"/>
  <c r="F7671" i="12" s="1"/>
  <c r="F7672" i="12" s="1"/>
  <c r="F7673" i="12" s="1"/>
  <c r="F7674" i="12" s="1"/>
  <c r="F7675" i="12" s="1"/>
  <c r="F7676" i="12" s="1"/>
  <c r="F7677" i="12" s="1"/>
  <c r="F7678" i="12" s="1"/>
  <c r="F7679" i="12" s="1"/>
  <c r="F7680" i="12" s="1"/>
  <c r="F7681" i="12" s="1"/>
  <c r="F7682" i="12" s="1"/>
  <c r="F7683" i="12" s="1"/>
  <c r="F7684" i="12" s="1"/>
  <c r="F7685" i="12" s="1"/>
  <c r="F7686" i="12" s="1"/>
  <c r="F7687" i="12" s="1"/>
  <c r="F7688" i="12" s="1"/>
  <c r="F7689" i="12" s="1"/>
  <c r="F7690" i="12" s="1"/>
  <c r="F7691" i="12" s="1"/>
  <c r="F7692" i="12" s="1"/>
  <c r="F7693" i="12" s="1"/>
  <c r="F7694" i="12" s="1"/>
  <c r="F7695" i="12" s="1"/>
  <c r="F7696" i="12" s="1"/>
  <c r="F7697" i="12" s="1"/>
  <c r="F7698" i="12" s="1"/>
  <c r="F7699" i="12" s="1"/>
  <c r="F7700" i="12" s="1"/>
  <c r="F7701" i="12" s="1"/>
  <c r="F7702" i="12" s="1"/>
  <c r="F7703" i="12" s="1"/>
  <c r="F7704" i="12" s="1"/>
  <c r="F7705" i="12" s="1"/>
  <c r="F7706" i="12" s="1"/>
  <c r="F7707" i="12" s="1"/>
  <c r="F7708" i="12" s="1"/>
  <c r="F7709" i="12" s="1"/>
  <c r="F7710" i="12" s="1"/>
  <c r="F7711" i="12" s="1"/>
  <c r="F7712" i="12" s="1"/>
  <c r="F7713" i="12" s="1"/>
  <c r="F7714" i="12" s="1"/>
  <c r="F7715" i="12" s="1"/>
  <c r="F7716" i="12" s="1"/>
  <c r="F7717" i="12" s="1"/>
  <c r="F7718" i="12" s="1"/>
  <c r="F7719" i="12" s="1"/>
  <c r="F7720" i="12" s="1"/>
  <c r="F7721" i="12" s="1"/>
  <c r="F7722" i="12" s="1"/>
  <c r="F7723" i="12" s="1"/>
  <c r="F7724" i="12" s="1"/>
  <c r="F7725" i="12" s="1"/>
  <c r="F7726" i="12" s="1"/>
  <c r="F7727" i="12" s="1"/>
  <c r="F7728" i="12" s="1"/>
  <c r="F7729" i="12" s="1"/>
  <c r="F7730" i="12" s="1"/>
  <c r="F7731" i="12" s="1"/>
  <c r="F7732" i="12" s="1"/>
  <c r="F7733" i="12" s="1"/>
  <c r="F7734" i="12" s="1"/>
  <c r="F7735" i="12" s="1"/>
  <c r="F7736" i="12" s="1"/>
  <c r="F7737" i="12" s="1"/>
  <c r="F7738" i="12" s="1"/>
  <c r="F7739" i="12" s="1"/>
  <c r="F7740" i="12" s="1"/>
  <c r="F7741" i="12" s="1"/>
  <c r="F7742" i="12" s="1"/>
  <c r="F7743" i="12" s="1"/>
  <c r="F7744" i="12" s="1"/>
  <c r="F7745" i="12" s="1"/>
  <c r="F7746" i="12" s="1"/>
  <c r="F7747" i="12" s="1"/>
  <c r="F7748" i="12" s="1"/>
  <c r="F7749" i="12" s="1"/>
  <c r="F7750" i="12" s="1"/>
  <c r="F7751" i="12" s="1"/>
  <c r="F7752" i="12" s="1"/>
  <c r="F7753" i="12" s="1"/>
  <c r="F7754" i="12" s="1"/>
  <c r="F7755" i="12" s="1"/>
  <c r="F7756" i="12" s="1"/>
  <c r="F7757" i="12" s="1"/>
  <c r="F7758" i="12" s="1"/>
  <c r="F7759" i="12" s="1"/>
  <c r="F7760" i="12" s="1"/>
  <c r="F7761" i="12" s="1"/>
  <c r="F7762" i="12" s="1"/>
  <c r="F7763" i="12" s="1"/>
  <c r="F7764" i="12" s="1"/>
  <c r="F7765" i="12" s="1"/>
  <c r="F7766" i="12" s="1"/>
  <c r="F7767" i="12" s="1"/>
  <c r="F7768" i="12" s="1"/>
  <c r="F7769" i="12" s="1"/>
  <c r="F7770" i="12" s="1"/>
  <c r="F7771" i="12" s="1"/>
  <c r="F7772" i="12" s="1"/>
  <c r="F7773" i="12" s="1"/>
  <c r="F7774" i="12" s="1"/>
  <c r="F7775" i="12" s="1"/>
  <c r="F7776" i="12" s="1"/>
  <c r="F7777" i="12" s="1"/>
  <c r="F7778" i="12" s="1"/>
  <c r="F7779" i="12" s="1"/>
  <c r="F7780" i="12" s="1"/>
  <c r="F7781" i="12" s="1"/>
  <c r="F7782" i="12" s="1"/>
  <c r="F7783" i="12" s="1"/>
  <c r="F7784" i="12" s="1"/>
  <c r="F7785" i="12" s="1"/>
  <c r="F7786" i="12" s="1"/>
  <c r="F7787" i="12" s="1"/>
  <c r="F7788" i="12" s="1"/>
  <c r="F7789" i="12" s="1"/>
  <c r="F7790" i="12" s="1"/>
  <c r="F7791" i="12" s="1"/>
  <c r="F7792" i="12" s="1"/>
  <c r="F7793" i="12" s="1"/>
  <c r="F7794" i="12" s="1"/>
  <c r="F7795" i="12" s="1"/>
  <c r="F7796" i="12" s="1"/>
  <c r="F7797" i="12" s="1"/>
  <c r="F7798" i="12" s="1"/>
  <c r="F7799" i="12" s="1"/>
  <c r="D7151" i="12"/>
  <c r="F7800" i="12" l="1"/>
  <c r="F7801" i="12" s="1"/>
  <c r="F7802" i="12" s="1"/>
  <c r="F7803" i="12" s="1"/>
  <c r="F7804" i="12" s="1"/>
  <c r="F7805" i="12" s="1"/>
  <c r="F7806" i="12" s="1"/>
  <c r="F7807" i="12" s="1"/>
  <c r="F7808" i="12" s="1"/>
  <c r="F7809" i="12" s="1"/>
  <c r="F7810" i="12" s="1"/>
  <c r="F7811" i="12" s="1"/>
  <c r="F7812" i="12" s="1"/>
  <c r="F7813" i="12" s="1"/>
  <c r="F7814" i="12" s="1"/>
  <c r="F7815" i="12" s="1"/>
  <c r="F7816" i="12" s="1"/>
  <c r="F7817" i="12" s="1"/>
  <c r="F7818" i="12" s="1"/>
  <c r="F7819" i="12" s="1"/>
  <c r="F7820" i="12" s="1"/>
  <c r="F7821" i="12" s="1"/>
  <c r="F7822" i="12" s="1"/>
  <c r="F7823" i="12" s="1"/>
  <c r="F7824" i="12" s="1"/>
  <c r="F7825" i="12" s="1"/>
  <c r="F7826" i="12" s="1"/>
  <c r="F7827" i="12" s="1"/>
  <c r="F7828" i="12" s="1"/>
  <c r="F7829" i="12" s="1"/>
  <c r="F7830" i="12" s="1"/>
  <c r="F7831" i="12" s="1"/>
  <c r="F7832" i="12" s="1"/>
  <c r="F7833" i="12" s="1"/>
  <c r="F7834" i="12" s="1"/>
  <c r="F7835" i="12" s="1"/>
  <c r="F7836" i="12" s="1"/>
  <c r="F7837" i="12" s="1"/>
  <c r="F7838" i="12" s="1"/>
  <c r="F7839" i="12" s="1"/>
  <c r="F7840" i="12" s="1"/>
  <c r="F7841" i="12" s="1"/>
  <c r="F7842" i="12" s="1"/>
  <c r="F7843" i="12" s="1"/>
  <c r="F7844" i="12" s="1"/>
  <c r="F7845" i="12" s="1"/>
  <c r="F7846" i="12" s="1"/>
  <c r="F7847" i="12" s="1"/>
  <c r="F7848" i="12" s="1"/>
  <c r="F7849" i="12" s="1"/>
  <c r="F7850" i="12" s="1"/>
  <c r="F7851" i="12" s="1"/>
  <c r="F7852" i="12" s="1"/>
  <c r="F7853" i="12" s="1"/>
  <c r="F7854" i="12" s="1"/>
  <c r="F7855" i="12" s="1"/>
  <c r="F7856" i="12" s="1"/>
  <c r="F7857" i="12" s="1"/>
  <c r="F7858" i="12" s="1"/>
  <c r="F7859" i="12" s="1"/>
  <c r="F7860" i="12" s="1"/>
  <c r="F7861" i="12" s="1"/>
  <c r="F7862" i="12" s="1"/>
  <c r="F7863" i="12" s="1"/>
  <c r="F7864" i="12" s="1"/>
  <c r="F7865" i="12" s="1"/>
  <c r="F7866" i="12" s="1"/>
  <c r="F7867" i="12" s="1"/>
  <c r="F7868" i="12" s="1"/>
  <c r="F7869" i="12" s="1"/>
  <c r="F7870" i="12" s="1"/>
  <c r="F7871" i="12" s="1"/>
  <c r="F7872" i="12" s="1"/>
  <c r="F7873" i="12" s="1"/>
  <c r="F7874" i="12" s="1"/>
  <c r="F7875" i="12" s="1"/>
  <c r="F7876" i="12" l="1"/>
  <c r="F7877" i="12" s="1"/>
  <c r="F7878" i="12" s="1"/>
  <c r="F7879" i="12" s="1"/>
  <c r="F7880" i="12" s="1"/>
  <c r="F7881" i="12" s="1"/>
  <c r="F7882" i="12" s="1"/>
  <c r="F7883" i="12" s="1"/>
  <c r="F7884" i="12" s="1"/>
  <c r="F7885" i="12" s="1"/>
  <c r="F7886" i="12" s="1"/>
  <c r="F7887" i="12" s="1"/>
  <c r="F7888" i="12" s="1"/>
  <c r="F7889" i="12" s="1"/>
  <c r="F7890" i="12" s="1"/>
  <c r="F7891" i="12" s="1"/>
  <c r="F7892" i="12" s="1"/>
  <c r="F7893" i="12" s="1"/>
  <c r="F7894" i="12" s="1"/>
  <c r="F7895" i="12" s="1"/>
  <c r="F7896" i="12" s="1"/>
  <c r="F7897" i="12" s="1"/>
  <c r="F7898" i="12" s="1"/>
  <c r="F7899" i="12" s="1"/>
  <c r="F7900" i="12" s="1"/>
  <c r="F7901" i="12" s="1"/>
  <c r="F7902" i="12" s="1"/>
  <c r="F7903" i="12" s="1"/>
  <c r="F7904" i="12" s="1"/>
  <c r="F7905" i="12" s="1"/>
  <c r="F7906" i="12" s="1"/>
  <c r="F7907" i="12" s="1"/>
  <c r="D7134" i="12"/>
  <c r="D7128" i="12" l="1"/>
  <c r="F7908" i="12" l="1"/>
  <c r="F7909" i="12" s="1"/>
  <c r="F7910" i="12" s="1"/>
  <c r="F7911" i="12" s="1"/>
  <c r="F7912" i="12" s="1"/>
  <c r="F7913" i="12" s="1"/>
  <c r="F7914" i="12" s="1"/>
  <c r="F7915" i="12" s="1"/>
  <c r="F7916" i="12" s="1"/>
  <c r="F7917" i="12" s="1"/>
  <c r="F7918" i="12" s="1"/>
  <c r="F7919" i="12" s="1"/>
  <c r="F7920" i="12" s="1"/>
  <c r="F7921" i="12" s="1"/>
  <c r="F7922" i="12" s="1"/>
  <c r="F7923" i="12" s="1"/>
  <c r="F7924" i="12" s="1"/>
  <c r="F7925" i="12" s="1"/>
  <c r="F7926" i="12" s="1"/>
  <c r="F7927" i="12" s="1"/>
  <c r="F7928" i="12" s="1"/>
  <c r="F7929" i="12" s="1"/>
  <c r="F7930" i="12" s="1"/>
  <c r="F7931" i="12" s="1"/>
  <c r="F7932" i="12" s="1"/>
  <c r="F7933" i="12" s="1"/>
  <c r="F7934" i="12" s="1"/>
  <c r="F7935" i="12" s="1"/>
  <c r="F7936" i="12" s="1"/>
  <c r="F7937" i="12" s="1"/>
  <c r="F7938" i="12" s="1"/>
  <c r="F7939" i="12" s="1"/>
  <c r="F7940" i="12" s="1"/>
  <c r="F7941" i="12" s="1"/>
  <c r="F7942" i="12" s="1"/>
  <c r="F7943" i="12" s="1"/>
  <c r="F7944" i="12" s="1"/>
  <c r="F7945" i="12" s="1"/>
  <c r="F7946" i="12" s="1"/>
  <c r="F7947" i="12" s="1"/>
  <c r="F7948" i="12" s="1"/>
  <c r="F7949" i="12" s="1"/>
  <c r="F7950" i="12" s="1"/>
  <c r="F7951" i="12" s="1"/>
  <c r="F7952" i="12" s="1"/>
  <c r="F7953" i="12" s="1"/>
  <c r="F7954" i="12" s="1"/>
  <c r="F7955" i="12" s="1"/>
  <c r="F7956" i="12" s="1"/>
  <c r="F7957" i="12" s="1"/>
  <c r="F7958" i="12" s="1"/>
  <c r="F7959" i="12" s="1"/>
  <c r="F7960" i="12" s="1"/>
  <c r="F7961" i="12" s="1"/>
  <c r="F7962" i="12" s="1"/>
  <c r="F7963" i="12" s="1"/>
  <c r="F7964" i="12" s="1"/>
  <c r="F7965" i="12" s="1"/>
  <c r="F7966" i="12" s="1"/>
  <c r="F7967" i="12" s="1"/>
  <c r="F7968" i="12" s="1"/>
  <c r="F7969" i="12" s="1"/>
  <c r="F7970" i="12" s="1"/>
  <c r="F7971" i="12" s="1"/>
  <c r="F7972" i="12" s="1"/>
  <c r="F7973" i="12" s="1"/>
  <c r="F7974" i="12" s="1"/>
  <c r="F7975" i="12" s="1"/>
  <c r="F7976" i="12" s="1"/>
  <c r="F7977" i="12" s="1"/>
  <c r="F7978" i="12" s="1"/>
  <c r="F7979" i="12" s="1"/>
  <c r="F7980" i="12" s="1"/>
  <c r="F7981" i="12" s="1"/>
  <c r="F7982" i="12" s="1"/>
  <c r="F7983" i="12" s="1"/>
  <c r="F7984" i="12" s="1"/>
  <c r="F7985" i="12" s="1"/>
  <c r="F7986" i="12" s="1"/>
  <c r="F7987" i="12" s="1"/>
  <c r="F7988" i="12" s="1"/>
  <c r="F7989" i="12" s="1"/>
  <c r="F7990" i="12" s="1"/>
  <c r="F7991" i="12" s="1"/>
  <c r="F7992" i="12" s="1"/>
  <c r="F7993" i="12" s="1"/>
  <c r="F7994" i="12" s="1"/>
  <c r="F7995" i="12" s="1"/>
  <c r="F7996" i="12" s="1"/>
  <c r="F7997" i="12" s="1"/>
  <c r="F7998" i="12" s="1"/>
  <c r="F7999" i="12" s="1"/>
  <c r="F8000" i="12" s="1"/>
  <c r="F8001" i="12" s="1"/>
  <c r="F8002" i="12" s="1"/>
  <c r="F8003" i="12" s="1"/>
  <c r="F8004" i="12" s="1"/>
  <c r="F8005" i="12" s="1"/>
  <c r="F8006" i="12" s="1"/>
  <c r="F8007" i="12" s="1"/>
  <c r="F8008" i="12" s="1"/>
  <c r="F8009" i="12" s="1"/>
  <c r="F8010" i="12" s="1"/>
  <c r="F8011" i="12" s="1"/>
  <c r="F8012" i="12" s="1"/>
  <c r="F8013" i="12" s="1"/>
  <c r="F8014" i="12" s="1"/>
  <c r="F8015" i="12" s="1"/>
  <c r="F8016" i="12" l="1"/>
  <c r="F8017" i="12" s="1"/>
  <c r="F8018" i="12" s="1"/>
  <c r="F8019" i="12" s="1"/>
  <c r="F8020" i="12" s="1"/>
  <c r="F8021" i="12" s="1"/>
  <c r="F8022" i="12" s="1"/>
  <c r="F8023" i="12" s="1"/>
  <c r="F8024" i="12" s="1"/>
  <c r="F8025" i="12" s="1"/>
  <c r="F8026" i="12" s="1"/>
  <c r="F8027" i="12" s="1"/>
  <c r="F8028" i="12" s="1"/>
  <c r="F8029" i="12" s="1"/>
  <c r="F8030" i="12" s="1"/>
  <c r="F8031" i="12" s="1"/>
  <c r="F8032" i="12" s="1"/>
  <c r="F8033" i="12" s="1"/>
  <c r="F8034" i="12" s="1"/>
  <c r="F8035" i="12" s="1"/>
  <c r="F8036" i="12" s="1"/>
  <c r="F8037" i="12" s="1"/>
  <c r="F8038" i="12" s="1"/>
  <c r="F8039" i="12" s="1"/>
  <c r="F8040" i="12" s="1"/>
  <c r="F8041" i="12" s="1"/>
  <c r="F8042" i="12" s="1"/>
  <c r="F8043" i="12" s="1"/>
  <c r="F8044" i="12" s="1"/>
  <c r="F8045" i="12" s="1"/>
  <c r="F8046" i="12" s="1"/>
  <c r="F8047" i="12" s="1"/>
  <c r="F8048" i="12" s="1"/>
  <c r="F8049" i="12" s="1"/>
  <c r="F8050" i="12" s="1"/>
  <c r="F8051" i="12" s="1"/>
  <c r="F8052" i="12" s="1"/>
  <c r="F8053" i="12" s="1"/>
  <c r="F8054" i="12" s="1"/>
  <c r="F8055" i="12" s="1"/>
  <c r="F8056" i="12" s="1"/>
  <c r="F8057" i="12" s="1"/>
  <c r="F8058" i="12" s="1"/>
  <c r="F8059" i="12" s="1"/>
  <c r="F8060" i="12" s="1"/>
  <c r="F8061" i="12" s="1"/>
  <c r="F8062" i="12" s="1"/>
  <c r="F8063" i="12" s="1"/>
  <c r="F8064" i="12" s="1"/>
  <c r="F8065" i="12" s="1"/>
  <c r="F8066" i="12" s="1"/>
  <c r="F8067" i="12" s="1"/>
  <c r="F8068" i="12" s="1"/>
  <c r="F8069" i="12" s="1"/>
  <c r="F8070" i="12" s="1"/>
  <c r="F8071" i="12" s="1"/>
  <c r="F8072" i="12" s="1"/>
  <c r="F8073" i="12" s="1"/>
  <c r="F8074" i="12" s="1"/>
  <c r="F8075" i="12" s="1"/>
  <c r="F8076" i="12" s="1"/>
  <c r="F8077" i="12" s="1"/>
  <c r="F8078" i="12" s="1"/>
  <c r="F8079" i="12" s="1"/>
  <c r="F8080" i="12" s="1"/>
  <c r="F8081" i="12" s="1"/>
  <c r="F8082" i="12" s="1"/>
  <c r="F8083" i="12" s="1"/>
  <c r="F8084" i="12" s="1"/>
  <c r="F8085" i="12" s="1"/>
  <c r="F8086" i="12" s="1"/>
  <c r="F8087" i="12" s="1"/>
  <c r="F8088" i="12" s="1"/>
  <c r="F8089" i="12" s="1"/>
  <c r="F8090" i="12" s="1"/>
  <c r="F8091" i="12" s="1"/>
  <c r="F8092" i="12" s="1"/>
  <c r="F8093" i="12" s="1"/>
  <c r="F8094" i="12" s="1"/>
  <c r="F8095" i="12" s="1"/>
  <c r="F8096" i="12" s="1"/>
  <c r="F8097" i="12" l="1"/>
  <c r="F8098" i="12" s="1"/>
  <c r="F8099" i="12" s="1"/>
  <c r="F8100" i="12" s="1"/>
  <c r="F8101" i="12" s="1"/>
  <c r="F8102" i="12" s="1"/>
  <c r="F8103" i="12" s="1"/>
  <c r="F8104" i="12" s="1"/>
  <c r="F8105" i="12" s="1"/>
  <c r="F8106" i="12" s="1"/>
  <c r="F8107" i="12" s="1"/>
  <c r="F8108" i="12" s="1"/>
  <c r="D445" i="22"/>
  <c r="F8109" i="12" l="1"/>
  <c r="F8110" i="12" s="1"/>
  <c r="F8111" i="12" s="1"/>
  <c r="F8112" i="12" s="1"/>
  <c r="F8113" i="12" s="1"/>
  <c r="F8114" i="12" s="1"/>
  <c r="F8115" i="12" s="1"/>
  <c r="F8116" i="12" s="1"/>
  <c r="F8117" i="12" s="1"/>
  <c r="F8118" i="12" s="1"/>
  <c r="F8119" i="12" s="1"/>
  <c r="F8120" i="12" s="1"/>
  <c r="F8121" i="12" s="1"/>
  <c r="F8122" i="12" s="1"/>
  <c r="F8123" i="12" s="1"/>
  <c r="F8124" i="12" s="1"/>
  <c r="F8125" i="12" s="1"/>
  <c r="F8126" i="12" s="1"/>
  <c r="F8127" i="12" s="1"/>
  <c r="F8128" i="12" s="1"/>
  <c r="F8129" i="12" s="1"/>
  <c r="F8130" i="12" s="1"/>
  <c r="F8131" i="12" s="1"/>
  <c r="F8132" i="12" s="1"/>
  <c r="F8133" i="12" s="1"/>
  <c r="F8134" i="12" s="1"/>
  <c r="D7105" i="12"/>
  <c r="F8135" i="12" l="1"/>
  <c r="F8136" i="12" s="1"/>
  <c r="F8137" i="12" s="1"/>
  <c r="F8138" i="12" s="1"/>
  <c r="F8139" i="12" s="1"/>
  <c r="F8140" i="12" s="1"/>
  <c r="F8141" i="12" s="1"/>
  <c r="F8142" i="12" s="1"/>
  <c r="F8143" i="12" s="1"/>
  <c r="F8144" i="12" s="1"/>
  <c r="F8145" i="12" s="1"/>
  <c r="F8146" i="12" s="1"/>
  <c r="F8147" i="12" s="1"/>
  <c r="F8148" i="12" s="1"/>
  <c r="F8149" i="12" s="1"/>
  <c r="F8150" i="12" s="1"/>
  <c r="F8151" i="12" s="1"/>
  <c r="F8152" i="12" s="1"/>
  <c r="F8153" i="12" s="1"/>
  <c r="F8154" i="12" s="1"/>
  <c r="F8155" i="12" s="1"/>
  <c r="F8156" i="12" s="1"/>
  <c r="F8157" i="12" s="1"/>
  <c r="F8158" i="12" s="1"/>
  <c r="F8159" i="12" s="1"/>
  <c r="F8160" i="12" s="1"/>
  <c r="F8161" i="12" s="1"/>
  <c r="F8162" i="12" s="1"/>
  <c r="F8163" i="12" s="1"/>
  <c r="F8164" i="12" s="1"/>
  <c r="F8165" i="12" s="1"/>
  <c r="F8166" i="12" s="1"/>
  <c r="F8167" i="12" s="1"/>
  <c r="F8168" i="12" s="1"/>
  <c r="F8169" i="12" s="1"/>
  <c r="F8170" i="12" s="1"/>
  <c r="F8171" i="12" s="1"/>
  <c r="F8172" i="12" s="1"/>
  <c r="F8173" i="12" s="1"/>
  <c r="F8174" i="12" s="1"/>
  <c r="F8175" i="12" s="1"/>
  <c r="F8176" i="12" s="1"/>
  <c r="F8177" i="12" s="1"/>
  <c r="F8178" i="12" s="1"/>
  <c r="F8179" i="12" s="1"/>
  <c r="F8180" i="12" s="1"/>
  <c r="F8181" i="12" s="1"/>
  <c r="F8182" i="12" s="1"/>
  <c r="F8183" i="12" s="1"/>
  <c r="F8184" i="12" s="1"/>
  <c r="F8185" i="12" s="1"/>
  <c r="F8186" i="12" s="1"/>
  <c r="F8187" i="12" s="1"/>
  <c r="F8188" i="12" s="1"/>
  <c r="F8189" i="12" s="1"/>
  <c r="F8190" i="12" s="1"/>
  <c r="F8191" i="12" s="1"/>
  <c r="F8192" i="12" s="1"/>
  <c r="F8193" i="12" s="1"/>
  <c r="F8194" i="12" s="1"/>
  <c r="F8195" i="12" s="1"/>
  <c r="F8196" i="12" s="1"/>
  <c r="F8197" i="12" s="1"/>
  <c r="F8198" i="12" s="1"/>
  <c r="F8199" i="12" s="1"/>
  <c r="F8200" i="12" s="1"/>
  <c r="F8201" i="12" s="1"/>
  <c r="F8202" i="12" s="1"/>
  <c r="F8203" i="12" s="1"/>
  <c r="F8204" i="12" s="1"/>
  <c r="F8205" i="12" s="1"/>
  <c r="F8206" i="12" s="1"/>
  <c r="F8207" i="12" s="1"/>
  <c r="F8208" i="12" s="1"/>
  <c r="F8209" i="12" s="1"/>
  <c r="F8210" i="12" s="1"/>
  <c r="F8211" i="12" s="1"/>
  <c r="F8212" i="12" s="1"/>
  <c r="F8213" i="12" s="1"/>
  <c r="F8214" i="12" s="1"/>
  <c r="F8215" i="12" s="1"/>
  <c r="F8216" i="12" s="1"/>
  <c r="F8217" i="12" s="1"/>
  <c r="F8218" i="12" s="1"/>
  <c r="F8219" i="12" s="1"/>
  <c r="F8220" i="12" s="1"/>
  <c r="F8221" i="12" s="1"/>
  <c r="F8222" i="12" s="1"/>
  <c r="F8223" i="12" s="1"/>
  <c r="F8224" i="12" s="1"/>
  <c r="F8225" i="12" s="1"/>
  <c r="F8226" i="12" s="1"/>
  <c r="F8227" i="12" s="1"/>
  <c r="F8228" i="12" s="1"/>
  <c r="F8229" i="12" s="1"/>
  <c r="F8230" i="12" s="1"/>
  <c r="F8231" i="12" s="1"/>
  <c r="F8232" i="12" s="1"/>
  <c r="F8233" i="12" s="1"/>
  <c r="F8234" i="12" s="1"/>
  <c r="F8235" i="12" s="1"/>
  <c r="F8236" i="12" s="1"/>
  <c r="F8237" i="12" s="1"/>
  <c r="F8238" i="12" s="1"/>
  <c r="F8239" i="12" s="1"/>
  <c r="F8240" i="12" s="1"/>
  <c r="F8241" i="12" s="1"/>
  <c r="F8242" i="12" s="1"/>
  <c r="F8243" i="12" s="1"/>
  <c r="F8244" i="12" s="1"/>
  <c r="F8245" i="12" s="1"/>
  <c r="F8246" i="12" s="1"/>
  <c r="F8247" i="12" s="1"/>
  <c r="F8248" i="12" s="1"/>
  <c r="F8249" i="12" s="1"/>
  <c r="F8250" i="12" s="1"/>
  <c r="F8251" i="12" s="1"/>
  <c r="F8252" i="12" s="1"/>
  <c r="F8253" i="12" s="1"/>
  <c r="F8254" i="12" s="1"/>
  <c r="F8255" i="12" s="1"/>
  <c r="F8256" i="12" s="1"/>
  <c r="F8257" i="12" s="1"/>
  <c r="F8258" i="12" s="1"/>
  <c r="F8259" i="12" s="1"/>
  <c r="F8260" i="12" s="1"/>
  <c r="F8261" i="12" s="1"/>
  <c r="F8262" i="12" s="1"/>
  <c r="F8263" i="12" s="1"/>
  <c r="F8264" i="12" s="1"/>
  <c r="F8265" i="12" s="1"/>
  <c r="F8266" i="12" s="1"/>
  <c r="F8267" i="12" s="1"/>
  <c r="F8268" i="12" s="1"/>
  <c r="F8269" i="12" s="1"/>
  <c r="F8270" i="12" s="1"/>
  <c r="F8271" i="12" s="1"/>
  <c r="F8272" i="12" s="1"/>
  <c r="F8273" i="12" s="1"/>
  <c r="F8274" i="12" s="1"/>
  <c r="F8275" i="12" s="1"/>
  <c r="F8276" i="12" s="1"/>
  <c r="F8277" i="12" s="1"/>
  <c r="F8278" i="12" s="1"/>
  <c r="F8279" i="12" s="1"/>
  <c r="F8280" i="12" s="1"/>
  <c r="F8281" i="12" s="1"/>
  <c r="F8282" i="12" s="1"/>
  <c r="F8283" i="12" s="1"/>
  <c r="F8284" i="12" s="1"/>
  <c r="F8285" i="12" s="1"/>
  <c r="F8286" i="12" s="1"/>
  <c r="F8287" i="12" s="1"/>
  <c r="F8288" i="12" s="1"/>
  <c r="F8289" i="12" s="1"/>
  <c r="F8290" i="12" s="1"/>
  <c r="F8291" i="12" s="1"/>
  <c r="F8292" i="12" s="1"/>
  <c r="F8293" i="12" s="1"/>
  <c r="F8294" i="12" s="1"/>
  <c r="F8295" i="12" s="1"/>
  <c r="F8296" i="12" s="1"/>
  <c r="F8297" i="12" s="1"/>
  <c r="F8298" i="12" s="1"/>
  <c r="F8299" i="12" s="1"/>
  <c r="F8300" i="12" s="1"/>
  <c r="F8301" i="12" s="1"/>
  <c r="F8302" i="12" s="1"/>
  <c r="F8303" i="12" s="1"/>
  <c r="F8304" i="12" s="1"/>
  <c r="F8305" i="12" s="1"/>
  <c r="F8306" i="12" s="1"/>
  <c r="F8307" i="12" s="1"/>
  <c r="F8308" i="12" s="1"/>
  <c r="F8309" i="12" s="1"/>
  <c r="F8310" i="12" s="1"/>
  <c r="F8311" i="12" s="1"/>
  <c r="F8312" i="12" s="1"/>
  <c r="F8313" i="12" s="1"/>
  <c r="F8314" i="12" s="1"/>
  <c r="F8315" i="12" s="1"/>
  <c r="F8316" i="12" s="1"/>
  <c r="F8317" i="12" s="1"/>
  <c r="F8318" i="12" s="1"/>
  <c r="F8319" i="12" s="1"/>
  <c r="F8320" i="12" s="1"/>
  <c r="F8321" i="12" s="1"/>
  <c r="F8322" i="12" s="1"/>
  <c r="F8323" i="12" s="1"/>
  <c r="F8324" i="12" s="1"/>
  <c r="F8325" i="12" s="1"/>
  <c r="F8326" i="12" s="1"/>
  <c r="F8327" i="12" s="1"/>
  <c r="F8328" i="12" s="1"/>
  <c r="F8329" i="12" s="1"/>
  <c r="F8330" i="12" s="1"/>
  <c r="F8331" i="12" s="1"/>
  <c r="F8332" i="12" s="1"/>
  <c r="F8333" i="12" s="1"/>
  <c r="F8334" i="12" s="1"/>
  <c r="F8335" i="12" s="1"/>
  <c r="D7089" i="12"/>
  <c r="I4" i="41" s="1"/>
  <c r="K4" i="41" s="1"/>
  <c r="F8336" i="12" l="1"/>
  <c r="F8337" i="12" s="1"/>
  <c r="F8338" i="12" s="1"/>
  <c r="F8339" i="12" s="1"/>
  <c r="F8340" i="12" s="1"/>
  <c r="F8341" i="12" s="1"/>
  <c r="F8342" i="12" s="1"/>
  <c r="F8343" i="12" s="1"/>
  <c r="F8344" i="12" s="1"/>
  <c r="F8345" i="12" s="1"/>
  <c r="F8346" i="12" s="1"/>
  <c r="F8347" i="12" s="1"/>
  <c r="F8348" i="12" s="1"/>
  <c r="F8349" i="12" s="1"/>
  <c r="F8350" i="12" s="1"/>
  <c r="F8351" i="12" s="1"/>
  <c r="F8352" i="12" s="1"/>
  <c r="F8353" i="12" s="1"/>
  <c r="F8354" i="12" s="1"/>
  <c r="F8355" i="12" s="1"/>
  <c r="F8356" i="12" s="1"/>
  <c r="F8357" i="12" s="1"/>
  <c r="F8358" i="12" s="1"/>
  <c r="F8359" i="12" s="1"/>
  <c r="F8360" i="12" s="1"/>
  <c r="F8361" i="12" s="1"/>
  <c r="F8362" i="12" s="1"/>
  <c r="F8363" i="12" s="1"/>
  <c r="F8364" i="12" s="1"/>
  <c r="F8365" i="12" s="1"/>
  <c r="F8366" i="12" s="1"/>
  <c r="F8367" i="12" s="1"/>
  <c r="F8368" i="12" s="1"/>
  <c r="F8369" i="12" s="1"/>
  <c r="F8370" i="12" s="1"/>
  <c r="F8371" i="12" s="1"/>
  <c r="F8372" i="12" s="1"/>
  <c r="F8373" i="12" s="1"/>
  <c r="F8374" i="12" s="1"/>
  <c r="F8375" i="12" s="1"/>
  <c r="F8376" i="12" s="1"/>
  <c r="F8377" i="12" s="1"/>
  <c r="F8378" i="12" s="1"/>
  <c r="F8379" i="12" s="1"/>
  <c r="F8380" i="12" s="1"/>
  <c r="F8381" i="12" s="1"/>
  <c r="F8382" i="12" s="1"/>
  <c r="F8383" i="12" s="1"/>
  <c r="F8384" i="12" s="1"/>
  <c r="F8385" i="12" s="1"/>
  <c r="F8386" i="12" s="1"/>
  <c r="F8387" i="12" s="1"/>
  <c r="F8388" i="12" s="1"/>
  <c r="F8389" i="12" s="1"/>
  <c r="F8390" i="12" s="1"/>
  <c r="F8391" i="12" s="1"/>
  <c r="F8392" i="12" s="1"/>
  <c r="F8393" i="12" s="1"/>
  <c r="F8394" i="12" s="1"/>
  <c r="F8395" i="12" s="1"/>
  <c r="F8396" i="12" s="1"/>
  <c r="F8397" i="12" s="1"/>
  <c r="F8398" i="12" s="1"/>
  <c r="F8399" i="12" s="1"/>
  <c r="F8400" i="12" s="1"/>
  <c r="F8401" i="12" s="1"/>
  <c r="F8402" i="12" s="1"/>
  <c r="F8403" i="12" s="1"/>
  <c r="F8404" i="12" s="1"/>
  <c r="F8405" i="12" s="1"/>
  <c r="F8406" i="12" s="1"/>
  <c r="F8407" i="12" s="1"/>
  <c r="F8408" i="12" s="1"/>
  <c r="F8409" i="12" s="1"/>
  <c r="F8410" i="12" s="1"/>
  <c r="F8411" i="12" s="1"/>
  <c r="F8412" i="12" s="1"/>
  <c r="F8413" i="12" s="1"/>
  <c r="F8414" i="12" s="1"/>
  <c r="F8415" i="12" s="1"/>
  <c r="F8416" i="12" s="1"/>
  <c r="F8417" i="12" s="1"/>
  <c r="F8418" i="12" s="1"/>
  <c r="F8419" i="12" s="1"/>
  <c r="F8420" i="12" s="1"/>
  <c r="F8421" i="12" s="1"/>
  <c r="F8422" i="12" s="1"/>
  <c r="F8423" i="12" s="1"/>
  <c r="F8424" i="12" s="1"/>
  <c r="F8425" i="12" s="1"/>
  <c r="F8426" i="12" s="1"/>
  <c r="F8427" i="12" s="1"/>
  <c r="F8428" i="12" s="1"/>
  <c r="F8429" i="12" s="1"/>
  <c r="F8430" i="12" s="1"/>
  <c r="F8431" i="12" s="1"/>
  <c r="F8432" i="12" s="1"/>
  <c r="F8433" i="12" s="1"/>
  <c r="F8434" i="12" s="1"/>
  <c r="F8435" i="12" s="1"/>
  <c r="F8436" i="12" s="1"/>
  <c r="F8437" i="12" s="1"/>
  <c r="F8438" i="12" s="1"/>
  <c r="F8439" i="12" s="1"/>
  <c r="F8440" i="12" s="1"/>
  <c r="F8441" i="12" s="1"/>
  <c r="F8442" i="12" s="1"/>
  <c r="F8443" i="12" s="1"/>
  <c r="F8444" i="12" s="1"/>
  <c r="F8445" i="12" s="1"/>
  <c r="F8446" i="12" s="1"/>
  <c r="F8447" i="12" s="1"/>
  <c r="F8448" i="12" s="1"/>
  <c r="F8449" i="12" s="1"/>
  <c r="F8450" i="12" s="1"/>
  <c r="F8451" i="12" s="1"/>
  <c r="F8452" i="12" s="1"/>
  <c r="F8453" i="12" s="1"/>
  <c r="F8454" i="12" s="1"/>
  <c r="F8455" i="12" s="1"/>
  <c r="F8456" i="12" s="1"/>
  <c r="D7082" i="12" l="1"/>
  <c r="F8457" i="12" l="1"/>
  <c r="F8458" i="12" s="1"/>
  <c r="F8459" i="12" s="1"/>
  <c r="F8460" i="12" s="1"/>
  <c r="F8461" i="12" s="1"/>
  <c r="F8462" i="12" s="1"/>
  <c r="F8463" i="12" s="1"/>
  <c r="F8464" i="12" s="1"/>
  <c r="F8465" i="12" s="1"/>
  <c r="F8466" i="12" s="1"/>
  <c r="F8467" i="12" s="1"/>
  <c r="F8468" i="12" s="1"/>
  <c r="F8469" i="12" s="1"/>
  <c r="F8470" i="12" s="1"/>
  <c r="F8471" i="12" s="1"/>
  <c r="F8472" i="12" s="1"/>
  <c r="F8473" i="12" s="1"/>
  <c r="F8474" i="12" s="1"/>
  <c r="F8475" i="12" s="1"/>
  <c r="F8476" i="12" s="1"/>
  <c r="F8477" i="12" s="1"/>
  <c r="F8478" i="12" s="1"/>
  <c r="F8479" i="12" s="1"/>
  <c r="F8480" i="12" s="1"/>
  <c r="F8481" i="12" s="1"/>
  <c r="F8482" i="12" s="1"/>
  <c r="F8483" i="12" s="1"/>
  <c r="F8484" i="12" s="1"/>
  <c r="F8485" i="12" s="1"/>
  <c r="F8486" i="12" s="1"/>
  <c r="F8487" i="12" s="1"/>
  <c r="F8488" i="12" l="1"/>
  <c r="F8489" i="12" s="1"/>
  <c r="F8490" i="12" s="1"/>
  <c r="F8491" i="12" s="1"/>
  <c r="F8492" i="12" l="1"/>
  <c r="F8493" i="12" s="1"/>
  <c r="F8494" i="12" s="1"/>
  <c r="F8495" i="12" s="1"/>
  <c r="F8496" i="12" s="1"/>
  <c r="F8497" i="12" s="1"/>
  <c r="F8498" i="12" s="1"/>
  <c r="F8499" i="12" s="1"/>
  <c r="F8500" i="12" s="1"/>
  <c r="F8501" i="12" s="1"/>
  <c r="F8502" i="12" s="1"/>
  <c r="F8503" i="12" s="1"/>
  <c r="F8504" i="12" s="1"/>
  <c r="F8505" i="12" s="1"/>
  <c r="F8506" i="12" s="1"/>
  <c r="F8507" i="12" s="1"/>
  <c r="F8508" i="12" s="1"/>
  <c r="F8509" i="12" s="1"/>
  <c r="D7046" i="12"/>
  <c r="D6890" i="12" l="1"/>
  <c r="D7037" i="12" l="1"/>
  <c r="D7014" i="12" l="1"/>
  <c r="D6996" i="12" l="1"/>
  <c r="D6986" i="12" l="1"/>
  <c r="D6989" i="12" l="1"/>
  <c r="E6967" i="12" l="1"/>
  <c r="D6973" i="12" l="1"/>
  <c r="D6915" i="12" l="1"/>
  <c r="D6923" i="12" l="1"/>
  <c r="D6894" i="12" l="1"/>
  <c r="D6879" i="12" l="1"/>
  <c r="D6849" i="12" l="1"/>
  <c r="D6820" i="12" l="1"/>
  <c r="D6808" i="12" l="1"/>
  <c r="D6761" i="12" l="1"/>
  <c r="D6749" i="12" l="1"/>
  <c r="D6742" i="12" l="1"/>
  <c r="C137" i="19"/>
  <c r="C136" i="19"/>
  <c r="C135" i="19"/>
  <c r="D6726" i="12" l="1"/>
  <c r="D6694" i="12" l="1"/>
  <c r="D6657" i="12" l="1"/>
  <c r="D6623" i="12" l="1"/>
  <c r="I3" i="41" s="1"/>
  <c r="K3" i="41" s="1"/>
  <c r="D6646" i="12" l="1"/>
  <c r="C132" i="19" l="1"/>
  <c r="C131" i="19"/>
  <c r="D6612" i="12" l="1"/>
  <c r="D6607" i="12" l="1"/>
  <c r="D6576" i="12" l="1"/>
  <c r="D6567" i="12" l="1"/>
  <c r="D6536" i="12" l="1"/>
  <c r="D6532" i="12" l="1"/>
  <c r="D6491" i="12" l="1"/>
  <c r="D6492" i="12"/>
  <c r="D399" i="22" l="1"/>
  <c r="D398" i="22"/>
  <c r="D6454" i="12" l="1"/>
  <c r="D6441" i="12" l="1"/>
  <c r="D6417" i="12" l="1"/>
  <c r="D6392" i="12" l="1"/>
  <c r="D6265" i="12" l="1"/>
  <c r="D6235" i="12" l="1"/>
  <c r="D6208" i="12" l="1"/>
  <c r="D6205" i="12" l="1"/>
  <c r="E341" i="22"/>
  <c r="D6182" i="12" l="1"/>
  <c r="D6156" i="12" l="1"/>
  <c r="D6131" i="12" l="1"/>
  <c r="D6115" i="12" l="1"/>
  <c r="D6064" i="12" l="1"/>
  <c r="E39" i="19" l="1"/>
  <c r="E40" i="19" s="1"/>
  <c r="E41" i="19" s="1"/>
  <c r="E42" i="19" s="1"/>
  <c r="E43" i="19" s="1"/>
  <c r="E44" i="19" s="1"/>
  <c r="E45" i="19" s="1"/>
  <c r="E46" i="19" s="1"/>
  <c r="E47" i="19" s="1"/>
  <c r="E48" i="19" s="1"/>
  <c r="E49" i="19" s="1"/>
  <c r="E50" i="19" s="1"/>
  <c r="E51" i="19" s="1"/>
  <c r="E52" i="19" s="1"/>
  <c r="E53" i="19" s="1"/>
  <c r="E54" i="19" s="1"/>
  <c r="E55" i="19" s="1"/>
  <c r="E56" i="19" s="1"/>
  <c r="E57" i="19" s="1"/>
  <c r="E58" i="19" s="1"/>
  <c r="E59" i="19" s="1"/>
  <c r="E60" i="19" s="1"/>
  <c r="E61" i="19" s="1"/>
  <c r="E62" i="19" s="1"/>
  <c r="E63" i="19" s="1"/>
  <c r="E64" i="19" s="1"/>
  <c r="E65" i="19" s="1"/>
  <c r="E66" i="19" s="1"/>
  <c r="E67" i="19" s="1"/>
  <c r="E68" i="19" s="1"/>
  <c r="E69" i="19" s="1"/>
  <c r="E70" i="19" s="1"/>
  <c r="E71" i="19" s="1"/>
  <c r="E72" i="19" s="1"/>
  <c r="E73" i="19" s="1"/>
  <c r="E74" i="19" s="1"/>
  <c r="E75" i="19" s="1"/>
  <c r="E76" i="19" s="1"/>
  <c r="E77" i="19" s="1"/>
  <c r="E78" i="19" s="1"/>
  <c r="E79" i="19" s="1"/>
  <c r="E80" i="19" s="1"/>
  <c r="E81" i="19" s="1"/>
  <c r="E82" i="19" s="1"/>
  <c r="E83" i="19" s="1"/>
  <c r="E84" i="19" s="1"/>
  <c r="E85" i="19" s="1"/>
  <c r="E86" i="19" s="1"/>
  <c r="E87" i="19" s="1"/>
  <c r="E88" i="19" s="1"/>
  <c r="E89" i="19" s="1"/>
  <c r="E90" i="19" s="1"/>
  <c r="E91" i="19" s="1"/>
  <c r="E92" i="19" s="1"/>
  <c r="E93" i="19" s="1"/>
  <c r="E94" i="19" s="1"/>
  <c r="E95" i="19" s="1"/>
  <c r="E96" i="19" s="1"/>
  <c r="E97" i="19" s="1"/>
  <c r="E98" i="19" s="1"/>
  <c r="E99" i="19" s="1"/>
  <c r="E100" i="19" s="1"/>
  <c r="E101" i="19" s="1"/>
  <c r="E102" i="19" s="1"/>
  <c r="E103" i="19" s="1"/>
  <c r="E104" i="19" s="1"/>
  <c r="E105" i="19" s="1"/>
  <c r="E106" i="19" s="1"/>
  <c r="E107" i="19" s="1"/>
  <c r="E108" i="19" s="1"/>
  <c r="E109" i="19" s="1"/>
  <c r="E110" i="19" s="1"/>
  <c r="E111" i="19" s="1"/>
  <c r="E112" i="19" s="1"/>
  <c r="E113" i="19" s="1"/>
  <c r="E114" i="19" s="1"/>
  <c r="E115" i="19" s="1"/>
  <c r="E116" i="19" s="1"/>
  <c r="E117" i="19" s="1"/>
  <c r="E118" i="19" s="1"/>
  <c r="E119" i="19" s="1"/>
  <c r="E120" i="19" s="1"/>
  <c r="E121" i="19" s="1"/>
  <c r="E122" i="19" s="1"/>
  <c r="E123" i="19" s="1"/>
  <c r="E124" i="19" s="1"/>
  <c r="E125" i="19" s="1"/>
  <c r="E126" i="19" s="1"/>
  <c r="E127" i="19" s="1"/>
  <c r="E128" i="19" s="1"/>
  <c r="E129" i="19" s="1"/>
  <c r="E130" i="19" s="1"/>
  <c r="E131" i="19" s="1"/>
  <c r="E132" i="19" s="1"/>
  <c r="E133" i="19" s="1"/>
  <c r="E134" i="19" s="1"/>
  <c r="E135" i="19" s="1"/>
  <c r="E136" i="19" s="1"/>
  <c r="E137" i="19" s="1"/>
  <c r="E138" i="19" s="1"/>
  <c r="E139" i="19" s="1"/>
  <c r="E140" i="19" s="1"/>
  <c r="E141" i="19" s="1"/>
  <c r="E142" i="19" s="1"/>
  <c r="E143" i="19" s="1"/>
  <c r="E144" i="19" s="1"/>
  <c r="E145" i="19" s="1"/>
  <c r="E146" i="19" s="1"/>
  <c r="E147" i="19" s="1"/>
  <c r="E148" i="19" s="1"/>
  <c r="E149" i="19" s="1"/>
  <c r="E150" i="19" s="1"/>
  <c r="E151" i="19" s="1"/>
  <c r="E152" i="19" s="1"/>
  <c r="E153" i="19" s="1"/>
  <c r="E154" i="19" s="1"/>
  <c r="E155" i="19" s="1"/>
  <c r="E156" i="19" s="1"/>
  <c r="E157" i="19" s="1"/>
  <c r="E158" i="19" s="1"/>
  <c r="E159" i="19" s="1"/>
  <c r="E160" i="19" s="1"/>
  <c r="E161" i="19" s="1"/>
  <c r="E162" i="19" s="1"/>
  <c r="E163" i="19" s="1"/>
  <c r="E164" i="19" s="1"/>
  <c r="E165" i="19" s="1"/>
  <c r="E166" i="19" s="1"/>
  <c r="E167" i="19" s="1"/>
  <c r="E168" i="19" s="1"/>
  <c r="E169" i="19" s="1"/>
  <c r="E170" i="19" s="1"/>
  <c r="E171" i="19" s="1"/>
  <c r="E172" i="19" s="1"/>
  <c r="E173" i="19" s="1"/>
  <c r="E174" i="19" s="1"/>
  <c r="E175" i="19" s="1"/>
  <c r="E176" i="19" s="1"/>
  <c r="E177" i="19" l="1"/>
  <c r="E178" i="19" s="1"/>
  <c r="E179" i="19" s="1"/>
  <c r="E180" i="19" l="1"/>
  <c r="E181" i="19" s="1"/>
  <c r="E182" i="19" s="1"/>
  <c r="E183" i="19" s="1"/>
  <c r="E184" i="19" s="1"/>
  <c r="E185" i="19" s="1"/>
  <c r="E186" i="19" s="1"/>
  <c r="E187" i="19" s="1"/>
  <c r="D6013" i="12"/>
  <c r="E188" i="19" l="1"/>
  <c r="E189" i="19" s="1"/>
  <c r="E190" i="19" s="1"/>
  <c r="E191" i="19" s="1"/>
  <c r="E192" i="19" s="1"/>
  <c r="E193" i="19" s="1"/>
  <c r="E194" i="19" s="1"/>
  <c r="E195" i="19" s="1"/>
  <c r="E196" i="19" s="1"/>
  <c r="E197" i="19" s="1"/>
  <c r="E198" i="19" s="1"/>
  <c r="E199" i="19" s="1"/>
  <c r="E200" i="19" s="1"/>
  <c r="E201" i="19" s="1"/>
  <c r="E202" i="19" s="1"/>
  <c r="E203" i="19" s="1"/>
  <c r="E204" i="19" s="1"/>
  <c r="E205" i="19" s="1"/>
  <c r="E206" i="19" s="1"/>
  <c r="E207" i="19" s="1"/>
  <c r="E208" i="19" s="1"/>
  <c r="E209" i="19" s="1"/>
  <c r="E210" i="19" s="1"/>
  <c r="E211" i="19" s="1"/>
  <c r="E212" i="19" s="1"/>
  <c r="E213" i="19" s="1"/>
  <c r="E214" i="19" s="1"/>
  <c r="E215" i="19" s="1"/>
  <c r="E216" i="19" s="1"/>
  <c r="E217" i="19" s="1"/>
  <c r="E218" i="19" s="1"/>
  <c r="E219" i="19" s="1"/>
  <c r="E220" i="19" s="1"/>
  <c r="E221" i="19" s="1"/>
  <c r="E222" i="19" s="1"/>
  <c r="E223" i="19" s="1"/>
  <c r="E224" i="19" s="1"/>
  <c r="E225" i="19" s="1"/>
  <c r="E226" i="19" s="1"/>
  <c r="E227" i="19" s="1"/>
  <c r="E228" i="19" s="1"/>
  <c r="E229" i="19" s="1"/>
  <c r="E230" i="19" s="1"/>
  <c r="E231" i="19" s="1"/>
  <c r="E232" i="19" s="1"/>
  <c r="E233" i="19" s="1"/>
  <c r="E234" i="19" s="1"/>
  <c r="E235" i="19" s="1"/>
  <c r="E236" i="19" s="1"/>
  <c r="E237" i="19" s="1"/>
  <c r="E238" i="19" s="1"/>
  <c r="E239" i="19" s="1"/>
  <c r="E240" i="19" s="1"/>
  <c r="E241" i="19" s="1"/>
  <c r="E242" i="19" s="1"/>
  <c r="E243" i="19" s="1"/>
  <c r="E244" i="19" s="1"/>
  <c r="E245" i="19" s="1"/>
  <c r="E246" i="19" s="1"/>
  <c r="E247" i="19" s="1"/>
  <c r="E248" i="19" s="1"/>
  <c r="E249" i="19" s="1"/>
  <c r="E250" i="19" s="1"/>
  <c r="E251" i="19" s="1"/>
  <c r="E252" i="19" s="1"/>
  <c r="E253" i="19" s="1"/>
  <c r="E254" i="19" s="1"/>
  <c r="E255" i="19" s="1"/>
  <c r="E256" i="19" s="1"/>
  <c r="E257" i="19" s="1"/>
  <c r="E258" i="19" s="1"/>
  <c r="E259" i="19" s="1"/>
  <c r="E260" i="19" s="1"/>
  <c r="E261" i="19" s="1"/>
  <c r="E262" i="19" s="1"/>
  <c r="E263" i="19" s="1"/>
  <c r="E264" i="19" s="1"/>
  <c r="E265" i="19" s="1"/>
  <c r="E266" i="19" s="1"/>
  <c r="E267" i="19" s="1"/>
  <c r="E268" i="19" s="1"/>
  <c r="E269" i="19" s="1"/>
  <c r="E270" i="19" s="1"/>
  <c r="E271" i="19" s="1"/>
  <c r="E272" i="19" s="1"/>
  <c r="E273" i="19" s="1"/>
  <c r="E274" i="19" s="1"/>
  <c r="E275" i="19" s="1"/>
  <c r="E276" i="19" s="1"/>
  <c r="E277" i="19" s="1"/>
  <c r="E278" i="19" s="1"/>
  <c r="E279" i="19" s="1"/>
  <c r="E280" i="19" s="1"/>
  <c r="E281" i="19" s="1"/>
  <c r="E282" i="19" s="1"/>
  <c r="E283" i="19" s="1"/>
  <c r="E284" i="19" s="1"/>
  <c r="E285" i="19" s="1"/>
  <c r="E286" i="19" s="1"/>
  <c r="E287" i="19" s="1"/>
  <c r="E288" i="19" s="1"/>
  <c r="E289" i="19" s="1"/>
  <c r="E290" i="19" s="1"/>
  <c r="E291" i="19" s="1"/>
  <c r="E292" i="19" s="1"/>
  <c r="E293" i="19" s="1"/>
  <c r="E294" i="19" s="1"/>
  <c r="E295" i="19" s="1"/>
  <c r="E296" i="19" s="1"/>
  <c r="E297" i="19" s="1"/>
  <c r="E298" i="19" s="1"/>
  <c r="E299" i="19" s="1"/>
  <c r="E300" i="19" s="1"/>
  <c r="E301" i="19" s="1"/>
  <c r="E302" i="19" s="1"/>
  <c r="E303" i="19" s="1"/>
  <c r="E304" i="19" s="1"/>
  <c r="E305" i="19" s="1"/>
  <c r="E306" i="19" s="1"/>
  <c r="E307" i="19" s="1"/>
  <c r="E308" i="19" s="1"/>
  <c r="E309" i="19" s="1"/>
  <c r="E310" i="19" s="1"/>
  <c r="E311" i="19" s="1"/>
  <c r="E312" i="19" s="1"/>
  <c r="E313" i="19" s="1"/>
  <c r="E314" i="19" s="1"/>
  <c r="E315" i="19" s="1"/>
  <c r="E316" i="19" s="1"/>
  <c r="E317" i="19" s="1"/>
  <c r="E318" i="19" s="1"/>
  <c r="E319" i="19" s="1"/>
  <c r="E320" i="19" s="1"/>
  <c r="E321" i="19" s="1"/>
  <c r="E322" i="19" s="1"/>
  <c r="E323" i="19" s="1"/>
  <c r="E324" i="19" s="1"/>
  <c r="E325" i="19" s="1"/>
  <c r="E326" i="19" s="1"/>
  <c r="E327" i="19" s="1"/>
  <c r="E328" i="19" s="1"/>
  <c r="E329" i="19" s="1"/>
  <c r="E330" i="19" s="1"/>
  <c r="E331" i="19" s="1"/>
  <c r="E332" i="19" s="1"/>
  <c r="E333" i="19" s="1"/>
  <c r="E334" i="19" s="1"/>
  <c r="E335" i="19" s="1"/>
  <c r="E336" i="19" s="1"/>
  <c r="E337" i="19" s="1"/>
  <c r="E338" i="19" l="1"/>
  <c r="E339" i="19" s="1"/>
  <c r="E340" i="19" s="1"/>
  <c r="E341" i="19" s="1"/>
  <c r="E342" i="19" s="1"/>
  <c r="E343" i="19" s="1"/>
  <c r="E344" i="19" s="1"/>
  <c r="E345" i="19" s="1"/>
  <c r="E346" i="19" s="1"/>
  <c r="E347" i="19" s="1"/>
  <c r="E348" i="19" s="1"/>
  <c r="E349" i="19" s="1"/>
  <c r="E350" i="19" s="1"/>
  <c r="E351" i="19" s="1"/>
  <c r="E352" i="19" s="1"/>
  <c r="E353" i="19" s="1"/>
  <c r="E354" i="19" s="1"/>
  <c r="E355" i="19" s="1"/>
  <c r="E356" i="19" s="1"/>
  <c r="E357" i="19" s="1"/>
  <c r="E358" i="19" s="1"/>
  <c r="E359" i="19" s="1"/>
  <c r="E360" i="19" s="1"/>
  <c r="E361" i="19" s="1"/>
  <c r="E362" i="19" s="1"/>
  <c r="E363" i="19" s="1"/>
  <c r="E364" i="19" s="1"/>
  <c r="E365" i="19" s="1"/>
  <c r="E366" i="19" s="1"/>
  <c r="E367" i="19" s="1"/>
  <c r="E368" i="19" s="1"/>
  <c r="E369" i="19" s="1"/>
  <c r="E370" i="19" s="1"/>
  <c r="E371" i="19" s="1"/>
  <c r="E372" i="19" s="1"/>
  <c r="E373" i="19" s="1"/>
  <c r="E374" i="19" s="1"/>
  <c r="E375" i="19" s="1"/>
  <c r="E376" i="19" s="1"/>
  <c r="E377" i="19" s="1"/>
  <c r="E378" i="19" s="1"/>
  <c r="E379" i="19" s="1"/>
  <c r="E380" i="19" s="1"/>
  <c r="E381" i="19" s="1"/>
  <c r="E382" i="19" s="1"/>
  <c r="E383" i="19" s="1"/>
  <c r="E384" i="19" s="1"/>
  <c r="E385" i="19" s="1"/>
  <c r="E386" i="19" s="1"/>
  <c r="E387" i="19" s="1"/>
  <c r="E388" i="19" s="1"/>
  <c r="E389" i="19" s="1"/>
  <c r="E390" i="19" s="1"/>
  <c r="E391" i="19" s="1"/>
  <c r="E392" i="19" s="1"/>
  <c r="E393" i="19" s="1"/>
  <c r="E394" i="19" s="1"/>
  <c r="E395" i="19" s="1"/>
  <c r="E396" i="19" s="1"/>
  <c r="E397" i="19" s="1"/>
  <c r="E398" i="19" s="1"/>
  <c r="E399" i="19" s="1"/>
  <c r="E400" i="19" s="1"/>
  <c r="E401" i="19" s="1"/>
  <c r="E402" i="19" s="1"/>
  <c r="E403" i="19" s="1"/>
  <c r="E404" i="19" s="1"/>
  <c r="E405" i="19" s="1"/>
  <c r="E406" i="19" s="1"/>
  <c r="E407" i="19" s="1"/>
  <c r="E408" i="19" s="1"/>
  <c r="E409" i="19" s="1"/>
  <c r="E410" i="19" s="1"/>
  <c r="E411" i="19" s="1"/>
  <c r="E412" i="19" s="1"/>
  <c r="E413" i="19" s="1"/>
  <c r="E414" i="19" s="1"/>
  <c r="E415" i="19" s="1"/>
  <c r="E416" i="19" s="1"/>
  <c r="E417" i="19" s="1"/>
  <c r="E418" i="19" s="1"/>
  <c r="E419" i="19" s="1"/>
  <c r="E420" i="19" s="1"/>
  <c r="E421" i="19" s="1"/>
  <c r="E422" i="19" s="1"/>
  <c r="E423" i="19" s="1"/>
  <c r="E424" i="19" s="1"/>
  <c r="E425" i="19" s="1"/>
  <c r="E426" i="19" s="1"/>
  <c r="E427" i="19" s="1"/>
  <c r="E428" i="19" s="1"/>
  <c r="E429" i="19" s="1"/>
  <c r="E430" i="19" s="1"/>
  <c r="E431" i="19" s="1"/>
  <c r="E432" i="19" s="1"/>
  <c r="E433" i="19" s="1"/>
  <c r="E434" i="19" s="1"/>
  <c r="E435" i="19" s="1"/>
  <c r="D6000" i="12"/>
  <c r="E436" i="19" l="1"/>
  <c r="E437" i="19" s="1"/>
  <c r="E438" i="19" s="1"/>
  <c r="D5991" i="12"/>
  <c r="E439" i="19" l="1"/>
  <c r="E440" i="19" s="1"/>
  <c r="E441" i="19" s="1"/>
  <c r="E442" i="19" s="1"/>
  <c r="E443" i="19" s="1"/>
  <c r="E444" i="19" s="1"/>
  <c r="E445" i="19" s="1"/>
  <c r="E446" i="19" s="1"/>
  <c r="E447" i="19" s="1"/>
  <c r="E448" i="19" s="1"/>
  <c r="E449" i="19" s="1"/>
  <c r="E450" i="19" s="1"/>
  <c r="E451" i="19" s="1"/>
  <c r="E452" i="19" s="1"/>
  <c r="E453" i="19" s="1"/>
  <c r="E454" i="19" s="1"/>
  <c r="E455" i="19" s="1"/>
  <c r="E456" i="19" s="1"/>
  <c r="E457" i="19" s="1"/>
  <c r="E458" i="19" s="1"/>
  <c r="E459" i="19" s="1"/>
  <c r="E460" i="19" s="1"/>
  <c r="E461" i="19" s="1"/>
  <c r="E462" i="19" s="1"/>
  <c r="E463" i="19" s="1"/>
  <c r="E464" i="19" s="1"/>
  <c r="E465" i="19" s="1"/>
  <c r="E466" i="19" s="1"/>
  <c r="E467" i="19" s="1"/>
  <c r="E468" i="19" s="1"/>
  <c r="E469" i="19" s="1"/>
  <c r="E470" i="19" s="1"/>
  <c r="E471" i="19" s="1"/>
  <c r="E472" i="19" s="1"/>
  <c r="E473" i="19" s="1"/>
  <c r="E474" i="19" s="1"/>
  <c r="E475" i="19" s="1"/>
  <c r="E476" i="19" s="1"/>
  <c r="E477" i="19" s="1"/>
  <c r="E478" i="19" s="1"/>
  <c r="E479" i="19" s="1"/>
  <c r="E480" i="19" s="1"/>
  <c r="E481" i="19" s="1"/>
  <c r="E482" i="19" s="1"/>
  <c r="E483" i="19" s="1"/>
  <c r="E484" i="19" s="1"/>
  <c r="E485" i="19" s="1"/>
  <c r="E486" i="19" s="1"/>
  <c r="E487" i="19" l="1"/>
  <c r="E488" i="19" s="1"/>
  <c r="E489" i="19" s="1"/>
  <c r="E490" i="19" s="1"/>
  <c r="E491" i="19" s="1"/>
  <c r="E492" i="19" s="1"/>
  <c r="E493" i="19" s="1"/>
  <c r="E494" i="19" s="1"/>
  <c r="E495" i="19" s="1"/>
  <c r="E496" i="19" s="1"/>
  <c r="E497" i="19" s="1"/>
  <c r="E498" i="19" s="1"/>
  <c r="E499" i="19" s="1"/>
  <c r="E500" i="19" s="1"/>
  <c r="E501" i="19" s="1"/>
  <c r="E502" i="19" s="1"/>
  <c r="E503" i="19" s="1"/>
  <c r="E504" i="19" s="1"/>
  <c r="E505" i="19" s="1"/>
  <c r="E506" i="19" s="1"/>
  <c r="E507" i="19" s="1"/>
  <c r="E508" i="19" s="1"/>
  <c r="E509" i="19" s="1"/>
  <c r="E510" i="19" s="1"/>
  <c r="E511" i="19" s="1"/>
  <c r="E512" i="19" s="1"/>
  <c r="E513" i="19" s="1"/>
  <c r="E514" i="19" s="1"/>
  <c r="E515" i="19" s="1"/>
  <c r="E516" i="19" l="1"/>
  <c r="E517" i="19" s="1"/>
  <c r="E518" i="19" s="1"/>
  <c r="E519" i="19" s="1"/>
  <c r="E520" i="19" s="1"/>
  <c r="E521" i="19" s="1"/>
  <c r="E522" i="19" s="1"/>
  <c r="E523" i="19" s="1"/>
  <c r="E524" i="19" s="1"/>
  <c r="E525" i="19" s="1"/>
  <c r="E526" i="19" s="1"/>
  <c r="E527" i="19" s="1"/>
  <c r="E528" i="19" s="1"/>
  <c r="E529" i="19" s="1"/>
  <c r="E530" i="19" s="1"/>
  <c r="E531" i="19" s="1"/>
  <c r="E532" i="19" s="1"/>
  <c r="E533" i="19" s="1"/>
  <c r="E534" i="19" s="1"/>
  <c r="E535" i="19" s="1"/>
  <c r="E536" i="19" s="1"/>
  <c r="E537" i="19" s="1"/>
  <c r="E538" i="19" s="1"/>
  <c r="E539" i="19" s="1"/>
  <c r="E540" i="19" s="1"/>
  <c r="E541" i="19" s="1"/>
  <c r="E542" i="19" s="1"/>
  <c r="E543" i="19" s="1"/>
  <c r="E544" i="19" s="1"/>
  <c r="E545" i="19" s="1"/>
  <c r="E546" i="19" s="1"/>
  <c r="E547" i="19" s="1"/>
  <c r="E548" i="19" s="1"/>
  <c r="E549" i="19" s="1"/>
  <c r="E550" i="19" s="1"/>
  <c r="E551" i="19" s="1"/>
  <c r="E552" i="19" s="1"/>
  <c r="E553" i="19" s="1"/>
  <c r="E554" i="19" s="1"/>
  <c r="E555" i="19" s="1"/>
  <c r="E556" i="19" s="1"/>
  <c r="E557" i="19" s="1"/>
  <c r="E558" i="19" s="1"/>
  <c r="E559" i="19" s="1"/>
  <c r="E560" i="19" s="1"/>
  <c r="E561" i="19" s="1"/>
  <c r="D5930" i="12"/>
  <c r="E563" i="19" l="1"/>
  <c r="E564" i="19" s="1"/>
  <c r="E565" i="19" s="1"/>
  <c r="E566" i="19" s="1"/>
  <c r="E567" i="19" s="1"/>
  <c r="E568" i="19" s="1"/>
  <c r="E569" i="19" s="1"/>
  <c r="E572" i="19" s="1"/>
  <c r="E573" i="19" s="1"/>
  <c r="E574" i="19" s="1"/>
  <c r="E575" i="19" s="1"/>
  <c r="E576" i="19" s="1"/>
  <c r="E577" i="19" s="1"/>
  <c r="E578" i="19" s="1"/>
  <c r="E579" i="19" s="1"/>
  <c r="E580" i="19" s="1"/>
  <c r="E581" i="19" s="1"/>
  <c r="E582" i="19" s="1"/>
  <c r="E583" i="19" s="1"/>
  <c r="E584" i="19" s="1"/>
  <c r="E585" i="19" s="1"/>
  <c r="E586" i="19" s="1"/>
  <c r="E587" i="19" s="1"/>
  <c r="E588" i="19" s="1"/>
  <c r="E589" i="19" s="1"/>
  <c r="E590" i="19" s="1"/>
  <c r="E591" i="19" s="1"/>
  <c r="E592" i="19" s="1"/>
  <c r="E593" i="19" s="1"/>
  <c r="E594" i="19" s="1"/>
  <c r="E595" i="19" s="1"/>
  <c r="E596" i="19" s="1"/>
  <c r="E597" i="19" s="1"/>
  <c r="E598" i="19" s="1"/>
  <c r="E599" i="19" s="1"/>
  <c r="E600" i="19" s="1"/>
  <c r="E601" i="19" s="1"/>
  <c r="E602" i="19" s="1"/>
  <c r="E603" i="19" s="1"/>
  <c r="E604" i="19" s="1"/>
  <c r="E605" i="19" s="1"/>
  <c r="E606" i="19" s="1"/>
  <c r="E607" i="19" s="1"/>
  <c r="E608" i="19" s="1"/>
  <c r="E609" i="19" s="1"/>
  <c r="E610" i="19" s="1"/>
  <c r="E611" i="19" s="1"/>
  <c r="E612" i="19" s="1"/>
  <c r="E613" i="19" s="1"/>
  <c r="E614" i="19" s="1"/>
  <c r="E615" i="19" s="1"/>
  <c r="E616" i="19" s="1"/>
  <c r="E617" i="19" s="1"/>
  <c r="E618" i="19" s="1"/>
  <c r="E619" i="19" s="1"/>
  <c r="E620" i="19" s="1"/>
  <c r="E621" i="19" s="1"/>
  <c r="E622" i="19" s="1"/>
  <c r="E623" i="19" s="1"/>
  <c r="E624" i="19" s="1"/>
  <c r="E625" i="19" s="1"/>
  <c r="E626" i="19" s="1"/>
  <c r="E627" i="19" s="1"/>
  <c r="E628" i="19" s="1"/>
  <c r="E629" i="19" s="1"/>
  <c r="E630" i="19" s="1"/>
  <c r="E631" i="19" s="1"/>
  <c r="E632" i="19" s="1"/>
  <c r="E633" i="19" s="1"/>
  <c r="E634" i="19" s="1"/>
  <c r="E635" i="19" s="1"/>
  <c r="E636" i="19" s="1"/>
  <c r="E637" i="19" s="1"/>
  <c r="E638" i="19" s="1"/>
  <c r="E639" i="19" s="1"/>
  <c r="E640" i="19" s="1"/>
  <c r="E641" i="19" s="1"/>
  <c r="E642" i="19" s="1"/>
  <c r="E643" i="19" s="1"/>
  <c r="E644" i="19" s="1"/>
  <c r="E645" i="19" s="1"/>
  <c r="E646" i="19" s="1"/>
  <c r="E647" i="19" s="1"/>
  <c r="E648" i="19" s="1"/>
  <c r="E649" i="19" s="1"/>
  <c r="E650" i="19" s="1"/>
  <c r="E651" i="19" s="1"/>
  <c r="E652" i="19" s="1"/>
  <c r="E653" i="19" s="1"/>
  <c r="E654" i="19" s="1"/>
  <c r="E655" i="19" s="1"/>
  <c r="E656" i="19" s="1"/>
  <c r="E657" i="19" s="1"/>
  <c r="E658" i="19" s="1"/>
  <c r="E659" i="19" s="1"/>
  <c r="E660" i="19" s="1"/>
  <c r="E661" i="19" s="1"/>
  <c r="E662" i="19" s="1"/>
  <c r="E663" i="19" s="1"/>
  <c r="E664" i="19" s="1"/>
  <c r="E665" i="19" s="1"/>
  <c r="E666" i="19" s="1"/>
  <c r="E667" i="19" s="1"/>
  <c r="E668" i="19" s="1"/>
  <c r="E669" i="19" s="1"/>
  <c r="E670" i="19" s="1"/>
  <c r="E671" i="19" s="1"/>
  <c r="E672" i="19" s="1"/>
  <c r="E673" i="19" s="1"/>
  <c r="E674" i="19" s="1"/>
  <c r="E675" i="19" s="1"/>
  <c r="E676" i="19" s="1"/>
  <c r="E677" i="19" s="1"/>
  <c r="E678" i="19" s="1"/>
  <c r="E679" i="19" s="1"/>
  <c r="E680" i="19" s="1"/>
  <c r="E681" i="19" s="1"/>
  <c r="E682" i="19" s="1"/>
  <c r="E683" i="19" s="1"/>
  <c r="E684" i="19" s="1"/>
  <c r="E685" i="19" s="1"/>
  <c r="E686" i="19" s="1"/>
  <c r="E687" i="19" s="1"/>
  <c r="E688" i="19" s="1"/>
  <c r="E689" i="19" s="1"/>
  <c r="E690" i="19" s="1"/>
  <c r="E691" i="19" s="1"/>
  <c r="E692" i="19" s="1"/>
  <c r="E693" i="19" s="1"/>
  <c r="E694" i="19" s="1"/>
  <c r="E695" i="19" s="1"/>
  <c r="E696" i="19" s="1"/>
  <c r="E697" i="19" s="1"/>
  <c r="E698" i="19" s="1"/>
  <c r="E699" i="19" s="1"/>
  <c r="E700" i="19" s="1"/>
  <c r="E701" i="19" s="1"/>
  <c r="E702" i="19" s="1"/>
  <c r="E703" i="19" s="1"/>
  <c r="E704" i="19" s="1"/>
  <c r="E705" i="19" s="1"/>
  <c r="E706" i="19" s="1"/>
  <c r="E707" i="19" s="1"/>
  <c r="E708" i="19" s="1"/>
  <c r="E709" i="19" s="1"/>
  <c r="E710" i="19" s="1"/>
  <c r="E711" i="19" s="1"/>
  <c r="E712" i="19" s="1"/>
  <c r="E713" i="19" s="1"/>
  <c r="E714" i="19" s="1"/>
  <c r="E715" i="19" s="1"/>
  <c r="E716" i="19" s="1"/>
  <c r="E717" i="19" s="1"/>
  <c r="E718" i="19" s="1"/>
  <c r="E719" i="19" s="1"/>
  <c r="E720" i="19" s="1"/>
  <c r="E721" i="19" s="1"/>
  <c r="E722" i="19" s="1"/>
  <c r="E723" i="19" s="1"/>
  <c r="E724" i="19" s="1"/>
  <c r="E725" i="19" s="1"/>
  <c r="E726" i="19" s="1"/>
  <c r="E727" i="19" s="1"/>
  <c r="E728" i="19" s="1"/>
  <c r="E729" i="19" s="1"/>
  <c r="E730" i="19" s="1"/>
  <c r="E731" i="19" s="1"/>
  <c r="E732" i="19" s="1"/>
  <c r="E733" i="19" s="1"/>
  <c r="E734" i="19" s="1"/>
  <c r="E735" i="19" s="1"/>
  <c r="E736" i="19" s="1"/>
  <c r="E737" i="19" s="1"/>
  <c r="E738" i="19" s="1"/>
  <c r="E739" i="19" s="1"/>
  <c r="E740" i="19" s="1"/>
  <c r="E741" i="19" s="1"/>
  <c r="E742" i="19" s="1"/>
  <c r="E743" i="19" s="1"/>
  <c r="E744" i="19" s="1"/>
  <c r="E745" i="19" s="1"/>
  <c r="E746" i="19" s="1"/>
  <c r="E747" i="19" s="1"/>
  <c r="E748" i="19" s="1"/>
  <c r="E749" i="19" s="1"/>
  <c r="E750" i="19" s="1"/>
  <c r="E751" i="19" s="1"/>
  <c r="E752" i="19" s="1"/>
  <c r="E753" i="19" s="1"/>
  <c r="E754" i="19" s="1"/>
  <c r="E755" i="19" s="1"/>
  <c r="E756" i="19" s="1"/>
  <c r="E757" i="19" s="1"/>
  <c r="E758" i="19" s="1"/>
  <c r="E759" i="19" s="1"/>
  <c r="E760" i="19" s="1"/>
  <c r="E761" i="19" s="1"/>
  <c r="E762" i="19" s="1"/>
  <c r="E763" i="19" s="1"/>
  <c r="E764" i="19" s="1"/>
  <c r="E765" i="19" s="1"/>
  <c r="E766" i="19" s="1"/>
  <c r="E767" i="19" s="1"/>
  <c r="E768" i="19" s="1"/>
  <c r="E769" i="19" s="1"/>
  <c r="E770" i="19" s="1"/>
  <c r="E771" i="19" s="1"/>
  <c r="E772" i="19" s="1"/>
  <c r="E773" i="19" s="1"/>
  <c r="E774" i="19" s="1"/>
  <c r="E775" i="19" s="1"/>
  <c r="E776" i="19" s="1"/>
  <c r="E777" i="19" s="1"/>
  <c r="E778" i="19" s="1"/>
  <c r="E779" i="19" s="1"/>
  <c r="E780" i="19" s="1"/>
  <c r="E781" i="19" s="1"/>
  <c r="E782" i="19" s="1"/>
  <c r="E783" i="19" s="1"/>
  <c r="E784" i="19" s="1"/>
  <c r="E785" i="19" s="1"/>
  <c r="E786" i="19" s="1"/>
  <c r="E787" i="19" s="1"/>
  <c r="E788" i="19" s="1"/>
  <c r="E789" i="19" s="1"/>
  <c r="E790" i="19" s="1"/>
  <c r="E791" i="19" s="1"/>
  <c r="E792" i="19" s="1"/>
  <c r="E793" i="19" s="1"/>
  <c r="E794" i="19" s="1"/>
  <c r="E795" i="19" s="1"/>
  <c r="E796" i="19" s="1"/>
  <c r="E797" i="19" s="1"/>
  <c r="E798" i="19" s="1"/>
  <c r="E799" i="19" s="1"/>
  <c r="E800" i="19" s="1"/>
  <c r="E801" i="19" s="1"/>
  <c r="E802" i="19" s="1"/>
  <c r="E803" i="19" s="1"/>
  <c r="E804" i="19" s="1"/>
  <c r="E805" i="19" s="1"/>
  <c r="E806" i="19" s="1"/>
  <c r="E807" i="19" s="1"/>
  <c r="E808" i="19" s="1"/>
  <c r="E809" i="19" s="1"/>
  <c r="E810" i="19" s="1"/>
  <c r="E811" i="19" s="1"/>
  <c r="E812" i="19" s="1"/>
  <c r="E813" i="19" s="1"/>
  <c r="E814" i="19" s="1"/>
  <c r="E815" i="19" s="1"/>
  <c r="E816" i="19" s="1"/>
  <c r="E817" i="19" s="1"/>
  <c r="E818" i="19" s="1"/>
  <c r="E819" i="19" s="1"/>
  <c r="E820" i="19" s="1"/>
  <c r="E821" i="19" s="1"/>
  <c r="E822" i="19" s="1"/>
  <c r="E823" i="19" s="1"/>
  <c r="E824" i="19" s="1"/>
  <c r="E825" i="19" s="1"/>
  <c r="E826" i="19" s="1"/>
  <c r="E827" i="19" s="1"/>
  <c r="E828" i="19" s="1"/>
  <c r="E829" i="19" s="1"/>
  <c r="E830" i="19" s="1"/>
  <c r="E831" i="19" s="1"/>
  <c r="E832" i="19" s="1"/>
  <c r="E833" i="19" s="1"/>
  <c r="E834" i="19" s="1"/>
  <c r="E835" i="19" s="1"/>
  <c r="E836" i="19" s="1"/>
  <c r="E837" i="19" s="1"/>
  <c r="E838" i="19" s="1"/>
  <c r="E839" i="19" s="1"/>
  <c r="E840" i="19" s="1"/>
  <c r="E841" i="19" s="1"/>
  <c r="E842" i="19" s="1"/>
  <c r="E843" i="19" s="1"/>
  <c r="E844" i="19" s="1"/>
  <c r="E845" i="19" s="1"/>
  <c r="E846" i="19" s="1"/>
  <c r="E847" i="19" s="1"/>
  <c r="E848" i="19" s="1"/>
  <c r="E849" i="19" s="1"/>
  <c r="E850" i="19" s="1"/>
  <c r="E851" i="19" s="1"/>
  <c r="E852" i="19" s="1"/>
  <c r="E853" i="19" s="1"/>
  <c r="E854" i="19" s="1"/>
  <c r="E855" i="19" s="1"/>
  <c r="E856" i="19" s="1"/>
  <c r="E857" i="19" s="1"/>
  <c r="E858" i="19" s="1"/>
  <c r="E859" i="19" s="1"/>
  <c r="E860" i="19" s="1"/>
  <c r="E861" i="19" s="1"/>
  <c r="E862" i="19" s="1"/>
  <c r="E863" i="19" s="1"/>
  <c r="E864" i="19" s="1"/>
  <c r="E865" i="19" s="1"/>
  <c r="E866" i="19" s="1"/>
  <c r="E867" i="19" s="1"/>
  <c r="E868" i="19" s="1"/>
  <c r="E869" i="19" s="1"/>
  <c r="E870" i="19" s="1"/>
  <c r="E871" i="19" s="1"/>
  <c r="E872" i="19" s="1"/>
  <c r="E873" i="19" s="1"/>
  <c r="E874" i="19" s="1"/>
  <c r="E875" i="19" s="1"/>
  <c r="E876" i="19" s="1"/>
  <c r="E877" i="19" s="1"/>
  <c r="E878" i="19" s="1"/>
  <c r="E879" i="19" s="1"/>
  <c r="E880" i="19" s="1"/>
  <c r="E881" i="19" s="1"/>
  <c r="E882" i="19" s="1"/>
  <c r="E883" i="19" s="1"/>
  <c r="E884" i="19" s="1"/>
  <c r="E885" i="19" s="1"/>
  <c r="E886" i="19" s="1"/>
  <c r="E887" i="19" s="1"/>
  <c r="E888" i="19" s="1"/>
  <c r="E889" i="19" s="1"/>
  <c r="E890" i="19" s="1"/>
  <c r="E891" i="19" s="1"/>
  <c r="E892" i="19" s="1"/>
  <c r="E893" i="19" s="1"/>
  <c r="E894" i="19" s="1"/>
  <c r="E895" i="19" s="1"/>
  <c r="E896" i="19" s="1"/>
  <c r="E897" i="19" s="1"/>
  <c r="E898" i="19" s="1"/>
  <c r="E899" i="19" s="1"/>
  <c r="E900" i="19" s="1"/>
  <c r="E901" i="19" s="1"/>
  <c r="E902" i="19" s="1"/>
  <c r="E903" i="19" s="1"/>
  <c r="E904" i="19" s="1"/>
  <c r="E905" i="19" s="1"/>
  <c r="E906" i="19" s="1"/>
  <c r="E907" i="19" s="1"/>
  <c r="E908" i="19" s="1"/>
  <c r="E909" i="19" s="1"/>
  <c r="E910" i="19" s="1"/>
  <c r="E911" i="19" s="1"/>
  <c r="E912" i="19" s="1"/>
  <c r="E913" i="19" s="1"/>
  <c r="E914" i="19" s="1"/>
  <c r="E915" i="19" s="1"/>
  <c r="E916" i="19" s="1"/>
  <c r="E917" i="19" s="1"/>
  <c r="E918" i="19" s="1"/>
  <c r="E919" i="19" s="1"/>
  <c r="E920" i="19" s="1"/>
  <c r="E921" i="19" s="1"/>
  <c r="E922" i="19" s="1"/>
  <c r="E923" i="19" s="1"/>
  <c r="E924" i="19" s="1"/>
  <c r="E925" i="19" s="1"/>
  <c r="E926" i="19" s="1"/>
  <c r="E927" i="19" s="1"/>
  <c r="E928" i="19" s="1"/>
  <c r="E929" i="19" s="1"/>
  <c r="E930" i="19" s="1"/>
  <c r="E931" i="19" s="1"/>
  <c r="E932" i="19" s="1"/>
  <c r="E933" i="19" s="1"/>
  <c r="E934" i="19" s="1"/>
  <c r="E935" i="19" s="1"/>
  <c r="E936" i="19" s="1"/>
  <c r="E937" i="19" s="1"/>
  <c r="E938" i="19" s="1"/>
  <c r="E939" i="19" s="1"/>
  <c r="E940" i="19" s="1"/>
  <c r="E941" i="19" s="1"/>
  <c r="E942" i="19" s="1"/>
  <c r="E943" i="19" s="1"/>
  <c r="E944" i="19" s="1"/>
  <c r="E945" i="19" s="1"/>
  <c r="E946" i="19" s="1"/>
  <c r="E947" i="19" s="1"/>
  <c r="E948" i="19" s="1"/>
  <c r="E949" i="19" s="1"/>
  <c r="E950" i="19" s="1"/>
  <c r="E951" i="19" s="1"/>
  <c r="E952" i="19" s="1"/>
  <c r="E953" i="19" s="1"/>
  <c r="E954" i="19" s="1"/>
  <c r="E955" i="19" s="1"/>
  <c r="E956" i="19" s="1"/>
  <c r="E957" i="19" s="1"/>
  <c r="E958" i="19" s="1"/>
  <c r="E959" i="19" s="1"/>
  <c r="E960" i="19" s="1"/>
  <c r="E961" i="19" s="1"/>
  <c r="E962" i="19" s="1"/>
  <c r="E963" i="19" s="1"/>
  <c r="E964" i="19" s="1"/>
  <c r="E965" i="19" s="1"/>
  <c r="E966" i="19" s="1"/>
  <c r="E967" i="19" s="1"/>
  <c r="E968" i="19" s="1"/>
  <c r="E969" i="19" s="1"/>
  <c r="E970" i="19" s="1"/>
  <c r="E971" i="19" s="1"/>
  <c r="E972" i="19" s="1"/>
  <c r="E973" i="19" s="1"/>
  <c r="E974" i="19" s="1"/>
  <c r="E975" i="19" s="1"/>
  <c r="E976" i="19" s="1"/>
  <c r="E977" i="19" s="1"/>
  <c r="E978" i="19" s="1"/>
  <c r="E979" i="19" s="1"/>
  <c r="E980" i="19" s="1"/>
  <c r="E981" i="19" s="1"/>
  <c r="E982" i="19" s="1"/>
  <c r="E983" i="19" s="1"/>
  <c r="E984" i="19" s="1"/>
  <c r="E985" i="19" s="1"/>
  <c r="E986" i="19" s="1"/>
  <c r="E987" i="19" s="1"/>
  <c r="E988" i="19" s="1"/>
  <c r="E989" i="19" s="1"/>
  <c r="E990" i="19" s="1"/>
  <c r="E991" i="19" s="1"/>
  <c r="E992" i="19" s="1"/>
  <c r="E993" i="19" s="1"/>
  <c r="E994" i="19" s="1"/>
  <c r="E995" i="19" s="1"/>
  <c r="E996" i="19" s="1"/>
  <c r="E997" i="19" s="1"/>
  <c r="C252" i="37" s="1"/>
  <c r="J252" i="37" l="1"/>
  <c r="J253" i="37" s="1"/>
  <c r="C253" i="37"/>
  <c r="C8" i="37"/>
  <c r="C9" i="37" s="1"/>
  <c r="C111" i="37"/>
  <c r="J111" i="37" s="1"/>
  <c r="C155" i="37" s="1"/>
  <c r="J155" i="37" s="1"/>
  <c r="C199" i="37" s="1"/>
  <c r="D5898" i="12"/>
  <c r="J8" i="37" l="1"/>
  <c r="C44" i="37" s="1"/>
  <c r="J199" i="37"/>
  <c r="J200" i="37" s="1"/>
  <c r="C112" i="37"/>
  <c r="F278" i="22"/>
  <c r="F279" i="22" s="1"/>
  <c r="F280" i="22" s="1"/>
  <c r="F281" i="22" s="1"/>
  <c r="F282" i="22" s="1"/>
  <c r="F283" i="22" s="1"/>
  <c r="F284" i="22" s="1"/>
  <c r="F285" i="22" s="1"/>
  <c r="F286" i="22" s="1"/>
  <c r="F287" i="22" s="1"/>
  <c r="F288" i="22" s="1"/>
  <c r="F289" i="22" s="1"/>
  <c r="F290" i="22" s="1"/>
  <c r="F291" i="22" s="1"/>
  <c r="F292" i="22" s="1"/>
  <c r="F293" i="22" s="1"/>
  <c r="F294" i="22" s="1"/>
  <c r="F295" i="22" s="1"/>
  <c r="F296" i="22" s="1"/>
  <c r="F297" i="22" s="1"/>
  <c r="F298" i="22" s="1"/>
  <c r="F299" i="22" s="1"/>
  <c r="F300" i="22" s="1"/>
  <c r="F301" i="22" s="1"/>
  <c r="F302" i="22" s="1"/>
  <c r="F303" i="22" s="1"/>
  <c r="F304" i="22" s="1"/>
  <c r="F305" i="22" s="1"/>
  <c r="F306" i="22" s="1"/>
  <c r="F307" i="22" s="1"/>
  <c r="F308" i="22" s="1"/>
  <c r="F309" i="22" s="1"/>
  <c r="F310" i="22" s="1"/>
  <c r="F311" i="22" s="1"/>
  <c r="F312" i="22" s="1"/>
  <c r="F313" i="22" s="1"/>
  <c r="F314" i="22" s="1"/>
  <c r="F315" i="22" s="1"/>
  <c r="F316" i="22" s="1"/>
  <c r="F317" i="22" s="1"/>
  <c r="F318" i="22" s="1"/>
  <c r="F319" i="22" s="1"/>
  <c r="F320" i="22" s="1"/>
  <c r="F321" i="22" s="1"/>
  <c r="F322" i="22" s="1"/>
  <c r="F323" i="22" s="1"/>
  <c r="F324" i="22" s="1"/>
  <c r="F325" i="22" s="1"/>
  <c r="F326" i="22" s="1"/>
  <c r="F327" i="22" s="1"/>
  <c r="F328" i="22" s="1"/>
  <c r="F329" i="22" s="1"/>
  <c r="F330" i="22" s="1"/>
  <c r="F331" i="22" s="1"/>
  <c r="F332" i="22" s="1"/>
  <c r="F333" i="22" s="1"/>
  <c r="F334" i="22" s="1"/>
  <c r="F335" i="22" s="1"/>
  <c r="F336" i="22" s="1"/>
  <c r="F337" i="22" s="1"/>
  <c r="F338" i="22" s="1"/>
  <c r="F339" i="22" s="1"/>
  <c r="F340" i="22" s="1"/>
  <c r="F341" i="22" s="1"/>
  <c r="F342" i="22" s="1"/>
  <c r="F343" i="22" s="1"/>
  <c r="F344" i="22" s="1"/>
  <c r="F345" i="22" s="1"/>
  <c r="F346" i="22" s="1"/>
  <c r="F347" i="22" s="1"/>
  <c r="F348" i="22" s="1"/>
  <c r="F349" i="22" s="1"/>
  <c r="F350" i="22" s="1"/>
  <c r="F351" i="22" s="1"/>
  <c r="F352" i="22" s="1"/>
  <c r="F353" i="22" s="1"/>
  <c r="F354" i="22" s="1"/>
  <c r="F355" i="22" s="1"/>
  <c r="F356" i="22" s="1"/>
  <c r="F357" i="22" s="1"/>
  <c r="F358" i="22" s="1"/>
  <c r="J9" i="37" l="1"/>
  <c r="C45" i="37"/>
  <c r="J44" i="37"/>
  <c r="J45" i="37" s="1"/>
  <c r="F359" i="22"/>
  <c r="F360" i="22" s="1"/>
  <c r="F361" i="22" s="1"/>
  <c r="F362" i="22" s="1"/>
  <c r="F363" i="22" s="1"/>
  <c r="F364" i="22" s="1"/>
  <c r="F365" i="22" s="1"/>
  <c r="F366" i="22" s="1"/>
  <c r="F367" i="22" s="1"/>
  <c r="F368" i="22" s="1"/>
  <c r="F369" i="22" s="1"/>
  <c r="F370" i="22" s="1"/>
  <c r="F371" i="22" s="1"/>
  <c r="F372" i="22" s="1"/>
  <c r="F373" i="22" s="1"/>
  <c r="F374" i="22" s="1"/>
  <c r="F375" i="22" s="1"/>
  <c r="F376" i="22" s="1"/>
  <c r="F377" i="22" s="1"/>
  <c r="F378" i="22" s="1"/>
  <c r="F379" i="22" s="1"/>
  <c r="F380" i="22" s="1"/>
  <c r="F381" i="22" s="1"/>
  <c r="F382" i="22" s="1"/>
  <c r="F383" i="22" s="1"/>
  <c r="F384" i="22" s="1"/>
  <c r="F385" i="22" s="1"/>
  <c r="F386" i="22" s="1"/>
  <c r="F387" i="22" s="1"/>
  <c r="F388" i="22" s="1"/>
  <c r="F389" i="22" s="1"/>
  <c r="F390" i="22" s="1"/>
  <c r="F391" i="22" s="1"/>
  <c r="F392" i="22" s="1"/>
  <c r="F393" i="22" s="1"/>
  <c r="F394" i="22" s="1"/>
  <c r="F395" i="22" s="1"/>
  <c r="F396" i="22" s="1"/>
  <c r="F397" i="22" s="1"/>
  <c r="F398" i="22" s="1"/>
  <c r="F399" i="22" s="1"/>
  <c r="F400" i="22" s="1"/>
  <c r="F401" i="22" s="1"/>
  <c r="F402" i="22" s="1"/>
  <c r="F403" i="22" s="1"/>
  <c r="F404" i="22" s="1"/>
  <c r="F405" i="22" s="1"/>
  <c r="F406" i="22" s="1"/>
  <c r="F407" i="22" s="1"/>
  <c r="F408" i="22" s="1"/>
  <c r="F409" i="22" s="1"/>
  <c r="F410" i="22" s="1"/>
  <c r="F411" i="22" s="1"/>
  <c r="F412" i="22" s="1"/>
  <c r="F413" i="22" s="1"/>
  <c r="F414" i="22" s="1"/>
  <c r="F415" i="22" s="1"/>
  <c r="F416" i="22" s="1"/>
  <c r="F417" i="22" s="1"/>
  <c r="F418" i="22" s="1"/>
  <c r="F419" i="22" s="1"/>
  <c r="F420" i="22" s="1"/>
  <c r="F421" i="22" s="1"/>
  <c r="F422" i="22" s="1"/>
  <c r="F423" i="22" s="1"/>
  <c r="F424" i="22" s="1"/>
  <c r="F425" i="22" s="1"/>
  <c r="F426" i="22" s="1"/>
  <c r="F427" i="22" s="1"/>
  <c r="F428" i="22" s="1"/>
  <c r="F429" i="22" s="1"/>
  <c r="F430" i="22" s="1"/>
  <c r="F431" i="22" s="1"/>
  <c r="F432" i="22" s="1"/>
  <c r="F433" i="22" s="1"/>
  <c r="F434" i="22" s="1"/>
  <c r="F435" i="22" s="1"/>
  <c r="F436" i="22" s="1"/>
  <c r="F437" i="22" s="1"/>
  <c r="F438" i="22" s="1"/>
  <c r="F439" i="22" s="1"/>
  <c r="F440" i="22" s="1"/>
  <c r="F441" i="22" s="1"/>
  <c r="F442" i="22" s="1"/>
  <c r="F443" i="22" s="1"/>
  <c r="F444" i="22" s="1"/>
  <c r="F445" i="22" s="1"/>
  <c r="F446" i="22" s="1"/>
  <c r="F447" i="22" s="1"/>
  <c r="F448" i="22" s="1"/>
  <c r="F449" i="22" s="1"/>
  <c r="F450" i="22" s="1"/>
  <c r="F451" i="22" s="1"/>
  <c r="E277" i="22"/>
  <c r="D266" i="22"/>
  <c r="D247" i="22"/>
  <c r="F197" i="22"/>
  <c r="F198" i="22" s="1"/>
  <c r="F199" i="22" s="1"/>
  <c r="F200" i="22" s="1"/>
  <c r="F201" i="22" s="1"/>
  <c r="F202" i="22" s="1"/>
  <c r="F203" i="22" s="1"/>
  <c r="F204" i="22" s="1"/>
  <c r="F205" i="22" s="1"/>
  <c r="F206" i="22" s="1"/>
  <c r="F207" i="22" s="1"/>
  <c r="F208" i="22" s="1"/>
  <c r="F209" i="22" s="1"/>
  <c r="F210" i="22" s="1"/>
  <c r="F211" i="22" s="1"/>
  <c r="F212" i="22" s="1"/>
  <c r="F213" i="22" s="1"/>
  <c r="F214" i="22" s="1"/>
  <c r="F215" i="22" s="1"/>
  <c r="F216" i="22" s="1"/>
  <c r="F217" i="22" s="1"/>
  <c r="F218" i="22" s="1"/>
  <c r="F219" i="22" s="1"/>
  <c r="F220" i="22" s="1"/>
  <c r="F221" i="22" s="1"/>
  <c r="F222" i="22" s="1"/>
  <c r="F223" i="22" s="1"/>
  <c r="F224" i="22" s="1"/>
  <c r="F225" i="22" s="1"/>
  <c r="F226" i="22" s="1"/>
  <c r="F227" i="22" s="1"/>
  <c r="F228" i="22" s="1"/>
  <c r="F229" i="22" s="1"/>
  <c r="F230" i="22" s="1"/>
  <c r="F231" i="22" s="1"/>
  <c r="F232" i="22" s="1"/>
  <c r="F233" i="22" s="1"/>
  <c r="F234" i="22" s="1"/>
  <c r="F235" i="22" s="1"/>
  <c r="F236" i="22" s="1"/>
  <c r="F237" i="22" s="1"/>
  <c r="F238" i="22" s="1"/>
  <c r="F239" i="22" s="1"/>
  <c r="F240" i="22" s="1"/>
  <c r="F241" i="22" s="1"/>
  <c r="F242" i="22" s="1"/>
  <c r="F243" i="22" s="1"/>
  <c r="F244" i="22" s="1"/>
  <c r="F245" i="22" s="1"/>
  <c r="F246" i="22" s="1"/>
  <c r="D171" i="22"/>
  <c r="F72" i="22"/>
  <c r="F73" i="22" s="1"/>
  <c r="F74" i="22" s="1"/>
  <c r="F75" i="22" s="1"/>
  <c r="F76" i="22" s="1"/>
  <c r="F77" i="22" s="1"/>
  <c r="F78" i="22" s="1"/>
  <c r="F79" i="22" s="1"/>
  <c r="F80" i="22" s="1"/>
  <c r="F81" i="22" s="1"/>
  <c r="F82" i="22" s="1"/>
  <c r="F83" i="22" s="1"/>
  <c r="F84" i="22" s="1"/>
  <c r="F85" i="22" s="1"/>
  <c r="F86" i="22" s="1"/>
  <c r="F87" i="22" s="1"/>
  <c r="F88" i="22" s="1"/>
  <c r="F89" i="22" s="1"/>
  <c r="F90" i="22" s="1"/>
  <c r="F91" i="22" s="1"/>
  <c r="F92" i="22" s="1"/>
  <c r="F93" i="22" s="1"/>
  <c r="F94" i="22" s="1"/>
  <c r="F95" i="22" s="1"/>
  <c r="F96" i="22" s="1"/>
  <c r="F97" i="22" s="1"/>
  <c r="F98" i="22" s="1"/>
  <c r="F99" i="22" s="1"/>
  <c r="F100" i="22" s="1"/>
  <c r="F101" i="22" s="1"/>
  <c r="F102" i="22" s="1"/>
  <c r="F103" i="22" s="1"/>
  <c r="F104" i="22" s="1"/>
  <c r="F105" i="22" s="1"/>
  <c r="F106" i="22" s="1"/>
  <c r="F107" i="22" s="1"/>
  <c r="F108" i="22" s="1"/>
  <c r="F109" i="22" s="1"/>
  <c r="F110" i="22" s="1"/>
  <c r="F111" i="22" s="1"/>
  <c r="F112" i="22" s="1"/>
  <c r="F113" i="22" s="1"/>
  <c r="F114" i="22" s="1"/>
  <c r="F115" i="22" s="1"/>
  <c r="F116" i="22" s="1"/>
  <c r="F117" i="22" s="1"/>
  <c r="F118" i="22" s="1"/>
  <c r="F119" i="22" s="1"/>
  <c r="F120" i="22" s="1"/>
  <c r="F121" i="22" s="1"/>
  <c r="F122" i="22" s="1"/>
  <c r="F123" i="22" s="1"/>
  <c r="F124" i="22" s="1"/>
  <c r="F125" i="22" s="1"/>
  <c r="F126" i="22" s="1"/>
  <c r="F127" i="22" s="1"/>
  <c r="F128" i="22" s="1"/>
  <c r="F129" i="22" s="1"/>
  <c r="F130" i="22" s="1"/>
  <c r="F131" i="22" s="1"/>
  <c r="F132" i="22" s="1"/>
  <c r="F133" i="22" s="1"/>
  <c r="F134" i="22" s="1"/>
  <c r="F135" i="22" s="1"/>
  <c r="F136" i="22" s="1"/>
  <c r="F137" i="22" s="1"/>
  <c r="F138" i="22" s="1"/>
  <c r="F139" i="22" s="1"/>
  <c r="F140" i="22" s="1"/>
  <c r="F141" i="22" s="1"/>
  <c r="F142" i="22" s="1"/>
  <c r="F143" i="22" s="1"/>
  <c r="F144" i="22" s="1"/>
  <c r="F145" i="22" s="1"/>
  <c r="F146" i="22" s="1"/>
  <c r="F147" i="22" s="1"/>
  <c r="F148" i="22" s="1"/>
  <c r="F149" i="22" s="1"/>
  <c r="F150" i="22" s="1"/>
  <c r="F151" i="22" s="1"/>
  <c r="F152" i="22" s="1"/>
  <c r="F153" i="22" s="1"/>
  <c r="F154" i="22" s="1"/>
  <c r="F155" i="22" s="1"/>
  <c r="F156" i="22" s="1"/>
  <c r="F157" i="22" s="1"/>
  <c r="F158" i="22" s="1"/>
  <c r="F159" i="22" s="1"/>
  <c r="F160" i="22" s="1"/>
  <c r="F161" i="22" s="1"/>
  <c r="F162" i="22" s="1"/>
  <c r="F163" i="22" s="1"/>
  <c r="F164" i="22" s="1"/>
  <c r="F165" i="22" s="1"/>
  <c r="F166" i="22" s="1"/>
  <c r="F167" i="22" s="1"/>
  <c r="F168" i="22" s="1"/>
  <c r="F169" i="22" s="1"/>
  <c r="F170" i="22" s="1"/>
  <c r="D65" i="22"/>
  <c r="F2" i="22"/>
  <c r="F3" i="22" s="1"/>
  <c r="F4" i="22" s="1"/>
  <c r="F5" i="22" s="1"/>
  <c r="F6" i="22" s="1"/>
  <c r="F7" i="22" s="1"/>
  <c r="F8" i="22" s="1"/>
  <c r="F9" i="22" s="1"/>
  <c r="F10" i="22" s="1"/>
  <c r="F11" i="22" s="1"/>
  <c r="F12" i="22" s="1"/>
  <c r="F13" i="22" s="1"/>
  <c r="F14" i="22" s="1"/>
  <c r="F15" i="22" s="1"/>
  <c r="F16" i="22" s="1"/>
  <c r="F17" i="22" s="1"/>
  <c r="F18" i="22" s="1"/>
  <c r="F19" i="22" s="1"/>
  <c r="F20" i="22" s="1"/>
  <c r="F21" i="22" s="1"/>
  <c r="F22" i="22" s="1"/>
  <c r="F23" i="22" s="1"/>
  <c r="F24" i="22" s="1"/>
  <c r="F25" i="22" s="1"/>
  <c r="F26" i="22" s="1"/>
  <c r="F27" i="22" s="1"/>
  <c r="F28" i="22" s="1"/>
  <c r="F29" i="22" s="1"/>
  <c r="F30" i="22" s="1"/>
  <c r="F31" i="22" s="1"/>
  <c r="F32" i="22" s="1"/>
  <c r="F33" i="22" s="1"/>
  <c r="F34" i="22" s="1"/>
  <c r="F35" i="22" s="1"/>
  <c r="F36" i="22" s="1"/>
  <c r="F37" i="22" s="1"/>
  <c r="F38" i="22" s="1"/>
  <c r="F39" i="22" s="1"/>
  <c r="F40" i="22" s="1"/>
  <c r="F41" i="22" s="1"/>
  <c r="F42" i="22" s="1"/>
  <c r="F43" i="22" s="1"/>
  <c r="F44" i="22" s="1"/>
  <c r="F45" i="22" s="1"/>
  <c r="F46" i="22" s="1"/>
  <c r="F47" i="22" s="1"/>
  <c r="F48" i="22" s="1"/>
  <c r="F49" i="22" s="1"/>
  <c r="F50" i="22" s="1"/>
  <c r="F51" i="22" s="1"/>
  <c r="F52" i="22" s="1"/>
  <c r="F53" i="22" s="1"/>
  <c r="F54" i="22" s="1"/>
  <c r="F55" i="22" s="1"/>
  <c r="F56" i="22" s="1"/>
  <c r="F57" i="22" s="1"/>
  <c r="F58" i="22" s="1"/>
  <c r="F59" i="22" s="1"/>
  <c r="F60" i="22" s="1"/>
  <c r="F61" i="22" s="1"/>
  <c r="F62" i="22" s="1"/>
  <c r="F63" i="22" s="1"/>
  <c r="F64" i="22" s="1"/>
  <c r="D5845" i="12"/>
  <c r="D5842" i="12"/>
  <c r="D5832" i="12"/>
  <c r="D5812" i="12"/>
  <c r="D5787" i="12"/>
  <c r="D5753" i="12"/>
  <c r="D5728" i="12"/>
  <c r="D5727" i="12"/>
  <c r="D5719" i="12"/>
  <c r="D5656" i="12"/>
  <c r="D5647" i="12"/>
  <c r="D5646" i="12"/>
  <c r="D5632" i="12"/>
  <c r="D5608" i="12"/>
  <c r="D5598" i="12"/>
  <c r="D5575" i="12"/>
  <c r="D5560" i="12"/>
  <c r="D5555" i="12"/>
  <c r="D5553" i="12"/>
  <c r="D5542" i="12"/>
  <c r="D5538" i="12"/>
  <c r="D5525" i="12"/>
  <c r="D5523" i="12"/>
  <c r="D5505" i="12"/>
  <c r="D5494" i="12"/>
  <c r="D5488" i="12"/>
  <c r="E5481" i="12"/>
  <c r="E5460" i="12"/>
  <c r="D5456" i="12"/>
  <c r="E5451" i="12"/>
  <c r="D5432" i="12"/>
  <c r="D5431" i="12"/>
  <c r="D5418" i="12"/>
  <c r="D5417" i="12"/>
  <c r="D5415" i="12"/>
  <c r="D5400" i="12"/>
  <c r="D5399" i="12"/>
  <c r="D5379" i="12"/>
  <c r="D5378" i="12"/>
  <c r="D5377" i="12"/>
  <c r="D5357" i="12"/>
  <c r="D5355" i="12"/>
  <c r="D5342" i="12"/>
  <c r="D5340" i="12"/>
  <c r="D5335" i="12"/>
  <c r="D5305" i="12"/>
  <c r="D5304" i="12"/>
  <c r="D5239" i="12"/>
  <c r="D5238" i="12"/>
  <c r="D5237" i="12"/>
  <c r="D5202" i="12"/>
  <c r="D5201" i="12"/>
  <c r="D5186" i="12"/>
  <c r="D5158" i="12"/>
  <c r="D5154" i="12"/>
  <c r="D5144" i="12"/>
  <c r="D5130" i="12"/>
  <c r="D5127" i="12"/>
  <c r="D5115" i="12"/>
  <c r="D5111" i="12"/>
  <c r="D5101" i="12"/>
  <c r="D5100" i="12"/>
  <c r="D5063" i="12"/>
  <c r="D5042" i="12"/>
  <c r="D5010" i="12"/>
  <c r="D5007" i="12"/>
  <c r="D4998" i="12"/>
  <c r="D4994" i="12"/>
  <c r="D4967" i="12"/>
  <c r="D4949" i="12"/>
  <c r="D4900" i="12"/>
  <c r="D4888" i="12"/>
  <c r="D4889" i="12" s="1"/>
  <c r="D4870" i="12"/>
  <c r="D4857" i="12"/>
  <c r="D4856" i="12"/>
  <c r="D4840" i="12"/>
  <c r="D4832" i="12"/>
  <c r="D4830" i="12"/>
  <c r="D4829" i="12"/>
  <c r="D4750" i="12"/>
  <c r="D4697" i="12"/>
  <c r="D4696" i="12"/>
  <c r="D4695" i="12"/>
  <c r="D4660" i="12"/>
  <c r="D4659" i="12"/>
  <c r="D4642" i="12"/>
  <c r="D4629" i="12"/>
  <c r="D4618" i="12"/>
  <c r="D4617" i="12"/>
  <c r="D4615" i="12"/>
  <c r="D4606" i="12"/>
  <c r="D4553" i="12"/>
  <c r="D4532" i="12"/>
  <c r="D4511" i="12"/>
  <c r="D4482" i="12"/>
  <c r="D4471" i="12"/>
  <c r="D4468" i="12"/>
  <c r="D4440" i="12"/>
  <c r="D4429" i="12"/>
  <c r="F4397" i="12"/>
  <c r="F4398" i="12" s="1"/>
  <c r="F4399" i="12" s="1"/>
  <c r="D4351" i="12"/>
  <c r="D4325" i="12"/>
  <c r="I2" i="41" s="1"/>
  <c r="K2" i="41" s="1"/>
  <c r="D4306" i="12"/>
  <c r="D4167" i="12"/>
  <c r="F4159" i="12"/>
  <c r="F4160" i="12" s="1"/>
  <c r="F4161" i="12" s="1"/>
  <c r="F4162" i="12" s="1"/>
  <c r="F4163" i="12" s="1"/>
  <c r="F4164" i="12" s="1"/>
  <c r="F4165" i="12" s="1"/>
  <c r="F4166" i="12" s="1"/>
  <c r="F4155" i="12"/>
  <c r="F4156" i="12" s="1"/>
  <c r="F4157" i="12" s="1"/>
  <c r="D4124" i="12"/>
  <c r="D4119" i="12"/>
  <c r="D4041" i="12"/>
  <c r="D3997" i="12"/>
  <c r="F3956" i="12"/>
  <c r="F3957" i="12" s="1"/>
  <c r="F3958" i="12" s="1"/>
  <c r="F3959" i="12" s="1"/>
  <c r="F3960" i="12" s="1"/>
  <c r="F3961" i="12" s="1"/>
  <c r="F3962" i="12" s="1"/>
  <c r="F3963" i="12" s="1"/>
  <c r="F3964" i="12" s="1"/>
  <c r="F3965" i="12" s="1"/>
  <c r="F3966" i="12" s="1"/>
  <c r="F3967" i="12" s="1"/>
  <c r="F3968" i="12" s="1"/>
  <c r="F3969" i="12" s="1"/>
  <c r="F3970" i="12" s="1"/>
  <c r="F3971" i="12" s="1"/>
  <c r="F3972" i="12" s="1"/>
  <c r="F3973" i="12" s="1"/>
  <c r="F3974" i="12" s="1"/>
  <c r="F3975" i="12" s="1"/>
  <c r="F3976" i="12" s="1"/>
  <c r="F3977" i="12" s="1"/>
  <c r="F3978" i="12" s="1"/>
  <c r="F3979" i="12" s="1"/>
  <c r="F3980" i="12" s="1"/>
  <c r="F3981" i="12" s="1"/>
  <c r="F3982" i="12" s="1"/>
  <c r="F3983" i="12" s="1"/>
  <c r="F3984" i="12" s="1"/>
  <c r="F3985" i="12" s="1"/>
  <c r="F3986" i="12" s="1"/>
  <c r="F3987" i="12" s="1"/>
  <c r="F3988" i="12" s="1"/>
  <c r="F3989" i="12" s="1"/>
  <c r="F3990" i="12" s="1"/>
  <c r="F3991" i="12" s="1"/>
  <c r="F3992" i="12" s="1"/>
  <c r="F3993" i="12" s="1"/>
  <c r="F3994" i="12" s="1"/>
  <c r="F3995" i="12" s="1"/>
  <c r="F3996" i="12" s="1"/>
  <c r="D3493" i="12"/>
  <c r="F3467" i="12"/>
  <c r="F3468" i="12" s="1"/>
  <c r="F3469" i="12" s="1"/>
  <c r="F3470" i="12" s="1"/>
  <c r="F3471" i="12" s="1"/>
  <c r="F3472" i="12" s="1"/>
  <c r="F3473" i="12" s="1"/>
  <c r="F3474" i="12" s="1"/>
  <c r="F3475" i="12" s="1"/>
  <c r="F3476" i="12" s="1"/>
  <c r="F3477" i="12" s="1"/>
  <c r="F3478" i="12" s="1"/>
  <c r="F3479" i="12" s="1"/>
  <c r="F3480" i="12" s="1"/>
  <c r="F3481" i="12" s="1"/>
  <c r="F3482" i="12" s="1"/>
  <c r="F3483" i="12" s="1"/>
  <c r="F3484" i="12" s="1"/>
  <c r="F3485" i="12" s="1"/>
  <c r="F3486" i="12" s="1"/>
  <c r="F3487" i="12" s="1"/>
  <c r="F3488" i="12" s="1"/>
  <c r="F3489" i="12" s="1"/>
  <c r="F3490" i="12" s="1"/>
  <c r="F3491" i="12" s="1"/>
  <c r="F3492" i="12" s="1"/>
  <c r="F3392" i="12"/>
  <c r="F3393" i="12" s="1"/>
  <c r="F3394" i="12" s="1"/>
  <c r="F3395" i="12" s="1"/>
  <c r="F3396" i="12" s="1"/>
  <c r="F3397" i="12" s="1"/>
  <c r="F3398" i="12" s="1"/>
  <c r="F3399" i="12" s="1"/>
  <c r="F3400" i="12" s="1"/>
  <c r="F3401" i="12" s="1"/>
  <c r="F3402" i="12" s="1"/>
  <c r="F3403" i="12" s="1"/>
  <c r="F3404" i="12" s="1"/>
  <c r="F3405" i="12" s="1"/>
  <c r="F3406" i="12" s="1"/>
  <c r="F3407" i="12" s="1"/>
  <c r="F3408" i="12" s="1"/>
  <c r="F3409" i="12" s="1"/>
  <c r="F3410" i="12" s="1"/>
  <c r="F3411" i="12" s="1"/>
  <c r="F3412" i="12" s="1"/>
  <c r="F3413" i="12" s="1"/>
  <c r="F3414" i="12" s="1"/>
  <c r="F3415" i="12" s="1"/>
  <c r="F3416" i="12" s="1"/>
  <c r="F3417" i="12" s="1"/>
  <c r="F3418" i="12" s="1"/>
  <c r="F3419" i="12" s="1"/>
  <c r="F3420" i="12" s="1"/>
  <c r="F3421" i="12" s="1"/>
  <c r="F3422" i="12" s="1"/>
  <c r="F3423" i="12" s="1"/>
  <c r="F3424" i="12" s="1"/>
  <c r="F3425" i="12" s="1"/>
  <c r="F3426" i="12" s="1"/>
  <c r="F3427" i="12" s="1"/>
  <c r="F3428" i="12" s="1"/>
  <c r="F3429" i="12" s="1"/>
  <c r="F3430" i="12" s="1"/>
  <c r="F3431" i="12" s="1"/>
  <c r="F3432" i="12" s="1"/>
  <c r="F3433" i="12" s="1"/>
  <c r="F3434" i="12" s="1"/>
  <c r="F3435" i="12" s="1"/>
  <c r="F3436" i="12" s="1"/>
  <c r="F3437" i="12" s="1"/>
  <c r="F3438" i="12" s="1"/>
  <c r="F3439" i="12" s="1"/>
  <c r="F3440" i="12" s="1"/>
  <c r="F3441" i="12" s="1"/>
  <c r="F3442" i="12" s="1"/>
  <c r="F3443" i="12" s="1"/>
  <c r="F3444" i="12" s="1"/>
  <c r="F3445" i="12" s="1"/>
  <c r="F3446" i="12" s="1"/>
  <c r="F3447" i="12" s="1"/>
  <c r="F3448" i="12" s="1"/>
  <c r="F3449" i="12" s="1"/>
  <c r="F3450" i="12" s="1"/>
  <c r="F3451" i="12" s="1"/>
  <c r="F3452" i="12" s="1"/>
  <c r="F3453" i="12" s="1"/>
  <c r="F3454" i="12" s="1"/>
  <c r="F3455" i="12" s="1"/>
  <c r="F3456" i="12" s="1"/>
  <c r="F3457" i="12" s="1"/>
  <c r="F3458" i="12" s="1"/>
  <c r="F3459" i="12" s="1"/>
  <c r="F3460" i="12" s="1"/>
  <c r="F3461" i="12" s="1"/>
  <c r="F3462" i="12" s="1"/>
  <c r="F3463" i="12" s="1"/>
  <c r="F3464" i="12" s="1"/>
  <c r="F3465" i="12" s="1"/>
  <c r="D3389" i="12"/>
  <c r="D3321" i="12"/>
  <c r="F3306" i="12"/>
  <c r="F3307" i="12" s="1"/>
  <c r="F3308" i="12" s="1"/>
  <c r="F3309" i="12" s="1"/>
  <c r="F3310" i="12" s="1"/>
  <c r="F3311" i="12" s="1"/>
  <c r="F3312" i="12" s="1"/>
  <c r="F3313" i="12" s="1"/>
  <c r="F3314" i="12" s="1"/>
  <c r="F3315" i="12" s="1"/>
  <c r="F3316" i="12" s="1"/>
  <c r="F3317" i="12" s="1"/>
  <c r="F3318" i="12" s="1"/>
  <c r="F3319" i="12" s="1"/>
  <c r="F3320" i="12" s="1"/>
  <c r="F3289" i="12"/>
  <c r="F3290" i="12" s="1"/>
  <c r="F3291" i="12" s="1"/>
  <c r="F3292" i="12" s="1"/>
  <c r="F3293" i="12" s="1"/>
  <c r="F3294" i="12" s="1"/>
  <c r="F3295" i="12" s="1"/>
  <c r="F3296" i="12" s="1"/>
  <c r="F3297" i="12" s="1"/>
  <c r="F3298" i="12" s="1"/>
  <c r="F3299" i="12" s="1"/>
  <c r="F3300" i="12" s="1"/>
  <c r="F3301" i="12" s="1"/>
  <c r="F3302" i="12" s="1"/>
  <c r="F3303" i="12" s="1"/>
  <c r="F3304" i="12" s="1"/>
  <c r="F3257" i="12"/>
  <c r="F3258" i="12" s="1"/>
  <c r="F3259" i="12" s="1"/>
  <c r="F3260" i="12" s="1"/>
  <c r="F3261" i="12" s="1"/>
  <c r="F3262" i="12" s="1"/>
  <c r="F3263" i="12" s="1"/>
  <c r="F3264" i="12" s="1"/>
  <c r="F3265" i="12" s="1"/>
  <c r="F3266" i="12" s="1"/>
  <c r="F3267" i="12" s="1"/>
  <c r="F3268" i="12" s="1"/>
  <c r="F3269" i="12" s="1"/>
  <c r="F3270" i="12" s="1"/>
  <c r="F3271" i="12" s="1"/>
  <c r="F3272" i="12" s="1"/>
  <c r="F3273" i="12" s="1"/>
  <c r="F3274" i="12" s="1"/>
  <c r="F3275" i="12" s="1"/>
  <c r="F3276" i="12" s="1"/>
  <c r="F3277" i="12" s="1"/>
  <c r="F3278" i="12" s="1"/>
  <c r="F3279" i="12" s="1"/>
  <c r="F3280" i="12" s="1"/>
  <c r="F3281" i="12" s="1"/>
  <c r="F3282" i="12" s="1"/>
  <c r="F3283" i="12" s="1"/>
  <c r="F3284" i="12" s="1"/>
  <c r="F3285" i="12" s="1"/>
  <c r="F3286" i="12" s="1"/>
  <c r="F3287" i="12" s="1"/>
  <c r="F3288" i="12" s="1"/>
  <c r="D3236" i="12"/>
  <c r="F3214" i="12"/>
  <c r="F3215" i="12" s="1"/>
  <c r="F3216" i="12" s="1"/>
  <c r="F3217" i="12" s="1"/>
  <c r="F3218" i="12" s="1"/>
  <c r="F3219" i="12" s="1"/>
  <c r="F3220" i="12" s="1"/>
  <c r="F3221" i="12" s="1"/>
  <c r="F3222" i="12" s="1"/>
  <c r="F3223" i="12" s="1"/>
  <c r="F3224" i="12" s="1"/>
  <c r="F3225" i="12" s="1"/>
  <c r="F3226" i="12" s="1"/>
  <c r="F3227" i="12" s="1"/>
  <c r="F3228" i="12" s="1"/>
  <c r="F3229" i="12" s="1"/>
  <c r="F3230" i="12" s="1"/>
  <c r="F3231" i="12" s="1"/>
  <c r="F3232" i="12" s="1"/>
  <c r="F3233" i="12" s="1"/>
  <c r="F3234" i="12" s="1"/>
  <c r="F3235" i="12" s="1"/>
  <c r="D3024" i="12"/>
  <c r="F3012" i="12"/>
  <c r="F3013" i="12" s="1"/>
  <c r="F3014" i="12" s="1"/>
  <c r="F3015" i="12" s="1"/>
  <c r="F3016" i="12" s="1"/>
  <c r="F3017" i="12" s="1"/>
  <c r="F3018" i="12" s="1"/>
  <c r="F3019" i="12" s="1"/>
  <c r="F3020" i="12" s="1"/>
  <c r="F3021" i="12" s="1"/>
  <c r="F3022" i="12" s="1"/>
  <c r="F3023" i="12" s="1"/>
  <c r="D2795" i="12"/>
  <c r="F2612" i="12"/>
  <c r="F2613" i="12" s="1"/>
  <c r="F2614" i="12" s="1"/>
  <c r="F2615" i="12" s="1"/>
  <c r="F2616" i="12" s="1"/>
  <c r="F2617" i="12" s="1"/>
  <c r="F2618" i="12" s="1"/>
  <c r="F2619" i="12" s="1"/>
  <c r="F2620" i="12" s="1"/>
  <c r="F2621" i="12" s="1"/>
  <c r="F2622" i="12" s="1"/>
  <c r="F2623" i="12" s="1"/>
  <c r="F2624" i="12" s="1"/>
  <c r="F2625" i="12" s="1"/>
  <c r="F2626" i="12" s="1"/>
  <c r="F2627" i="12" s="1"/>
  <c r="F2628" i="12" s="1"/>
  <c r="F2629" i="12" s="1"/>
  <c r="F2630" i="12" s="1"/>
  <c r="F2631" i="12" s="1"/>
  <c r="F2632" i="12" s="1"/>
  <c r="F2633" i="12" s="1"/>
  <c r="F2634" i="12" s="1"/>
  <c r="F2635" i="12" s="1"/>
  <c r="F2636" i="12" s="1"/>
  <c r="F2637" i="12" s="1"/>
  <c r="F2638" i="12" s="1"/>
  <c r="F2639" i="12" s="1"/>
  <c r="F2640" i="12" s="1"/>
  <c r="F2641" i="12" s="1"/>
  <c r="F2642" i="12" s="1"/>
  <c r="F2643" i="12" s="1"/>
  <c r="F2644" i="12" s="1"/>
  <c r="F2645" i="12" s="1"/>
  <c r="F2646" i="12" s="1"/>
  <c r="F2647" i="12" s="1"/>
  <c r="F2648" i="12" s="1"/>
  <c r="F2649" i="12" s="1"/>
  <c r="F2650" i="12" s="1"/>
  <c r="F2651" i="12" s="1"/>
  <c r="F2652" i="12" s="1"/>
  <c r="F2653" i="12" s="1"/>
  <c r="F2654" i="12" s="1"/>
  <c r="F2655" i="12" s="1"/>
  <c r="F2656" i="12" s="1"/>
  <c r="F2657" i="12" s="1"/>
  <c r="F2658" i="12" s="1"/>
  <c r="F2659" i="12" s="1"/>
  <c r="F2660" i="12" s="1"/>
  <c r="F2661" i="12" s="1"/>
  <c r="F2662" i="12" s="1"/>
  <c r="F2663" i="12" s="1"/>
  <c r="F2664" i="12" s="1"/>
  <c r="F2665" i="12" s="1"/>
  <c r="F2666" i="12" s="1"/>
  <c r="F2667" i="12" s="1"/>
  <c r="F2668" i="12" s="1"/>
  <c r="F2669" i="12" s="1"/>
  <c r="F2670" i="12" s="1"/>
  <c r="F2671" i="12" s="1"/>
  <c r="F2672" i="12" s="1"/>
  <c r="F2673" i="12" s="1"/>
  <c r="F2674" i="12" s="1"/>
  <c r="F2675" i="12" s="1"/>
  <c r="F2676" i="12" s="1"/>
  <c r="F2677" i="12" s="1"/>
  <c r="F2678" i="12" s="1"/>
  <c r="F2679" i="12" s="1"/>
  <c r="F2680" i="12" s="1"/>
  <c r="F2681" i="12" s="1"/>
  <c r="F2682" i="12" s="1"/>
  <c r="F2683" i="12" s="1"/>
  <c r="F2684" i="12" s="1"/>
  <c r="F2685" i="12" s="1"/>
  <c r="F2686" i="12" s="1"/>
  <c r="F2687" i="12" s="1"/>
  <c r="F2688" i="12" s="1"/>
  <c r="F2689" i="12" s="1"/>
  <c r="F2690" i="12" s="1"/>
  <c r="F2691" i="12" s="1"/>
  <c r="F2692" i="12" s="1"/>
  <c r="F2693" i="12" s="1"/>
  <c r="F2694" i="12" s="1"/>
  <c r="F2695" i="12" s="1"/>
  <c r="F2696" i="12" s="1"/>
  <c r="F2697" i="12" s="1"/>
  <c r="F2698" i="12" s="1"/>
  <c r="F2699" i="12" s="1"/>
  <c r="F2700" i="12" s="1"/>
  <c r="F2701" i="12" s="1"/>
  <c r="F2702" i="12" s="1"/>
  <c r="F2703" i="12" s="1"/>
  <c r="F2704" i="12" s="1"/>
  <c r="F2705" i="12" s="1"/>
  <c r="F2706" i="12" s="1"/>
  <c r="F2707" i="12" s="1"/>
  <c r="F2708" i="12" s="1"/>
  <c r="F2709" i="12" s="1"/>
  <c r="F2710" i="12" s="1"/>
  <c r="F2711" i="12" s="1"/>
  <c r="F2712" i="12" s="1"/>
  <c r="F2713" i="12" s="1"/>
  <c r="F2714" i="12" s="1"/>
  <c r="F2715" i="12" s="1"/>
  <c r="F2716" i="12" s="1"/>
  <c r="F2717" i="12" s="1"/>
  <c r="F2718" i="12" s="1"/>
  <c r="F2719" i="12" s="1"/>
  <c r="F2720" i="12" s="1"/>
  <c r="F2721" i="12" s="1"/>
  <c r="F2722" i="12" s="1"/>
  <c r="F2723" i="12" s="1"/>
  <c r="F2724" i="12" s="1"/>
  <c r="F2725" i="12" s="1"/>
  <c r="F2726" i="12" s="1"/>
  <c r="F2727" i="12" s="1"/>
  <c r="F2728" i="12" s="1"/>
  <c r="F2729" i="12" s="1"/>
  <c r="F2730" i="12" s="1"/>
  <c r="F2731" i="12" s="1"/>
  <c r="F2732" i="12" s="1"/>
  <c r="F2733" i="12" s="1"/>
  <c r="F2734" i="12" s="1"/>
  <c r="F2735" i="12" s="1"/>
  <c r="F2736" i="12" s="1"/>
  <c r="F2737" i="12" s="1"/>
  <c r="F2738" i="12" s="1"/>
  <c r="F2739" i="12" s="1"/>
  <c r="F2740" i="12" s="1"/>
  <c r="F2741" i="12" s="1"/>
  <c r="F2742" i="12" s="1"/>
  <c r="F2743" i="12" s="1"/>
  <c r="F2744" i="12" s="1"/>
  <c r="F2745" i="12" s="1"/>
  <c r="F2746" i="12" s="1"/>
  <c r="F2747" i="12" s="1"/>
  <c r="F2748" i="12" s="1"/>
  <c r="F2749" i="12" s="1"/>
  <c r="F2750" i="12" s="1"/>
  <c r="F2751" i="12" s="1"/>
  <c r="F2752" i="12" s="1"/>
  <c r="F2753" i="12" s="1"/>
  <c r="F2754" i="12" s="1"/>
  <c r="F2755" i="12" s="1"/>
  <c r="F2756" i="12" s="1"/>
  <c r="F2757" i="12" s="1"/>
  <c r="F2758" i="12" s="1"/>
  <c r="F2759" i="12" s="1"/>
  <c r="F2760" i="12" s="1"/>
  <c r="F2761" i="12" s="1"/>
  <c r="F2762" i="12" s="1"/>
  <c r="F2763" i="12" s="1"/>
  <c r="F2764" i="12" s="1"/>
  <c r="F2765" i="12" s="1"/>
  <c r="F2766" i="12" s="1"/>
  <c r="F2767" i="12" s="1"/>
  <c r="F2768" i="12" s="1"/>
  <c r="F2769" i="12" s="1"/>
  <c r="F2770" i="12" s="1"/>
  <c r="F2771" i="12" s="1"/>
  <c r="F2772" i="12" s="1"/>
  <c r="F2773" i="12" s="1"/>
  <c r="F2774" i="12" s="1"/>
  <c r="F2775" i="12" s="1"/>
  <c r="F2776" i="12" s="1"/>
  <c r="F2777" i="12" s="1"/>
  <c r="F2778" i="12" s="1"/>
  <c r="F2779" i="12" s="1"/>
  <c r="F2780" i="12" s="1"/>
  <c r="F2781" i="12" s="1"/>
  <c r="F2782" i="12" s="1"/>
  <c r="F2783" i="12" s="1"/>
  <c r="F2784" i="12" s="1"/>
  <c r="F2785" i="12" s="1"/>
  <c r="F2786" i="12" s="1"/>
  <c r="F2787" i="12" s="1"/>
  <c r="F2788" i="12" s="1"/>
  <c r="F2789" i="12" s="1"/>
  <c r="F2790" i="12" s="1"/>
  <c r="F2791" i="12" s="1"/>
  <c r="F2792" i="12" s="1"/>
  <c r="F2793" i="12" s="1"/>
  <c r="F2794" i="12" s="1"/>
  <c r="D2378" i="12"/>
  <c r="D2213" i="12"/>
  <c r="D2190" i="12"/>
  <c r="D2152" i="12"/>
  <c r="D2151" i="12"/>
  <c r="D2001" i="12"/>
  <c r="D1858" i="12"/>
  <c r="D1243" i="12"/>
  <c r="D1199" i="12"/>
  <c r="D1062" i="12"/>
  <c r="D919" i="12"/>
  <c r="D829" i="12"/>
  <c r="D775" i="12"/>
  <c r="D712" i="12"/>
  <c r="D468" i="12"/>
  <c r="D442" i="12"/>
  <c r="D351" i="12"/>
  <c r="D292" i="12"/>
  <c r="D275" i="12"/>
  <c r="D265" i="12"/>
  <c r="D263" i="12"/>
  <c r="D228" i="12"/>
  <c r="D85" i="12"/>
  <c r="F3" i="12"/>
  <c r="F4" i="12" s="1"/>
  <c r="F5" i="12" s="1"/>
  <c r="F6" i="12" s="1"/>
  <c r="F7" i="12" s="1"/>
  <c r="F8" i="12" s="1"/>
  <c r="F9" i="12" s="1"/>
  <c r="F10" i="12" s="1"/>
  <c r="F11" i="12" s="1"/>
  <c r="F12" i="12" s="1"/>
  <c r="F13" i="12" s="1"/>
  <c r="F14" i="12" s="1"/>
  <c r="F15" i="12" s="1"/>
  <c r="F16" i="12" s="1"/>
  <c r="F17" i="12" s="1"/>
  <c r="F18" i="12" s="1"/>
  <c r="F19" i="12" s="1"/>
  <c r="F20" i="12" s="1"/>
  <c r="F21" i="12" s="1"/>
  <c r="F22" i="12" s="1"/>
  <c r="F23" i="12" s="1"/>
  <c r="F24" i="12" s="1"/>
  <c r="F25" i="12" s="1"/>
  <c r="F26" i="12" s="1"/>
  <c r="F27" i="12" s="1"/>
  <c r="F28" i="12" s="1"/>
  <c r="F29" i="12" s="1"/>
  <c r="F30" i="12" s="1"/>
  <c r="F31" i="12" s="1"/>
  <c r="F32" i="12" s="1"/>
  <c r="F33" i="12" s="1"/>
  <c r="F34" i="12" s="1"/>
  <c r="F35" i="12" s="1"/>
  <c r="F36" i="12" s="1"/>
  <c r="F37" i="12" s="1"/>
  <c r="F38" i="12" s="1"/>
  <c r="F39" i="12" s="1"/>
  <c r="F40" i="12" s="1"/>
  <c r="F41" i="12" s="1"/>
  <c r="F42" i="12" s="1"/>
  <c r="F43" i="12" s="1"/>
  <c r="F44" i="12" s="1"/>
  <c r="F45" i="12" s="1"/>
  <c r="F46" i="12" s="1"/>
  <c r="F47" i="12" s="1"/>
  <c r="F48" i="12" s="1"/>
  <c r="F49" i="12" s="1"/>
  <c r="F50" i="12" s="1"/>
  <c r="F51" i="12" s="1"/>
  <c r="F52" i="12" s="1"/>
  <c r="F53" i="12" s="1"/>
  <c r="F54" i="12" s="1"/>
  <c r="F55" i="12" s="1"/>
  <c r="F56" i="12" s="1"/>
  <c r="F57" i="12" s="1"/>
  <c r="F58" i="12" s="1"/>
  <c r="F59" i="12" s="1"/>
  <c r="F60" i="12" s="1"/>
  <c r="F61" i="12" s="1"/>
  <c r="F62" i="12" s="1"/>
  <c r="F63" i="12" s="1"/>
  <c r="F64" i="12" s="1"/>
  <c r="F65" i="12" s="1"/>
  <c r="F66" i="12" s="1"/>
  <c r="F67" i="12" s="1"/>
  <c r="F68" i="12" s="1"/>
  <c r="F69" i="12" s="1"/>
  <c r="F70" i="12" s="1"/>
  <c r="F71" i="12" s="1"/>
  <c r="F72" i="12" s="1"/>
  <c r="F73" i="12" s="1"/>
  <c r="F74" i="12" s="1"/>
  <c r="F75" i="12" s="1"/>
  <c r="F76" i="12" s="1"/>
  <c r="F77" i="12" s="1"/>
  <c r="F78" i="12" s="1"/>
  <c r="F79" i="12" s="1"/>
  <c r="F80" i="12" s="1"/>
  <c r="F81" i="12" s="1"/>
  <c r="F82" i="12" s="1"/>
  <c r="F83" i="12" s="1"/>
  <c r="F84" i="12" s="1"/>
  <c r="O8826" i="12" l="1"/>
  <c r="F65" i="22"/>
  <c r="F66" i="22" s="1"/>
  <c r="F67" i="22" s="1"/>
  <c r="F68" i="22" s="1"/>
  <c r="F69" i="22" s="1"/>
  <c r="F70" i="22" s="1"/>
  <c r="F247" i="22"/>
  <c r="F248" i="22" s="1"/>
  <c r="F249" i="22" s="1"/>
  <c r="F250" i="22" s="1"/>
  <c r="F251" i="22" s="1"/>
  <c r="F252" i="22" s="1"/>
  <c r="F253" i="22" s="1"/>
  <c r="F254" i="22" s="1"/>
  <c r="F255" i="22" s="1"/>
  <c r="F256" i="22" s="1"/>
  <c r="F257" i="22" s="1"/>
  <c r="F258" i="22" s="1"/>
  <c r="F259" i="22" s="1"/>
  <c r="F260" i="22" s="1"/>
  <c r="F261" i="22" s="1"/>
  <c r="F262" i="22" s="1"/>
  <c r="F263" i="22" s="1"/>
  <c r="F264" i="22" s="1"/>
  <c r="F265" i="22" s="1"/>
  <c r="F266" i="22" s="1"/>
  <c r="F267" i="22" s="1"/>
  <c r="F268" i="22" s="1"/>
  <c r="F269" i="22" s="1"/>
  <c r="F270" i="22" s="1"/>
  <c r="F271" i="22" s="1"/>
  <c r="F272" i="22" s="1"/>
  <c r="F273" i="22" s="1"/>
  <c r="F274" i="22" s="1"/>
  <c r="F275" i="22" s="1"/>
  <c r="F276" i="22" s="1"/>
  <c r="F171" i="22"/>
  <c r="F172" i="22" s="1"/>
  <c r="F173" i="22" s="1"/>
  <c r="F174" i="22" s="1"/>
  <c r="F175" i="22" s="1"/>
  <c r="F176" i="22" s="1"/>
  <c r="F177" i="22" s="1"/>
  <c r="F178" i="22" s="1"/>
  <c r="F179" i="22" s="1"/>
  <c r="F180" i="22" s="1"/>
  <c r="F181" i="22" s="1"/>
  <c r="F182" i="22" s="1"/>
  <c r="F183" i="22" s="1"/>
  <c r="F184" i="22" s="1"/>
  <c r="F185" i="22" s="1"/>
  <c r="F186" i="22" s="1"/>
  <c r="F187" i="22" s="1"/>
  <c r="F188" i="22" s="1"/>
  <c r="F189" i="22" s="1"/>
  <c r="F190" i="22" s="1"/>
  <c r="F191" i="22" s="1"/>
  <c r="F192" i="22" s="1"/>
  <c r="F193" i="22" s="1"/>
  <c r="F194" i="22" s="1"/>
  <c r="F195" i="22" s="1"/>
  <c r="F85" i="12"/>
  <c r="F86" i="12" s="1"/>
  <c r="F87" i="12" s="1"/>
  <c r="F88" i="12" s="1"/>
  <c r="F89" i="12" s="1"/>
  <c r="F90" i="12" s="1"/>
  <c r="F91" i="12" s="1"/>
  <c r="F92" i="12" s="1"/>
  <c r="F93" i="12" s="1"/>
  <c r="F94" i="12" s="1"/>
  <c r="F95" i="12" s="1"/>
  <c r="F96" i="12" s="1"/>
  <c r="F97" i="12" s="1"/>
  <c r="F98" i="12" s="1"/>
  <c r="F99" i="12" s="1"/>
  <c r="F100" i="12" s="1"/>
  <c r="F101" i="12" s="1"/>
  <c r="F102" i="12" s="1"/>
  <c r="F103" i="12" s="1"/>
  <c r="F104" i="12" s="1"/>
  <c r="F105" i="12" s="1"/>
  <c r="F106" i="12" s="1"/>
  <c r="F107" i="12" s="1"/>
  <c r="F108" i="12" s="1"/>
  <c r="F109" i="12" s="1"/>
  <c r="F110" i="12" s="1"/>
  <c r="F111" i="12" s="1"/>
  <c r="F112" i="12" s="1"/>
  <c r="F113" i="12" s="1"/>
  <c r="F114" i="12" s="1"/>
  <c r="F115" i="12" s="1"/>
  <c r="F116" i="12" s="1"/>
  <c r="F117" i="12" s="1"/>
  <c r="F118" i="12" s="1"/>
  <c r="F119" i="12" s="1"/>
  <c r="F120" i="12" s="1"/>
  <c r="F121" i="12" s="1"/>
  <c r="F122" i="12" s="1"/>
  <c r="F123" i="12" s="1"/>
  <c r="F124" i="12" s="1"/>
  <c r="F125" i="12" s="1"/>
  <c r="F126" i="12" s="1"/>
  <c r="F127" i="12" s="1"/>
  <c r="F128" i="12" s="1"/>
  <c r="F129" i="12" s="1"/>
  <c r="F130" i="12" s="1"/>
  <c r="F131" i="12" s="1"/>
  <c r="F132" i="12" s="1"/>
  <c r="F133" i="12" s="1"/>
  <c r="F134" i="12" s="1"/>
  <c r="F135" i="12" s="1"/>
  <c r="F136" i="12" s="1"/>
  <c r="F137" i="12" s="1"/>
  <c r="F138" i="12" s="1"/>
  <c r="F139" i="12" s="1"/>
  <c r="F140" i="12" s="1"/>
  <c r="F141" i="12" s="1"/>
  <c r="F142" i="12" s="1"/>
  <c r="F143" i="12" s="1"/>
  <c r="F144" i="12" s="1"/>
  <c r="F145" i="12" s="1"/>
  <c r="F146" i="12" s="1"/>
  <c r="F147" i="12" s="1"/>
  <c r="F148" i="12" s="1"/>
  <c r="F149" i="12" s="1"/>
  <c r="F150" i="12" s="1"/>
  <c r="F151" i="12" s="1"/>
  <c r="F152" i="12" s="1"/>
  <c r="F153" i="12" s="1"/>
  <c r="F154" i="12" s="1"/>
  <c r="F155" i="12" s="1"/>
  <c r="F156" i="12" s="1"/>
  <c r="F157" i="12" s="1"/>
  <c r="F158" i="12" s="1"/>
  <c r="F159" i="12" s="1"/>
  <c r="F160" i="12" s="1"/>
  <c r="F161" i="12" s="1"/>
  <c r="F162" i="12" s="1"/>
  <c r="F163" i="12" s="1"/>
  <c r="F164" i="12" s="1"/>
  <c r="F165" i="12" s="1"/>
  <c r="F166" i="12" s="1"/>
  <c r="F167" i="12" s="1"/>
  <c r="F168" i="12" s="1"/>
  <c r="F169" i="12" s="1"/>
  <c r="F170" i="12" s="1"/>
  <c r="F171" i="12" s="1"/>
  <c r="F172" i="12" s="1"/>
  <c r="F173" i="12" s="1"/>
  <c r="F174" i="12" s="1"/>
  <c r="F175" i="12" s="1"/>
  <c r="F176" i="12" s="1"/>
  <c r="F177" i="12" s="1"/>
  <c r="F178" i="12" s="1"/>
  <c r="F179" i="12" s="1"/>
  <c r="F180" i="12" s="1"/>
  <c r="F181" i="12" s="1"/>
  <c r="F182" i="12" s="1"/>
  <c r="F183" i="12" s="1"/>
  <c r="F184" i="12" s="1"/>
  <c r="F185" i="12" s="1"/>
  <c r="F186" i="12" s="1"/>
  <c r="F187" i="12" s="1"/>
  <c r="F188" i="12" s="1"/>
  <c r="F189" i="12" s="1"/>
  <c r="F190" i="12" s="1"/>
  <c r="F191" i="12" s="1"/>
  <c r="F192" i="12" s="1"/>
  <c r="F193" i="12" s="1"/>
  <c r="F194" i="12" s="1"/>
  <c r="F195" i="12" s="1"/>
  <c r="F196" i="12" s="1"/>
  <c r="F197" i="12" s="1"/>
  <c r="F198" i="12" s="1"/>
  <c r="F199" i="12" s="1"/>
  <c r="F200" i="12" s="1"/>
  <c r="F201" i="12" s="1"/>
  <c r="F202" i="12" s="1"/>
  <c r="F203" i="12" s="1"/>
  <c r="F204" i="12" s="1"/>
  <c r="F205" i="12" s="1"/>
  <c r="F206" i="12" s="1"/>
  <c r="F207" i="12" s="1"/>
  <c r="F208" i="12" s="1"/>
  <c r="F209" i="12" s="1"/>
  <c r="F210" i="12" s="1"/>
  <c r="F211" i="12" s="1"/>
  <c r="F212" i="12" s="1"/>
  <c r="F213" i="12" s="1"/>
  <c r="F214" i="12" s="1"/>
  <c r="F215" i="12" s="1"/>
  <c r="F216" i="12" s="1"/>
  <c r="F217" i="12" s="1"/>
  <c r="F218" i="12" s="1"/>
  <c r="F219" i="12" s="1"/>
  <c r="F220" i="12" s="1"/>
  <c r="F221" i="12" s="1"/>
  <c r="F222" i="12" s="1"/>
  <c r="F223" i="12" s="1"/>
  <c r="F224" i="12" s="1"/>
  <c r="F225" i="12" s="1"/>
  <c r="F226" i="12" s="1"/>
  <c r="F227" i="12" s="1"/>
  <c r="F228" i="12" s="1"/>
  <c r="F229" i="12" s="1"/>
  <c r="F230" i="12" s="1"/>
  <c r="F231" i="12" s="1"/>
  <c r="F232" i="12" s="1"/>
  <c r="F233" i="12" s="1"/>
  <c r="F234" i="12" s="1"/>
  <c r="F235" i="12" s="1"/>
  <c r="F236" i="12" s="1"/>
  <c r="F237" i="12" s="1"/>
  <c r="F238" i="12" s="1"/>
  <c r="F239" i="12" s="1"/>
  <c r="F240" i="12" s="1"/>
  <c r="F241" i="12" s="1"/>
  <c r="F242" i="12" s="1"/>
  <c r="F243" i="12" s="1"/>
  <c r="F244" i="12" s="1"/>
  <c r="F245" i="12" s="1"/>
  <c r="F246" i="12" s="1"/>
  <c r="F247" i="12" s="1"/>
  <c r="F248" i="12" s="1"/>
  <c r="F249" i="12" s="1"/>
  <c r="F250" i="12" s="1"/>
  <c r="F251" i="12" s="1"/>
  <c r="F252" i="12" s="1"/>
  <c r="F253" i="12" s="1"/>
  <c r="F254" i="12" s="1"/>
  <c r="F255" i="12" s="1"/>
  <c r="F256" i="12" s="1"/>
  <c r="F257" i="12" s="1"/>
  <c r="F258" i="12" s="1"/>
  <c r="F259" i="12" s="1"/>
  <c r="F260" i="12" s="1"/>
  <c r="F261" i="12" s="1"/>
  <c r="F262" i="12" s="1"/>
  <c r="F263" i="12" s="1"/>
  <c r="F264" i="12" s="1"/>
  <c r="F265" i="12" s="1"/>
  <c r="F266" i="12" s="1"/>
  <c r="F267" i="12" s="1"/>
  <c r="F268" i="12" s="1"/>
  <c r="F269" i="12" s="1"/>
  <c r="F270" i="12" s="1"/>
  <c r="F271" i="12" s="1"/>
  <c r="F272" i="12" s="1"/>
  <c r="F273" i="12" s="1"/>
  <c r="F274" i="12" s="1"/>
  <c r="F275" i="12" s="1"/>
  <c r="F276" i="12" s="1"/>
  <c r="F277" i="12" s="1"/>
  <c r="F278" i="12" s="1"/>
  <c r="F279" i="12" s="1"/>
  <c r="F280" i="12" s="1"/>
  <c r="F281" i="12" s="1"/>
  <c r="F282" i="12" s="1"/>
  <c r="F283" i="12" s="1"/>
  <c r="F284" i="12" s="1"/>
  <c r="F285" i="12" s="1"/>
  <c r="F286" i="12" s="1"/>
  <c r="F287" i="12" s="1"/>
  <c r="F288" i="12" s="1"/>
  <c r="F289" i="12" s="1"/>
  <c r="F290" i="12" s="1"/>
  <c r="F291" i="12" s="1"/>
  <c r="F292" i="12" s="1"/>
  <c r="F293" i="12" s="1"/>
  <c r="F294" i="12" s="1"/>
  <c r="F295" i="12" s="1"/>
  <c r="F296" i="12" s="1"/>
  <c r="F297" i="12" s="1"/>
  <c r="F298" i="12" s="1"/>
  <c r="F299" i="12" s="1"/>
  <c r="F300" i="12" s="1"/>
  <c r="F301" i="12" s="1"/>
  <c r="F302" i="12" s="1"/>
  <c r="F303" i="12" s="1"/>
  <c r="F304" i="12" s="1"/>
  <c r="F305" i="12" s="1"/>
  <c r="F306" i="12" s="1"/>
  <c r="F307" i="12" s="1"/>
  <c r="F308" i="12" s="1"/>
  <c r="F309" i="12" s="1"/>
  <c r="F310" i="12" s="1"/>
  <c r="F311" i="12" s="1"/>
  <c r="F312" i="12" s="1"/>
  <c r="F313" i="12" s="1"/>
  <c r="F314" i="12" s="1"/>
  <c r="F315" i="12" s="1"/>
  <c r="F316" i="12" s="1"/>
  <c r="F317" i="12" s="1"/>
  <c r="F318" i="12" s="1"/>
  <c r="F319" i="12" s="1"/>
  <c r="F320" i="12" s="1"/>
  <c r="F321" i="12" s="1"/>
  <c r="F322" i="12" s="1"/>
  <c r="F323" i="12" s="1"/>
  <c r="F324" i="12" s="1"/>
  <c r="F325" i="12" s="1"/>
  <c r="F326" i="12" s="1"/>
  <c r="F327" i="12" s="1"/>
  <c r="F328" i="12" s="1"/>
  <c r="F329" i="12" s="1"/>
  <c r="F330" i="12" s="1"/>
  <c r="F331" i="12" s="1"/>
  <c r="F332" i="12" s="1"/>
  <c r="F333" i="12" s="1"/>
  <c r="F334" i="12" s="1"/>
  <c r="F335" i="12" s="1"/>
  <c r="F336" i="12" s="1"/>
  <c r="F337" i="12" s="1"/>
  <c r="F338" i="12" s="1"/>
  <c r="F339" i="12" s="1"/>
  <c r="F340" i="12" s="1"/>
  <c r="F341" i="12" s="1"/>
  <c r="F342" i="12" s="1"/>
  <c r="F343" i="12" s="1"/>
  <c r="F344" i="12" s="1"/>
  <c r="F345" i="12" s="1"/>
  <c r="F346" i="12" s="1"/>
  <c r="F347" i="12" s="1"/>
  <c r="F348" i="12" s="1"/>
  <c r="F349" i="12" s="1"/>
  <c r="F350" i="12" s="1"/>
  <c r="F351" i="12" s="1"/>
  <c r="F352" i="12" s="1"/>
  <c r="F353" i="12" s="1"/>
  <c r="F354" i="12" s="1"/>
  <c r="F355" i="12" s="1"/>
  <c r="F356" i="12" s="1"/>
  <c r="F357" i="12" s="1"/>
  <c r="F358" i="12" s="1"/>
  <c r="F359" i="12" s="1"/>
  <c r="F360" i="12" s="1"/>
  <c r="F361" i="12" s="1"/>
  <c r="F362" i="12" s="1"/>
  <c r="F363" i="12" s="1"/>
  <c r="F364" i="12" s="1"/>
  <c r="F365" i="12" s="1"/>
  <c r="F366" i="12" s="1"/>
  <c r="F367" i="12" s="1"/>
  <c r="F368" i="12" s="1"/>
  <c r="F369" i="12" s="1"/>
  <c r="F370" i="12" s="1"/>
  <c r="F371" i="12" s="1"/>
  <c r="F372" i="12" s="1"/>
  <c r="F373" i="12" s="1"/>
  <c r="F374" i="12" s="1"/>
  <c r="F375" i="12" s="1"/>
  <c r="F376" i="12" s="1"/>
  <c r="F377" i="12" s="1"/>
  <c r="F378" i="12" s="1"/>
  <c r="F379" i="12" s="1"/>
  <c r="F380" i="12" s="1"/>
  <c r="F381" i="12" s="1"/>
  <c r="F382" i="12" s="1"/>
  <c r="F383" i="12" s="1"/>
  <c r="F384" i="12" s="1"/>
  <c r="F385" i="12" s="1"/>
  <c r="F386" i="12" s="1"/>
  <c r="F387" i="12" s="1"/>
  <c r="F388" i="12" s="1"/>
  <c r="F389" i="12" s="1"/>
  <c r="F390" i="12" s="1"/>
  <c r="F391" i="12" s="1"/>
  <c r="F392" i="12" s="1"/>
  <c r="F393" i="12" s="1"/>
  <c r="F394" i="12" s="1"/>
  <c r="F395" i="12" s="1"/>
  <c r="F396" i="12" s="1"/>
  <c r="F397" i="12" s="1"/>
  <c r="F398" i="12" s="1"/>
  <c r="F399" i="12" s="1"/>
  <c r="F400" i="12" s="1"/>
  <c r="F401" i="12" s="1"/>
  <c r="F402" i="12" s="1"/>
  <c r="F403" i="12" s="1"/>
  <c r="F404" i="12" s="1"/>
  <c r="F405" i="12" s="1"/>
  <c r="F406" i="12" s="1"/>
  <c r="F407" i="12" s="1"/>
  <c r="F408" i="12" s="1"/>
  <c r="F409" i="12" s="1"/>
  <c r="F410" i="12" s="1"/>
  <c r="F411" i="12" s="1"/>
  <c r="F412" i="12" s="1"/>
  <c r="F413" i="12" s="1"/>
  <c r="F414" i="12" s="1"/>
  <c r="F415" i="12" s="1"/>
  <c r="F416" i="12" s="1"/>
  <c r="F417" i="12" s="1"/>
  <c r="F418" i="12" s="1"/>
  <c r="F419" i="12" s="1"/>
  <c r="F420" i="12" s="1"/>
  <c r="F421" i="12" s="1"/>
  <c r="F422" i="12" s="1"/>
  <c r="F423" i="12" s="1"/>
  <c r="F424" i="12" s="1"/>
  <c r="F425" i="12" s="1"/>
  <c r="F426" i="12" s="1"/>
  <c r="F427" i="12" s="1"/>
  <c r="F428" i="12" s="1"/>
  <c r="F429" i="12" s="1"/>
  <c r="F430" i="12" s="1"/>
  <c r="F431" i="12" s="1"/>
  <c r="F432" i="12" s="1"/>
  <c r="F433" i="12" s="1"/>
  <c r="F434" i="12" s="1"/>
  <c r="F435" i="12" s="1"/>
  <c r="F436" i="12" s="1"/>
  <c r="F437" i="12" s="1"/>
  <c r="F438" i="12" s="1"/>
  <c r="F439" i="12" s="1"/>
  <c r="F440" i="12" s="1"/>
  <c r="F441" i="12" s="1"/>
  <c r="F442" i="12" s="1"/>
  <c r="F443" i="12" s="1"/>
  <c r="F444" i="12" s="1"/>
  <c r="F445" i="12" s="1"/>
  <c r="F446" i="12" s="1"/>
  <c r="F447" i="12" s="1"/>
  <c r="F448" i="12" s="1"/>
  <c r="F449" i="12" s="1"/>
  <c r="F450" i="12" s="1"/>
  <c r="F451" i="12" s="1"/>
  <c r="F452" i="12" s="1"/>
  <c r="F453" i="12" s="1"/>
  <c r="F454" i="12" s="1"/>
  <c r="F455" i="12" s="1"/>
  <c r="F456" i="12" s="1"/>
  <c r="F457" i="12" s="1"/>
  <c r="F458" i="12" s="1"/>
  <c r="F459" i="12" s="1"/>
  <c r="F460" i="12" s="1"/>
  <c r="F461" i="12" s="1"/>
  <c r="F462" i="12" s="1"/>
  <c r="F463" i="12" s="1"/>
  <c r="F464" i="12" s="1"/>
  <c r="F465" i="12" s="1"/>
  <c r="F466" i="12" s="1"/>
  <c r="F467" i="12" s="1"/>
  <c r="F468" i="12" s="1"/>
  <c r="F469" i="12" s="1"/>
  <c r="F470" i="12" s="1"/>
  <c r="F471" i="12" s="1"/>
  <c r="F472" i="12" s="1"/>
  <c r="F473" i="12" s="1"/>
  <c r="F474" i="12" s="1"/>
  <c r="F475" i="12" s="1"/>
  <c r="F476" i="12" s="1"/>
  <c r="F477" i="12" s="1"/>
  <c r="F478" i="12" s="1"/>
  <c r="F479" i="12" s="1"/>
  <c r="F480" i="12" s="1"/>
  <c r="F481" i="12" s="1"/>
  <c r="F482" i="12" s="1"/>
  <c r="F483" i="12" s="1"/>
  <c r="F484" i="12" s="1"/>
  <c r="F485" i="12" s="1"/>
  <c r="F486" i="12" s="1"/>
  <c r="F487" i="12" s="1"/>
  <c r="F488" i="12" s="1"/>
  <c r="F489" i="12" s="1"/>
  <c r="F490" i="12" s="1"/>
  <c r="F491" i="12" s="1"/>
  <c r="F492" i="12" s="1"/>
  <c r="F493" i="12" s="1"/>
  <c r="F494" i="12" s="1"/>
  <c r="F495" i="12" s="1"/>
  <c r="F496" i="12" s="1"/>
  <c r="F497" i="12" s="1"/>
  <c r="F498" i="12" s="1"/>
  <c r="F499" i="12" s="1"/>
  <c r="F500" i="12" s="1"/>
  <c r="F501" i="12" s="1"/>
  <c r="F502" i="12" s="1"/>
  <c r="F503" i="12" s="1"/>
  <c r="F504" i="12" s="1"/>
  <c r="F505" i="12" s="1"/>
  <c r="F506" i="12" s="1"/>
  <c r="F507" i="12" s="1"/>
  <c r="F508" i="12" s="1"/>
  <c r="F509" i="12" s="1"/>
  <c r="F510" i="12" s="1"/>
  <c r="F511" i="12" s="1"/>
  <c r="F512" i="12" s="1"/>
  <c r="F513" i="12" s="1"/>
  <c r="F514" i="12" s="1"/>
  <c r="F515" i="12" s="1"/>
  <c r="F516" i="12" s="1"/>
  <c r="F517" i="12" s="1"/>
  <c r="F518" i="12" s="1"/>
  <c r="F519" i="12" s="1"/>
  <c r="F520" i="12" s="1"/>
  <c r="F521" i="12" s="1"/>
  <c r="F522" i="12" s="1"/>
  <c r="F523" i="12" s="1"/>
  <c r="F524" i="12" s="1"/>
  <c r="F525" i="12" s="1"/>
  <c r="F526" i="12" s="1"/>
  <c r="F527" i="12" s="1"/>
  <c r="F528" i="12" s="1"/>
  <c r="F529" i="12" s="1"/>
  <c r="F530" i="12" s="1"/>
  <c r="F531" i="12" s="1"/>
  <c r="F532" i="12" s="1"/>
  <c r="F533" i="12" s="1"/>
  <c r="F534" i="12" s="1"/>
  <c r="F535" i="12" s="1"/>
  <c r="F536" i="12" s="1"/>
  <c r="F537" i="12" s="1"/>
  <c r="F538" i="12" s="1"/>
  <c r="F539" i="12" s="1"/>
  <c r="F540" i="12" s="1"/>
  <c r="F541" i="12" s="1"/>
  <c r="F542" i="12" s="1"/>
  <c r="F543" i="12" s="1"/>
  <c r="F544" i="12" s="1"/>
  <c r="F545" i="12" s="1"/>
  <c r="F546" i="12" s="1"/>
  <c r="F547" i="12" s="1"/>
  <c r="F548" i="12" s="1"/>
  <c r="F549" i="12" s="1"/>
  <c r="F550" i="12" s="1"/>
  <c r="F551" i="12" s="1"/>
  <c r="F552" i="12" s="1"/>
  <c r="F553" i="12" s="1"/>
  <c r="F554" i="12" s="1"/>
  <c r="F555" i="12" s="1"/>
  <c r="F556" i="12" s="1"/>
  <c r="F557" i="12" s="1"/>
  <c r="F558" i="12" s="1"/>
  <c r="F559" i="12" s="1"/>
  <c r="F560" i="12" s="1"/>
  <c r="F561" i="12" s="1"/>
  <c r="F562" i="12" s="1"/>
  <c r="F563" i="12" s="1"/>
  <c r="F564" i="12" s="1"/>
  <c r="F565" i="12" s="1"/>
  <c r="F566" i="12" s="1"/>
  <c r="F567" i="12" s="1"/>
  <c r="F568" i="12" s="1"/>
  <c r="F569" i="12" s="1"/>
  <c r="F570" i="12" s="1"/>
  <c r="F571" i="12" s="1"/>
  <c r="F572" i="12" s="1"/>
  <c r="F573" i="12" s="1"/>
  <c r="F574" i="12" s="1"/>
  <c r="F575" i="12" s="1"/>
  <c r="F576" i="12" s="1"/>
  <c r="F577" i="12" s="1"/>
  <c r="F578" i="12" s="1"/>
  <c r="F579" i="12" s="1"/>
  <c r="F580" i="12" s="1"/>
  <c r="F581" i="12" s="1"/>
  <c r="F582" i="12" s="1"/>
  <c r="F583" i="12" s="1"/>
  <c r="F584" i="12" s="1"/>
  <c r="F585" i="12" s="1"/>
  <c r="F586" i="12" s="1"/>
  <c r="F587" i="12" s="1"/>
  <c r="F588" i="12" s="1"/>
  <c r="F589" i="12" s="1"/>
  <c r="F590" i="12" s="1"/>
  <c r="F591" i="12" s="1"/>
  <c r="F592" i="12" s="1"/>
  <c r="F593" i="12" s="1"/>
  <c r="F594" i="12" s="1"/>
  <c r="F595" i="12" s="1"/>
  <c r="F596" i="12" s="1"/>
  <c r="F597" i="12" s="1"/>
  <c r="F598" i="12" s="1"/>
  <c r="F599" i="12" s="1"/>
  <c r="F600" i="12" s="1"/>
  <c r="F601" i="12" s="1"/>
  <c r="F602" i="12" s="1"/>
  <c r="F603" i="12" s="1"/>
  <c r="F604" i="12" s="1"/>
  <c r="F605" i="12" s="1"/>
  <c r="F606" i="12" s="1"/>
  <c r="F607" i="12" s="1"/>
  <c r="F608" i="12" s="1"/>
  <c r="F609" i="12" s="1"/>
  <c r="F610" i="12" s="1"/>
  <c r="F611" i="12" s="1"/>
  <c r="F612" i="12" s="1"/>
  <c r="F613" i="12" s="1"/>
  <c r="F614" i="12" s="1"/>
  <c r="F615" i="12" s="1"/>
  <c r="F616" i="12" s="1"/>
  <c r="F617" i="12" s="1"/>
  <c r="F618" i="12" s="1"/>
  <c r="F619" i="12" s="1"/>
  <c r="F620" i="12" s="1"/>
  <c r="F621" i="12" s="1"/>
  <c r="F622" i="12" s="1"/>
  <c r="F623" i="12" s="1"/>
  <c r="F624" i="12" s="1"/>
  <c r="F625" i="12" s="1"/>
  <c r="F626" i="12" s="1"/>
  <c r="F627" i="12" s="1"/>
  <c r="F628" i="12" s="1"/>
  <c r="F629" i="12" s="1"/>
  <c r="F630" i="12" s="1"/>
  <c r="F631" i="12" s="1"/>
  <c r="F632" i="12" s="1"/>
  <c r="F633" i="12" s="1"/>
  <c r="F634" i="12" s="1"/>
  <c r="F635" i="12" s="1"/>
  <c r="F636" i="12" s="1"/>
  <c r="F637" i="12" s="1"/>
  <c r="F638" i="12" s="1"/>
  <c r="F639" i="12" s="1"/>
  <c r="F640" i="12" s="1"/>
  <c r="F641" i="12" s="1"/>
  <c r="F642" i="12" s="1"/>
  <c r="F643" i="12" s="1"/>
  <c r="F644" i="12" s="1"/>
  <c r="F645" i="12" s="1"/>
  <c r="F646" i="12" s="1"/>
  <c r="F647" i="12" s="1"/>
  <c r="F648" i="12" s="1"/>
  <c r="F649" i="12" s="1"/>
  <c r="F650" i="12" s="1"/>
  <c r="F651" i="12" s="1"/>
  <c r="F652" i="12" s="1"/>
  <c r="F653" i="12" s="1"/>
  <c r="F654" i="12" s="1"/>
  <c r="F655" i="12" s="1"/>
  <c r="F656" i="12" s="1"/>
  <c r="F657" i="12" s="1"/>
  <c r="F658" i="12" s="1"/>
  <c r="F659" i="12" s="1"/>
  <c r="F660" i="12" s="1"/>
  <c r="F661" i="12" s="1"/>
  <c r="F662" i="12" s="1"/>
  <c r="F663" i="12" s="1"/>
  <c r="F664" i="12" s="1"/>
  <c r="F665" i="12" s="1"/>
  <c r="F666" i="12" s="1"/>
  <c r="F667" i="12" s="1"/>
  <c r="F668" i="12" s="1"/>
  <c r="F669" i="12" s="1"/>
  <c r="F670" i="12" s="1"/>
  <c r="F671" i="12" s="1"/>
  <c r="F672" i="12" s="1"/>
  <c r="F673" i="12" s="1"/>
  <c r="F674" i="12" s="1"/>
  <c r="F675" i="12" s="1"/>
  <c r="F676" i="12" s="1"/>
  <c r="F677" i="12" s="1"/>
  <c r="F678" i="12" s="1"/>
  <c r="F679" i="12" s="1"/>
  <c r="F680" i="12" s="1"/>
  <c r="F681" i="12" s="1"/>
  <c r="F682" i="12" s="1"/>
  <c r="F683" i="12" s="1"/>
  <c r="F684" i="12" s="1"/>
  <c r="F685" i="12" s="1"/>
  <c r="F686" i="12" s="1"/>
  <c r="F687" i="12" s="1"/>
  <c r="F688" i="12" s="1"/>
  <c r="F689" i="12" s="1"/>
  <c r="F690" i="12" s="1"/>
  <c r="F691" i="12" s="1"/>
  <c r="F692" i="12" s="1"/>
  <c r="F693" i="12" s="1"/>
  <c r="F694" i="12" s="1"/>
  <c r="F695" i="12" s="1"/>
  <c r="F696" i="12" s="1"/>
  <c r="F697" i="12" s="1"/>
  <c r="F698" i="12" s="1"/>
  <c r="F699" i="12" s="1"/>
  <c r="F700" i="12" s="1"/>
  <c r="F701" i="12" s="1"/>
  <c r="F702" i="12" s="1"/>
  <c r="F703" i="12" s="1"/>
  <c r="F704" i="12" s="1"/>
  <c r="F705" i="12" s="1"/>
  <c r="F706" i="12" s="1"/>
  <c r="F707" i="12" s="1"/>
  <c r="F708" i="12" s="1"/>
  <c r="F709" i="12" s="1"/>
  <c r="F710" i="12" s="1"/>
  <c r="F711" i="12" s="1"/>
  <c r="F712" i="12" s="1"/>
  <c r="F713" i="12" s="1"/>
  <c r="F714" i="12" s="1"/>
  <c r="F715" i="12" s="1"/>
  <c r="F716" i="12" s="1"/>
  <c r="F717" i="12" s="1"/>
  <c r="F718" i="12" s="1"/>
  <c r="F719" i="12" s="1"/>
  <c r="F720" i="12" s="1"/>
  <c r="F721" i="12" s="1"/>
  <c r="F722" i="12" s="1"/>
  <c r="F723" i="12" s="1"/>
  <c r="F724" i="12" s="1"/>
  <c r="F725" i="12" s="1"/>
  <c r="F726" i="12" s="1"/>
  <c r="F727" i="12" s="1"/>
  <c r="F728" i="12" s="1"/>
  <c r="F729" i="12" s="1"/>
  <c r="F730" i="12" s="1"/>
  <c r="F731" i="12" s="1"/>
  <c r="F732" i="12" s="1"/>
  <c r="F733" i="12" s="1"/>
  <c r="F734" i="12" s="1"/>
  <c r="F735" i="12" s="1"/>
  <c r="F736" i="12" s="1"/>
  <c r="F737" i="12" s="1"/>
  <c r="F738" i="12" s="1"/>
  <c r="F739" i="12" s="1"/>
  <c r="F740" i="12" s="1"/>
  <c r="F741" i="12" s="1"/>
  <c r="F742" i="12" s="1"/>
  <c r="F743" i="12" s="1"/>
  <c r="F744" i="12" s="1"/>
  <c r="F745" i="12" s="1"/>
  <c r="F746" i="12" s="1"/>
  <c r="F747" i="12" s="1"/>
  <c r="F748" i="12" s="1"/>
  <c r="F749" i="12" s="1"/>
  <c r="F750" i="12" s="1"/>
  <c r="F751" i="12" s="1"/>
  <c r="F752" i="12" s="1"/>
  <c r="F753" i="12" s="1"/>
  <c r="F754" i="12" s="1"/>
  <c r="F755" i="12" s="1"/>
  <c r="F756" i="12" s="1"/>
  <c r="F757" i="12" s="1"/>
  <c r="F758" i="12" s="1"/>
  <c r="F759" i="12" s="1"/>
  <c r="F760" i="12" s="1"/>
  <c r="F761" i="12" s="1"/>
  <c r="F762" i="12" s="1"/>
  <c r="F763" i="12" s="1"/>
  <c r="F764" i="12" s="1"/>
  <c r="F765" i="12" s="1"/>
  <c r="F766" i="12" s="1"/>
  <c r="F767" i="12" s="1"/>
  <c r="F768" i="12" s="1"/>
  <c r="F769" i="12" s="1"/>
  <c r="F770" i="12" s="1"/>
  <c r="F771" i="12" s="1"/>
  <c r="F772" i="12" s="1"/>
  <c r="F773" i="12" s="1"/>
  <c r="F774" i="12" s="1"/>
  <c r="F775" i="12" s="1"/>
  <c r="F776" i="12" s="1"/>
  <c r="F777" i="12" s="1"/>
  <c r="F778" i="12" s="1"/>
  <c r="F779" i="12" s="1"/>
  <c r="F780" i="12" s="1"/>
  <c r="F781" i="12" s="1"/>
  <c r="F782" i="12" s="1"/>
  <c r="F783" i="12" s="1"/>
  <c r="F784" i="12" s="1"/>
  <c r="F785" i="12" s="1"/>
  <c r="F786" i="12" s="1"/>
  <c r="F787" i="12" s="1"/>
  <c r="F788" i="12" s="1"/>
  <c r="F789" i="12" s="1"/>
  <c r="F790" i="12" s="1"/>
  <c r="F791" i="12" s="1"/>
  <c r="F792" i="12" s="1"/>
  <c r="F793" i="12" s="1"/>
  <c r="F794" i="12" s="1"/>
  <c r="F795" i="12" s="1"/>
  <c r="F796" i="12" s="1"/>
  <c r="F797" i="12" s="1"/>
  <c r="F798" i="12" s="1"/>
  <c r="F799" i="12" s="1"/>
  <c r="F800" i="12" s="1"/>
  <c r="F801" i="12" s="1"/>
  <c r="F802" i="12" s="1"/>
  <c r="F803" i="12" s="1"/>
  <c r="F804" i="12" s="1"/>
  <c r="F805" i="12" s="1"/>
  <c r="F806" i="12" s="1"/>
  <c r="F807" i="12" s="1"/>
  <c r="F808" i="12" s="1"/>
  <c r="F809" i="12" s="1"/>
  <c r="F810" i="12" s="1"/>
  <c r="F811" i="12" s="1"/>
  <c r="F812" i="12" s="1"/>
  <c r="F813" i="12" s="1"/>
  <c r="F814" i="12" s="1"/>
  <c r="F815" i="12" s="1"/>
  <c r="F816" i="12" s="1"/>
  <c r="F817" i="12" s="1"/>
  <c r="F818" i="12" s="1"/>
  <c r="F819" i="12" s="1"/>
  <c r="F820" i="12" s="1"/>
  <c r="F821" i="12" s="1"/>
  <c r="F822" i="12" s="1"/>
  <c r="F823" i="12" s="1"/>
  <c r="F824" i="12" s="1"/>
  <c r="F825" i="12" s="1"/>
  <c r="F826" i="12" s="1"/>
  <c r="F827" i="12" s="1"/>
  <c r="F828" i="12" s="1"/>
  <c r="F829" i="12" s="1"/>
  <c r="F830" i="12" s="1"/>
  <c r="F831" i="12" s="1"/>
  <c r="F832" i="12" s="1"/>
  <c r="F833" i="12" s="1"/>
  <c r="F834" i="12" s="1"/>
  <c r="F835" i="12" s="1"/>
  <c r="F836" i="12" s="1"/>
  <c r="F837" i="12" s="1"/>
  <c r="F838" i="12" s="1"/>
  <c r="F839" i="12" s="1"/>
  <c r="F840" i="12" s="1"/>
  <c r="F841" i="12" s="1"/>
  <c r="F842" i="12" s="1"/>
  <c r="F843" i="12" s="1"/>
  <c r="F844" i="12" s="1"/>
  <c r="F845" i="12" s="1"/>
  <c r="F846" i="12" s="1"/>
  <c r="F847" i="12" s="1"/>
  <c r="F848" i="12" s="1"/>
  <c r="F849" i="12" s="1"/>
  <c r="F850" i="12" s="1"/>
  <c r="F851" i="12" s="1"/>
  <c r="F852" i="12" s="1"/>
  <c r="F853" i="12" s="1"/>
  <c r="F854" i="12" s="1"/>
  <c r="F855" i="12" s="1"/>
  <c r="F856" i="12" s="1"/>
  <c r="F857" i="12" s="1"/>
  <c r="F858" i="12" s="1"/>
  <c r="F859" i="12" s="1"/>
  <c r="F860" i="12" s="1"/>
  <c r="F861" i="12" s="1"/>
  <c r="F862" i="12" s="1"/>
  <c r="F863" i="12" s="1"/>
  <c r="F864" i="12" s="1"/>
  <c r="F865" i="12" s="1"/>
  <c r="F866" i="12" s="1"/>
  <c r="F867" i="12" s="1"/>
  <c r="F868" i="12" s="1"/>
  <c r="F869" i="12" s="1"/>
  <c r="F870" i="12" s="1"/>
  <c r="F871" i="12" s="1"/>
  <c r="F872" i="12" s="1"/>
  <c r="F873" i="12" s="1"/>
  <c r="F874" i="12" s="1"/>
  <c r="F875" i="12" s="1"/>
  <c r="F876" i="12" s="1"/>
  <c r="F877" i="12" s="1"/>
  <c r="F878" i="12" s="1"/>
  <c r="F879" i="12" s="1"/>
  <c r="F880" i="12" s="1"/>
  <c r="F881" i="12" s="1"/>
  <c r="F882" i="12" s="1"/>
  <c r="F883" i="12" s="1"/>
  <c r="F884" i="12" s="1"/>
  <c r="F885" i="12" s="1"/>
  <c r="F886" i="12" s="1"/>
  <c r="F887" i="12" s="1"/>
  <c r="F888" i="12" s="1"/>
  <c r="F889" i="12" s="1"/>
  <c r="F890" i="12" s="1"/>
  <c r="F891" i="12" s="1"/>
  <c r="F892" i="12" s="1"/>
  <c r="F893" i="12" s="1"/>
  <c r="F894" i="12" s="1"/>
  <c r="F895" i="12" s="1"/>
  <c r="F896" i="12" s="1"/>
  <c r="F897" i="12" s="1"/>
  <c r="F898" i="12" s="1"/>
  <c r="F899" i="12" s="1"/>
  <c r="F900" i="12" s="1"/>
  <c r="F901" i="12" s="1"/>
  <c r="F902" i="12" s="1"/>
  <c r="F903" i="12" s="1"/>
  <c r="F904" i="12" s="1"/>
  <c r="F905" i="12" s="1"/>
  <c r="F906" i="12" s="1"/>
  <c r="F907" i="12" s="1"/>
  <c r="F908" i="12" s="1"/>
  <c r="F909" i="12" s="1"/>
  <c r="F910" i="12" s="1"/>
  <c r="F911" i="12" s="1"/>
  <c r="F912" i="12" s="1"/>
  <c r="F913" i="12" s="1"/>
  <c r="F914" i="12" s="1"/>
  <c r="F915" i="12" s="1"/>
  <c r="F916" i="12" s="1"/>
  <c r="F917" i="12" s="1"/>
  <c r="F918" i="12" s="1"/>
  <c r="F919" i="12" s="1"/>
  <c r="F920" i="12" s="1"/>
  <c r="F921" i="12" s="1"/>
  <c r="F922" i="12" s="1"/>
  <c r="F923" i="12" s="1"/>
  <c r="F924" i="12" s="1"/>
  <c r="F925" i="12" s="1"/>
  <c r="F926" i="12" s="1"/>
  <c r="F927" i="12" s="1"/>
  <c r="F928" i="12" s="1"/>
  <c r="F929" i="12" s="1"/>
  <c r="F930" i="12" s="1"/>
  <c r="F931" i="12" s="1"/>
  <c r="F932" i="12" s="1"/>
  <c r="F933" i="12" s="1"/>
  <c r="F934" i="12" s="1"/>
  <c r="F935" i="12" s="1"/>
  <c r="F936" i="12" s="1"/>
  <c r="F937" i="12" s="1"/>
  <c r="F938" i="12" s="1"/>
  <c r="F939" i="12" s="1"/>
  <c r="F940" i="12" s="1"/>
  <c r="F941" i="12" s="1"/>
  <c r="F942" i="12" s="1"/>
  <c r="F943" i="12" s="1"/>
  <c r="F944" i="12" s="1"/>
  <c r="F945" i="12" s="1"/>
  <c r="F946" i="12" s="1"/>
  <c r="F947" i="12" s="1"/>
  <c r="F948" i="12" s="1"/>
  <c r="F949" i="12" s="1"/>
  <c r="F950" i="12" s="1"/>
  <c r="F951" i="12" s="1"/>
  <c r="F952" i="12" s="1"/>
  <c r="F953" i="12" s="1"/>
  <c r="F954" i="12" s="1"/>
  <c r="F955" i="12" s="1"/>
  <c r="F956" i="12" s="1"/>
  <c r="F957" i="12" s="1"/>
  <c r="F958" i="12" s="1"/>
  <c r="F959" i="12" s="1"/>
  <c r="F960" i="12" s="1"/>
  <c r="F961" i="12" s="1"/>
  <c r="F962" i="12" s="1"/>
  <c r="F963" i="12" s="1"/>
  <c r="F964" i="12" s="1"/>
  <c r="F965" i="12" s="1"/>
  <c r="F966" i="12" s="1"/>
  <c r="F967" i="12" s="1"/>
  <c r="F968" i="12" s="1"/>
  <c r="F969" i="12" s="1"/>
  <c r="F970" i="12" s="1"/>
  <c r="F971" i="12" s="1"/>
  <c r="F972" i="12" s="1"/>
  <c r="F973" i="12" s="1"/>
  <c r="F974" i="12" s="1"/>
  <c r="F975" i="12" s="1"/>
  <c r="F976" i="12" s="1"/>
  <c r="F977" i="12" s="1"/>
  <c r="F978" i="12" s="1"/>
  <c r="F979" i="12" s="1"/>
  <c r="F980" i="12" s="1"/>
  <c r="F981" i="12" s="1"/>
  <c r="F982" i="12" s="1"/>
  <c r="F983" i="12" s="1"/>
  <c r="F984" i="12" s="1"/>
  <c r="F985" i="12" s="1"/>
  <c r="F986" i="12" s="1"/>
  <c r="F987" i="12" s="1"/>
  <c r="F988" i="12" s="1"/>
  <c r="F989" i="12" s="1"/>
  <c r="F990" i="12" s="1"/>
  <c r="F991" i="12" s="1"/>
  <c r="F992" i="12" s="1"/>
  <c r="F993" i="12" s="1"/>
  <c r="F994" i="12" s="1"/>
  <c r="F995" i="12" s="1"/>
  <c r="F996" i="12" s="1"/>
  <c r="F997" i="12" s="1"/>
  <c r="F998" i="12" s="1"/>
  <c r="F999" i="12" s="1"/>
  <c r="F1000" i="12" s="1"/>
  <c r="F1001" i="12" s="1"/>
  <c r="F1002" i="12" s="1"/>
  <c r="F1003" i="12" s="1"/>
  <c r="F1004" i="12" s="1"/>
  <c r="F1005" i="12" s="1"/>
  <c r="F1006" i="12" s="1"/>
  <c r="F1007" i="12" s="1"/>
  <c r="F1008" i="12" s="1"/>
  <c r="F1009" i="12" s="1"/>
  <c r="F1010" i="12" s="1"/>
  <c r="F1011" i="12" s="1"/>
  <c r="F1012" i="12" s="1"/>
  <c r="F1013" i="12" s="1"/>
  <c r="F1014" i="12" s="1"/>
  <c r="F1015" i="12" s="1"/>
  <c r="F1016" i="12" s="1"/>
  <c r="F1017" i="12" s="1"/>
  <c r="F1018" i="12" s="1"/>
  <c r="F1019" i="12" s="1"/>
  <c r="F1020" i="12" s="1"/>
  <c r="F1021" i="12" s="1"/>
  <c r="F1022" i="12" s="1"/>
  <c r="F1023" i="12" s="1"/>
  <c r="F1024" i="12" s="1"/>
  <c r="F1025" i="12" s="1"/>
  <c r="F1026" i="12" s="1"/>
  <c r="F1027" i="12" s="1"/>
  <c r="F1028" i="12" s="1"/>
  <c r="F1029" i="12" s="1"/>
  <c r="F1030" i="12" s="1"/>
  <c r="F1031" i="12" s="1"/>
  <c r="F1032" i="12" s="1"/>
  <c r="F1033" i="12" s="1"/>
  <c r="F1034" i="12" s="1"/>
  <c r="F1035" i="12" s="1"/>
  <c r="F1036" i="12" s="1"/>
  <c r="F1037" i="12" s="1"/>
  <c r="F1038" i="12" s="1"/>
  <c r="F1039" i="12" s="1"/>
  <c r="F1040" i="12" s="1"/>
  <c r="F1041" i="12" s="1"/>
  <c r="F1042" i="12" s="1"/>
  <c r="F1043" i="12" s="1"/>
  <c r="F1044" i="12" s="1"/>
  <c r="F1045" i="12" s="1"/>
  <c r="F1046" i="12" s="1"/>
  <c r="F1047" i="12" s="1"/>
  <c r="F1048" i="12" s="1"/>
  <c r="F1049" i="12" s="1"/>
  <c r="F1050" i="12" s="1"/>
  <c r="F1051" i="12" s="1"/>
  <c r="F1052" i="12" s="1"/>
  <c r="F1053" i="12" s="1"/>
  <c r="F1054" i="12" s="1"/>
  <c r="F1055" i="12" s="1"/>
  <c r="F1056" i="12" s="1"/>
  <c r="F1057" i="12" s="1"/>
  <c r="F1058" i="12" s="1"/>
  <c r="F1059" i="12" s="1"/>
  <c r="F1060" i="12" s="1"/>
  <c r="F1061" i="12" s="1"/>
  <c r="F1062" i="12" s="1"/>
  <c r="F1063" i="12" s="1"/>
  <c r="F1064" i="12" s="1"/>
  <c r="F1065" i="12" s="1"/>
  <c r="F1066" i="12" s="1"/>
  <c r="F1067" i="12" s="1"/>
  <c r="F1068" i="12" s="1"/>
  <c r="F1069" i="12" s="1"/>
  <c r="F1070" i="12" s="1"/>
  <c r="F1071" i="12" s="1"/>
  <c r="F1072" i="12" s="1"/>
  <c r="F1073" i="12" s="1"/>
  <c r="F1074" i="12" s="1"/>
  <c r="F1075" i="12" s="1"/>
  <c r="F1076" i="12" s="1"/>
  <c r="F1077" i="12" s="1"/>
  <c r="F1078" i="12" s="1"/>
  <c r="F1079" i="12" s="1"/>
  <c r="F1080" i="12" s="1"/>
  <c r="F1081" i="12" s="1"/>
  <c r="F1082" i="12" s="1"/>
  <c r="F1083" i="12" s="1"/>
  <c r="F1084" i="12" s="1"/>
  <c r="F1085" i="12" s="1"/>
  <c r="F1086" i="12" s="1"/>
  <c r="F1087" i="12" s="1"/>
  <c r="F1088" i="12" s="1"/>
  <c r="F1089" i="12" s="1"/>
  <c r="F1090" i="12" s="1"/>
  <c r="F1091" i="12" s="1"/>
  <c r="F1092" i="12" s="1"/>
  <c r="F1093" i="12" s="1"/>
  <c r="F1094" i="12" s="1"/>
  <c r="F1095" i="12" s="1"/>
  <c r="F1096" i="12" s="1"/>
  <c r="F1097" i="12" s="1"/>
  <c r="F1098" i="12" s="1"/>
  <c r="F1099" i="12" s="1"/>
  <c r="F1100" i="12" s="1"/>
  <c r="F1101" i="12" s="1"/>
  <c r="F1102" i="12" s="1"/>
  <c r="F1103" i="12" s="1"/>
  <c r="F1104" i="12" s="1"/>
  <c r="F1105" i="12" s="1"/>
  <c r="F1106" i="12" s="1"/>
  <c r="F1107" i="12" s="1"/>
  <c r="F1108" i="12" s="1"/>
  <c r="F1109" i="12" s="1"/>
  <c r="F1110" i="12" s="1"/>
  <c r="F1111" i="12" s="1"/>
  <c r="F1112" i="12" s="1"/>
  <c r="F1113" i="12" s="1"/>
  <c r="F1114" i="12" s="1"/>
  <c r="F1115" i="12" s="1"/>
  <c r="F1116" i="12" s="1"/>
  <c r="F1117" i="12" s="1"/>
  <c r="F1118" i="12" s="1"/>
  <c r="F1119" i="12" s="1"/>
  <c r="F1120" i="12" s="1"/>
  <c r="F1121" i="12" s="1"/>
  <c r="F1122" i="12" s="1"/>
  <c r="F1123" i="12" s="1"/>
  <c r="F1124" i="12" s="1"/>
  <c r="F1125" i="12" s="1"/>
  <c r="F1126" i="12" s="1"/>
  <c r="F1127" i="12" s="1"/>
  <c r="F1128" i="12" s="1"/>
  <c r="F1129" i="12" s="1"/>
  <c r="F1130" i="12" s="1"/>
  <c r="F1131" i="12" s="1"/>
  <c r="F1132" i="12" s="1"/>
  <c r="F1133" i="12" s="1"/>
  <c r="F1134" i="12" s="1"/>
  <c r="F1135" i="12" s="1"/>
  <c r="F1136" i="12" s="1"/>
  <c r="F1137" i="12" s="1"/>
  <c r="F1138" i="12" s="1"/>
  <c r="F1139" i="12" s="1"/>
  <c r="F1140" i="12" s="1"/>
  <c r="F1141" i="12" s="1"/>
  <c r="F1142" i="12" s="1"/>
  <c r="F1143" i="12" s="1"/>
  <c r="F1144" i="12" s="1"/>
  <c r="F1145" i="12" s="1"/>
  <c r="F1146" i="12" s="1"/>
  <c r="F1147" i="12" s="1"/>
  <c r="F1148" i="12" s="1"/>
  <c r="F1149" i="12" s="1"/>
  <c r="F1150" i="12" s="1"/>
  <c r="F1151" i="12" s="1"/>
  <c r="F1152" i="12" s="1"/>
  <c r="F1153" i="12" s="1"/>
  <c r="F1154" i="12" s="1"/>
  <c r="F1155" i="12" s="1"/>
  <c r="F1156" i="12" s="1"/>
  <c r="F1157" i="12" s="1"/>
  <c r="F1158" i="12" s="1"/>
  <c r="F1159" i="12" s="1"/>
  <c r="F1160" i="12" s="1"/>
  <c r="F1161" i="12" s="1"/>
  <c r="F1162" i="12" s="1"/>
  <c r="F1163" i="12" s="1"/>
  <c r="F1164" i="12" s="1"/>
  <c r="F1165" i="12" s="1"/>
  <c r="F1166" i="12" s="1"/>
  <c r="F1167" i="12" s="1"/>
  <c r="F1168" i="12" s="1"/>
  <c r="F1169" i="12" s="1"/>
  <c r="F1170" i="12" s="1"/>
  <c r="F1171" i="12" s="1"/>
  <c r="F1172" i="12" s="1"/>
  <c r="F1173" i="12" s="1"/>
  <c r="F1174" i="12" s="1"/>
  <c r="F1175" i="12" s="1"/>
  <c r="F1176" i="12" s="1"/>
  <c r="F1177" i="12" s="1"/>
  <c r="F1178" i="12" s="1"/>
  <c r="F1179" i="12" s="1"/>
  <c r="F1180" i="12" s="1"/>
  <c r="F1181" i="12" s="1"/>
  <c r="F1182" i="12" s="1"/>
  <c r="F1183" i="12" s="1"/>
  <c r="F1184" i="12" s="1"/>
  <c r="F1185" i="12" s="1"/>
  <c r="F1186" i="12" s="1"/>
  <c r="F1187" i="12" s="1"/>
  <c r="F1188" i="12" s="1"/>
  <c r="F1189" i="12" s="1"/>
  <c r="F1190" i="12" s="1"/>
  <c r="F1191" i="12" s="1"/>
  <c r="F1192" i="12" s="1"/>
  <c r="F1193" i="12" s="1"/>
  <c r="F1194" i="12" s="1"/>
  <c r="F1195" i="12" s="1"/>
  <c r="F1196" i="12" s="1"/>
  <c r="F1197" i="12" s="1"/>
  <c r="F1198" i="12" s="1"/>
  <c r="F1199" i="12" s="1"/>
  <c r="F1200" i="12" s="1"/>
  <c r="F1201" i="12" s="1"/>
  <c r="F1202" i="12" s="1"/>
  <c r="F1203" i="12" s="1"/>
  <c r="F1204" i="12" s="1"/>
  <c r="F1205" i="12" s="1"/>
  <c r="F1206" i="12" s="1"/>
  <c r="F1207" i="12" s="1"/>
  <c r="F1208" i="12" s="1"/>
  <c r="F1209" i="12" s="1"/>
  <c r="F1210" i="12" s="1"/>
  <c r="F1211" i="12" s="1"/>
  <c r="F1212" i="12" s="1"/>
  <c r="F1213" i="12" s="1"/>
  <c r="F1214" i="12" s="1"/>
  <c r="F1215" i="12" s="1"/>
  <c r="F1216" i="12" s="1"/>
  <c r="F1217" i="12" s="1"/>
  <c r="F1218" i="12" s="1"/>
  <c r="F1219" i="12" s="1"/>
  <c r="F1220" i="12" s="1"/>
  <c r="F1221" i="12" s="1"/>
  <c r="F1222" i="12" s="1"/>
  <c r="F1223" i="12" s="1"/>
  <c r="F1224" i="12" s="1"/>
  <c r="F1225" i="12" s="1"/>
  <c r="F1226" i="12" s="1"/>
  <c r="F1227" i="12" s="1"/>
  <c r="F1228" i="12" s="1"/>
  <c r="F1229" i="12" s="1"/>
  <c r="F1230" i="12" s="1"/>
  <c r="F1231" i="12" s="1"/>
  <c r="F1232" i="12" s="1"/>
  <c r="F1233" i="12" s="1"/>
  <c r="F1234" i="12" s="1"/>
  <c r="F1235" i="12" s="1"/>
  <c r="F1236" i="12" s="1"/>
  <c r="F1237" i="12" s="1"/>
  <c r="F1238" i="12" s="1"/>
  <c r="F1239" i="12" s="1"/>
  <c r="F1240" i="12" s="1"/>
  <c r="F1241" i="12" s="1"/>
  <c r="F1242" i="12" s="1"/>
  <c r="F1243" i="12" s="1"/>
  <c r="F1244" i="12" s="1"/>
  <c r="F1245" i="12" s="1"/>
  <c r="F1246" i="12" s="1"/>
  <c r="F1247" i="12" s="1"/>
  <c r="F1248" i="12" s="1"/>
  <c r="F1249" i="12" s="1"/>
  <c r="F1250" i="12" s="1"/>
  <c r="F1251" i="12" s="1"/>
  <c r="F1252" i="12" s="1"/>
  <c r="F1253" i="12" s="1"/>
  <c r="F1254" i="12" s="1"/>
  <c r="F1255" i="12" s="1"/>
  <c r="F1256" i="12" s="1"/>
  <c r="F1257" i="12" s="1"/>
  <c r="F1258" i="12" s="1"/>
  <c r="F1259" i="12" s="1"/>
  <c r="F1260" i="12" s="1"/>
  <c r="F1261" i="12" s="1"/>
  <c r="F1262" i="12" s="1"/>
  <c r="F1263" i="12" s="1"/>
  <c r="F1264" i="12" s="1"/>
  <c r="F1265" i="12" s="1"/>
  <c r="F1266" i="12" s="1"/>
  <c r="F1267" i="12" s="1"/>
  <c r="F1268" i="12" s="1"/>
  <c r="F1269" i="12" s="1"/>
  <c r="F1270" i="12" s="1"/>
  <c r="F1271" i="12" s="1"/>
  <c r="F1272" i="12" s="1"/>
  <c r="F1273" i="12" s="1"/>
  <c r="F1274" i="12" s="1"/>
  <c r="F1275" i="12" s="1"/>
  <c r="F1276" i="12" s="1"/>
  <c r="F1277" i="12" s="1"/>
  <c r="F1278" i="12" s="1"/>
  <c r="F1279" i="12" s="1"/>
  <c r="F1280" i="12" s="1"/>
  <c r="F1281" i="12" s="1"/>
  <c r="F1282" i="12" s="1"/>
  <c r="F1283" i="12" s="1"/>
  <c r="F1284" i="12" s="1"/>
  <c r="F1285" i="12" s="1"/>
  <c r="F1286" i="12" s="1"/>
  <c r="F1287" i="12" s="1"/>
  <c r="F1288" i="12" s="1"/>
  <c r="F1289" i="12" s="1"/>
  <c r="F1290" i="12" s="1"/>
  <c r="F1291" i="12" s="1"/>
  <c r="F1292" i="12" s="1"/>
  <c r="F1293" i="12" s="1"/>
  <c r="F1294" i="12" s="1"/>
  <c r="F1295" i="12" s="1"/>
  <c r="F1296" i="12" s="1"/>
  <c r="F1297" i="12" s="1"/>
  <c r="F1298" i="12" s="1"/>
  <c r="F1299" i="12" s="1"/>
  <c r="F1300" i="12" s="1"/>
  <c r="F1301" i="12" s="1"/>
  <c r="F1302" i="12" s="1"/>
  <c r="F1303" i="12" s="1"/>
  <c r="F1304" i="12" s="1"/>
  <c r="F1305" i="12" s="1"/>
  <c r="F1306" i="12" s="1"/>
  <c r="F1307" i="12" s="1"/>
  <c r="F1308" i="12" s="1"/>
  <c r="F1309" i="12" s="1"/>
  <c r="F1310" i="12" s="1"/>
  <c r="F1311" i="12" s="1"/>
  <c r="F1312" i="12" s="1"/>
  <c r="F1313" i="12" s="1"/>
  <c r="F1314" i="12" s="1"/>
  <c r="F1315" i="12" s="1"/>
  <c r="F1316" i="12" s="1"/>
  <c r="F1317" i="12" s="1"/>
  <c r="F1318" i="12" s="1"/>
  <c r="F1319" i="12" s="1"/>
  <c r="F1320" i="12" s="1"/>
  <c r="F1321" i="12" s="1"/>
  <c r="F1322" i="12" s="1"/>
  <c r="F1323" i="12" s="1"/>
  <c r="F1324" i="12" s="1"/>
  <c r="F1325" i="12" s="1"/>
  <c r="F1326" i="12" s="1"/>
  <c r="F1327" i="12" s="1"/>
  <c r="F1328" i="12" s="1"/>
  <c r="F1329" i="12" s="1"/>
  <c r="F1330" i="12" s="1"/>
  <c r="F1331" i="12" s="1"/>
  <c r="F1332" i="12" s="1"/>
  <c r="F1333" i="12" s="1"/>
  <c r="F1334" i="12" s="1"/>
  <c r="F1335" i="12" s="1"/>
  <c r="F1336" i="12" s="1"/>
  <c r="F1337" i="12" s="1"/>
  <c r="F1338" i="12" s="1"/>
  <c r="F1339" i="12" s="1"/>
  <c r="F1340" i="12" s="1"/>
  <c r="F1341" i="12" s="1"/>
  <c r="F1342" i="12" s="1"/>
  <c r="F1343" i="12" s="1"/>
  <c r="F1344" i="12" s="1"/>
  <c r="F1345" i="12" s="1"/>
  <c r="F1346" i="12" s="1"/>
  <c r="F1347" i="12" s="1"/>
  <c r="F1348" i="12" s="1"/>
  <c r="F1349" i="12" s="1"/>
  <c r="F1350" i="12" s="1"/>
  <c r="F1351" i="12" s="1"/>
  <c r="F1352" i="12" s="1"/>
  <c r="F1353" i="12" s="1"/>
  <c r="F1354" i="12" s="1"/>
  <c r="F1355" i="12" s="1"/>
  <c r="F1356" i="12" s="1"/>
  <c r="F1357" i="12" s="1"/>
  <c r="F1358" i="12" s="1"/>
  <c r="F1359" i="12" s="1"/>
  <c r="F1360" i="12" s="1"/>
  <c r="F1361" i="12" s="1"/>
  <c r="F1362" i="12" s="1"/>
  <c r="F1363" i="12" s="1"/>
  <c r="F1364" i="12" s="1"/>
  <c r="F1365" i="12" s="1"/>
  <c r="F1366" i="12" s="1"/>
  <c r="F1367" i="12" s="1"/>
  <c r="F1368" i="12" s="1"/>
  <c r="F1369" i="12" s="1"/>
  <c r="F1370" i="12" s="1"/>
  <c r="F1371" i="12" s="1"/>
  <c r="F1372" i="12" s="1"/>
  <c r="F1373" i="12" s="1"/>
  <c r="F1374" i="12" s="1"/>
  <c r="F1375" i="12" s="1"/>
  <c r="F1376" i="12" s="1"/>
  <c r="F1377" i="12" s="1"/>
  <c r="F1378" i="12" s="1"/>
  <c r="F1379" i="12" s="1"/>
  <c r="F1380" i="12" s="1"/>
  <c r="F1381" i="12" s="1"/>
  <c r="F1382" i="12" s="1"/>
  <c r="F1383" i="12" s="1"/>
  <c r="F1384" i="12" s="1"/>
  <c r="F1385" i="12" s="1"/>
  <c r="F1386" i="12" s="1"/>
  <c r="F1387" i="12" s="1"/>
  <c r="F1388" i="12" s="1"/>
  <c r="F1389" i="12" s="1"/>
  <c r="F1390" i="12" s="1"/>
  <c r="F1391" i="12" s="1"/>
  <c r="F1392" i="12" s="1"/>
  <c r="F1393" i="12" s="1"/>
  <c r="F1394" i="12" s="1"/>
  <c r="F1395" i="12" s="1"/>
  <c r="F1396" i="12" s="1"/>
  <c r="F1397" i="12" s="1"/>
  <c r="F1398" i="12" s="1"/>
  <c r="F1399" i="12" s="1"/>
  <c r="F1400" i="12" s="1"/>
  <c r="F1401" i="12" s="1"/>
  <c r="F1402" i="12" s="1"/>
  <c r="F1403" i="12" s="1"/>
  <c r="F1404" i="12" s="1"/>
  <c r="F1405" i="12" s="1"/>
  <c r="F1406" i="12" s="1"/>
  <c r="F1407" i="12" s="1"/>
  <c r="F1408" i="12" s="1"/>
  <c r="F1409" i="12" s="1"/>
  <c r="F1410" i="12" s="1"/>
  <c r="F1411" i="12" s="1"/>
  <c r="F1412" i="12" s="1"/>
  <c r="F1413" i="12" s="1"/>
  <c r="F1414" i="12" s="1"/>
  <c r="F1415" i="12" s="1"/>
  <c r="F1416" i="12" s="1"/>
  <c r="F1417" i="12" s="1"/>
  <c r="F1418" i="12" s="1"/>
  <c r="F1419" i="12" s="1"/>
  <c r="F1420" i="12" s="1"/>
  <c r="F1421" i="12" s="1"/>
  <c r="F1422" i="12" s="1"/>
  <c r="F1423" i="12" s="1"/>
  <c r="F1424" i="12" s="1"/>
  <c r="F1425" i="12" s="1"/>
  <c r="F1426" i="12" s="1"/>
  <c r="F1427" i="12" s="1"/>
  <c r="F1428" i="12" s="1"/>
  <c r="F1429" i="12" s="1"/>
  <c r="F1430" i="12" s="1"/>
  <c r="F1431" i="12" s="1"/>
  <c r="F1432" i="12" s="1"/>
  <c r="F1433" i="12" s="1"/>
  <c r="F1434" i="12" s="1"/>
  <c r="F1435" i="12" s="1"/>
  <c r="F1436" i="12" s="1"/>
  <c r="F1437" i="12" s="1"/>
  <c r="F1438" i="12" s="1"/>
  <c r="F1439" i="12" s="1"/>
  <c r="F1440" i="12" s="1"/>
  <c r="F1441" i="12" s="1"/>
  <c r="F1442" i="12" s="1"/>
  <c r="F1443" i="12" s="1"/>
  <c r="F1444" i="12" s="1"/>
  <c r="F1445" i="12" s="1"/>
  <c r="F1446" i="12" s="1"/>
  <c r="F1447" i="12" s="1"/>
  <c r="F1448" i="12" s="1"/>
  <c r="F1449" i="12" s="1"/>
  <c r="F1450" i="12" s="1"/>
  <c r="F1451" i="12" s="1"/>
  <c r="F1452" i="12" s="1"/>
  <c r="F1453" i="12" s="1"/>
  <c r="F1454" i="12" s="1"/>
  <c r="F1455" i="12" s="1"/>
  <c r="F1456" i="12" s="1"/>
  <c r="F1457" i="12" s="1"/>
  <c r="F1458" i="12" s="1"/>
  <c r="F1459" i="12" s="1"/>
  <c r="F1460" i="12" s="1"/>
  <c r="F1461" i="12" s="1"/>
  <c r="F1462" i="12" s="1"/>
  <c r="F1463" i="12" s="1"/>
  <c r="F1464" i="12" s="1"/>
  <c r="F1465" i="12" s="1"/>
  <c r="F1466" i="12" s="1"/>
  <c r="F1467" i="12" s="1"/>
  <c r="F1468" i="12" s="1"/>
  <c r="F1469" i="12" s="1"/>
  <c r="F1470" i="12" s="1"/>
  <c r="F1471" i="12" s="1"/>
  <c r="F1472" i="12" s="1"/>
  <c r="F1473" i="12" s="1"/>
  <c r="F1474" i="12" s="1"/>
  <c r="F1475" i="12" s="1"/>
  <c r="F1476" i="12" s="1"/>
  <c r="F1477" i="12" s="1"/>
  <c r="F1478" i="12" s="1"/>
  <c r="F1479" i="12" s="1"/>
  <c r="F1480" i="12" s="1"/>
  <c r="F1481" i="12" s="1"/>
  <c r="F1482" i="12" s="1"/>
  <c r="F1483" i="12" s="1"/>
  <c r="F1484" i="12" s="1"/>
  <c r="F1485" i="12" s="1"/>
  <c r="F1486" i="12" s="1"/>
  <c r="F1487" i="12" s="1"/>
  <c r="F1488" i="12" s="1"/>
  <c r="F1489" i="12" s="1"/>
  <c r="F1490" i="12" s="1"/>
  <c r="F1491" i="12" s="1"/>
  <c r="F1492" i="12" s="1"/>
  <c r="F1493" i="12" s="1"/>
  <c r="F1494" i="12" s="1"/>
  <c r="F1495" i="12" s="1"/>
  <c r="F1496" i="12" s="1"/>
  <c r="F1497" i="12" s="1"/>
  <c r="F1498" i="12" s="1"/>
  <c r="F1499" i="12" s="1"/>
  <c r="F1500" i="12" s="1"/>
  <c r="F1501" i="12" s="1"/>
  <c r="F1502" i="12" s="1"/>
  <c r="F1503" i="12" s="1"/>
  <c r="F1504" i="12" s="1"/>
  <c r="F1505" i="12" s="1"/>
  <c r="F1506" i="12" s="1"/>
  <c r="F1507" i="12" s="1"/>
  <c r="F1508" i="12" s="1"/>
  <c r="F1509" i="12" s="1"/>
  <c r="F1510" i="12" s="1"/>
  <c r="F1511" i="12" s="1"/>
  <c r="F1512" i="12" s="1"/>
  <c r="F1513" i="12" s="1"/>
  <c r="F1514" i="12" s="1"/>
  <c r="F1515" i="12" s="1"/>
  <c r="F1516" i="12" s="1"/>
  <c r="F1517" i="12" s="1"/>
  <c r="F1518" i="12" s="1"/>
  <c r="F1519" i="12" s="1"/>
  <c r="F1520" i="12" s="1"/>
  <c r="F1521" i="12" s="1"/>
  <c r="F1522" i="12" s="1"/>
  <c r="F1523" i="12" s="1"/>
  <c r="F1524" i="12" s="1"/>
  <c r="F1525" i="12" s="1"/>
  <c r="F1526" i="12" s="1"/>
  <c r="F1527" i="12" s="1"/>
  <c r="F1528" i="12" s="1"/>
  <c r="F1529" i="12" s="1"/>
  <c r="F1530" i="12" s="1"/>
  <c r="F1531" i="12" s="1"/>
  <c r="F1532" i="12" s="1"/>
  <c r="F1533" i="12" s="1"/>
  <c r="F1534" i="12" s="1"/>
  <c r="F1535" i="12" s="1"/>
  <c r="F1536" i="12" s="1"/>
  <c r="F1537" i="12" s="1"/>
  <c r="F1538" i="12" s="1"/>
  <c r="F1539" i="12" s="1"/>
  <c r="F1540" i="12" s="1"/>
  <c r="F1541" i="12" s="1"/>
  <c r="F1542" i="12" s="1"/>
  <c r="F1543" i="12" s="1"/>
  <c r="F1544" i="12" s="1"/>
  <c r="F1545" i="12" s="1"/>
  <c r="F1546" i="12" s="1"/>
  <c r="F1547" i="12" s="1"/>
  <c r="F1548" i="12" s="1"/>
  <c r="F1549" i="12" s="1"/>
  <c r="F1550" i="12" s="1"/>
  <c r="F1551" i="12" s="1"/>
  <c r="F1552" i="12" s="1"/>
  <c r="F1553" i="12" s="1"/>
  <c r="F1554" i="12" s="1"/>
  <c r="F1555" i="12" s="1"/>
  <c r="F1556" i="12" s="1"/>
  <c r="F1557" i="12" s="1"/>
  <c r="F1558" i="12" s="1"/>
  <c r="F1559" i="12" s="1"/>
  <c r="F1560" i="12" s="1"/>
  <c r="F1561" i="12" s="1"/>
  <c r="F1562" i="12" s="1"/>
  <c r="F1563" i="12" s="1"/>
  <c r="F1564" i="12" s="1"/>
  <c r="F1565" i="12" s="1"/>
  <c r="F1566" i="12" s="1"/>
  <c r="F1567" i="12" s="1"/>
  <c r="F1568" i="12" s="1"/>
  <c r="F1569" i="12" s="1"/>
  <c r="F1570" i="12" s="1"/>
  <c r="F1571" i="12" s="1"/>
  <c r="F1572" i="12" s="1"/>
  <c r="F1573" i="12" s="1"/>
  <c r="F1574" i="12" s="1"/>
  <c r="F1575" i="12" s="1"/>
  <c r="F1576" i="12" s="1"/>
  <c r="F1577" i="12" s="1"/>
  <c r="F1578" i="12" s="1"/>
  <c r="F1579" i="12" s="1"/>
  <c r="F1580" i="12" s="1"/>
  <c r="F1581" i="12" s="1"/>
  <c r="F1582" i="12" s="1"/>
  <c r="F1583" i="12" s="1"/>
  <c r="F1584" i="12" s="1"/>
  <c r="F1585" i="12" s="1"/>
  <c r="F1586" i="12" s="1"/>
  <c r="F1587" i="12" s="1"/>
  <c r="F1588" i="12" s="1"/>
  <c r="F1589" i="12" s="1"/>
  <c r="F1590" i="12" s="1"/>
  <c r="F1591" i="12" s="1"/>
  <c r="F1592" i="12" s="1"/>
  <c r="F1593" i="12" s="1"/>
  <c r="F1594" i="12" s="1"/>
  <c r="F1595" i="12" s="1"/>
  <c r="F1596" i="12" s="1"/>
  <c r="F1597" i="12" s="1"/>
  <c r="F1598" i="12" s="1"/>
  <c r="F1599" i="12" s="1"/>
  <c r="F1600" i="12" s="1"/>
  <c r="F1601" i="12" s="1"/>
  <c r="F1602" i="12" s="1"/>
  <c r="F1603" i="12" s="1"/>
  <c r="F1604" i="12" s="1"/>
  <c r="F1605" i="12" s="1"/>
  <c r="F1606" i="12" s="1"/>
  <c r="F1607" i="12" s="1"/>
  <c r="F1608" i="12" s="1"/>
  <c r="F1609" i="12" s="1"/>
  <c r="F1610" i="12" s="1"/>
  <c r="F1611" i="12" s="1"/>
  <c r="F1612" i="12" s="1"/>
  <c r="F1613" i="12" s="1"/>
  <c r="F1614" i="12" s="1"/>
  <c r="F1615" i="12" s="1"/>
  <c r="F1616" i="12" s="1"/>
  <c r="F1617" i="12" s="1"/>
  <c r="F1618" i="12" s="1"/>
  <c r="F1619" i="12" s="1"/>
  <c r="F1620" i="12" s="1"/>
  <c r="F1621" i="12" s="1"/>
  <c r="F1622" i="12" s="1"/>
  <c r="F1623" i="12" s="1"/>
  <c r="F1624" i="12" s="1"/>
  <c r="F1625" i="12" s="1"/>
  <c r="F1626" i="12" s="1"/>
  <c r="F1627" i="12" s="1"/>
  <c r="F1628" i="12" s="1"/>
  <c r="F1629" i="12" s="1"/>
  <c r="F1630" i="12" s="1"/>
  <c r="F1631" i="12" s="1"/>
  <c r="F1632" i="12" s="1"/>
  <c r="F1633" i="12" s="1"/>
  <c r="F1634" i="12" s="1"/>
  <c r="F1635" i="12" s="1"/>
  <c r="F1636" i="12" s="1"/>
  <c r="F1637" i="12" s="1"/>
  <c r="F1638" i="12" s="1"/>
  <c r="F1639" i="12" s="1"/>
  <c r="F1640" i="12" s="1"/>
  <c r="F1641" i="12" s="1"/>
  <c r="F1642" i="12" s="1"/>
  <c r="F1643" i="12" s="1"/>
  <c r="F1644" i="12" s="1"/>
  <c r="F1645" i="12" s="1"/>
  <c r="F1646" i="12" s="1"/>
  <c r="F1647" i="12" s="1"/>
  <c r="F1648" i="12" s="1"/>
  <c r="F1649" i="12" s="1"/>
  <c r="F1650" i="12" s="1"/>
  <c r="F1651" i="12" s="1"/>
  <c r="F1652" i="12" s="1"/>
  <c r="F1653" i="12" s="1"/>
  <c r="F1654" i="12" s="1"/>
  <c r="F1655" i="12" s="1"/>
  <c r="F1656" i="12" s="1"/>
  <c r="F1657" i="12" s="1"/>
  <c r="F1658" i="12" s="1"/>
  <c r="F1659" i="12" s="1"/>
  <c r="F1660" i="12" s="1"/>
  <c r="F1661" i="12" s="1"/>
  <c r="F1662" i="12" s="1"/>
  <c r="F1663" i="12" s="1"/>
  <c r="F1664" i="12" s="1"/>
  <c r="F1665" i="12" s="1"/>
  <c r="F1666" i="12" s="1"/>
  <c r="F1667" i="12" s="1"/>
  <c r="F1668" i="12" s="1"/>
  <c r="F1669" i="12" s="1"/>
  <c r="F1670" i="12" s="1"/>
  <c r="F1671" i="12" s="1"/>
  <c r="F1672" i="12" s="1"/>
  <c r="F1673" i="12" s="1"/>
  <c r="F1674" i="12" s="1"/>
  <c r="F1675" i="12" s="1"/>
  <c r="F1676" i="12" s="1"/>
  <c r="F1677" i="12" s="1"/>
  <c r="F1678" i="12" s="1"/>
  <c r="F1679" i="12" s="1"/>
  <c r="F1680" i="12" s="1"/>
  <c r="F1681" i="12" s="1"/>
  <c r="F1682" i="12" s="1"/>
  <c r="F1683" i="12" s="1"/>
  <c r="F1684" i="12" s="1"/>
  <c r="F1685" i="12" s="1"/>
  <c r="F1686" i="12" s="1"/>
  <c r="F1687" i="12" s="1"/>
  <c r="F1688" i="12" s="1"/>
  <c r="F1689" i="12" s="1"/>
  <c r="F1690" i="12" s="1"/>
  <c r="F1691" i="12" s="1"/>
  <c r="F1692" i="12" s="1"/>
  <c r="F1693" i="12" s="1"/>
  <c r="F1694" i="12" s="1"/>
  <c r="F1695" i="12" s="1"/>
  <c r="F1696" i="12" s="1"/>
  <c r="F1697" i="12" s="1"/>
  <c r="F1698" i="12" s="1"/>
  <c r="F1699" i="12" s="1"/>
  <c r="F1700" i="12" s="1"/>
  <c r="F1701" i="12" s="1"/>
  <c r="F1702" i="12" s="1"/>
  <c r="F1703" i="12" s="1"/>
  <c r="F1704" i="12" s="1"/>
  <c r="F1705" i="12" s="1"/>
  <c r="F1706" i="12" s="1"/>
  <c r="F1707" i="12" s="1"/>
  <c r="F1708" i="12" s="1"/>
  <c r="F1709" i="12" s="1"/>
  <c r="F1710" i="12" s="1"/>
  <c r="F1711" i="12" s="1"/>
  <c r="F1712" i="12" s="1"/>
  <c r="F1713" i="12" s="1"/>
  <c r="F1714" i="12" s="1"/>
  <c r="F1715" i="12" s="1"/>
  <c r="F1716" i="12" s="1"/>
  <c r="F1717" i="12" s="1"/>
  <c r="F1718" i="12" s="1"/>
  <c r="F1719" i="12" s="1"/>
  <c r="F1720" i="12" s="1"/>
  <c r="F1721" i="12" s="1"/>
  <c r="F1722" i="12" s="1"/>
  <c r="F1723" i="12" s="1"/>
  <c r="F1724" i="12" s="1"/>
  <c r="F1725" i="12" s="1"/>
  <c r="F1726" i="12" s="1"/>
  <c r="F1727" i="12" s="1"/>
  <c r="F1728" i="12" s="1"/>
  <c r="F1729" i="12" s="1"/>
  <c r="F1730" i="12" s="1"/>
  <c r="F1731" i="12" s="1"/>
  <c r="F1732" i="12" s="1"/>
  <c r="F1733" i="12" s="1"/>
  <c r="F1734" i="12" s="1"/>
  <c r="F1735" i="12" s="1"/>
  <c r="F1736" i="12" s="1"/>
  <c r="F1737" i="12" s="1"/>
  <c r="F1738" i="12" s="1"/>
  <c r="F1739" i="12" s="1"/>
  <c r="F1740" i="12" s="1"/>
  <c r="F1741" i="12" s="1"/>
  <c r="F1742" i="12" s="1"/>
  <c r="F1743" i="12" s="1"/>
  <c r="F1744" i="12" s="1"/>
  <c r="F1745" i="12" s="1"/>
  <c r="F1746" i="12" s="1"/>
  <c r="F1747" i="12" s="1"/>
  <c r="F1748" i="12" s="1"/>
  <c r="F1749" i="12" s="1"/>
  <c r="F1750" i="12" s="1"/>
  <c r="F1751" i="12" s="1"/>
  <c r="F1752" i="12" s="1"/>
  <c r="F1753" i="12" s="1"/>
  <c r="F1754" i="12" s="1"/>
  <c r="F1755" i="12" s="1"/>
  <c r="F1756" i="12" s="1"/>
  <c r="F1757" i="12" s="1"/>
  <c r="F1758" i="12" s="1"/>
  <c r="F1759" i="12" s="1"/>
  <c r="F1760" i="12" s="1"/>
  <c r="F1761" i="12" s="1"/>
  <c r="F1762" i="12" s="1"/>
  <c r="F1763" i="12" s="1"/>
  <c r="F1764" i="12" s="1"/>
  <c r="F1765" i="12" s="1"/>
  <c r="F1766" i="12" s="1"/>
  <c r="F1767" i="12" s="1"/>
  <c r="F1768" i="12" s="1"/>
  <c r="F1769" i="12" s="1"/>
  <c r="F1770" i="12" s="1"/>
  <c r="F1771" i="12" s="1"/>
  <c r="F1772" i="12" s="1"/>
  <c r="F1773" i="12" s="1"/>
  <c r="F1774" i="12" s="1"/>
  <c r="F1775" i="12" s="1"/>
  <c r="F1776" i="12" s="1"/>
  <c r="F1777" i="12" s="1"/>
  <c r="F1778" i="12" s="1"/>
  <c r="F1779" i="12" s="1"/>
  <c r="F1780" i="12" s="1"/>
  <c r="F1781" i="12" s="1"/>
  <c r="F1782" i="12" s="1"/>
  <c r="F1783" i="12" s="1"/>
  <c r="F1784" i="12" s="1"/>
  <c r="F1785" i="12" s="1"/>
  <c r="F1786" i="12" s="1"/>
  <c r="F1787" i="12" s="1"/>
  <c r="F1788" i="12" s="1"/>
  <c r="F1789" i="12" s="1"/>
  <c r="F1790" i="12" s="1"/>
  <c r="F1791" i="12" s="1"/>
  <c r="F1792" i="12" s="1"/>
  <c r="F1793" i="12" s="1"/>
  <c r="F1794" i="12" s="1"/>
  <c r="F1795" i="12" s="1"/>
  <c r="F1796" i="12" s="1"/>
  <c r="F1797" i="12" s="1"/>
  <c r="F1798" i="12" s="1"/>
  <c r="F1799" i="12" s="1"/>
  <c r="F1800" i="12" s="1"/>
  <c r="F1801" i="12" s="1"/>
  <c r="F1802" i="12" s="1"/>
  <c r="F1803" i="12" s="1"/>
  <c r="F1804" i="12" s="1"/>
  <c r="F1805" i="12" s="1"/>
  <c r="F1806" i="12" s="1"/>
  <c r="F1807" i="12" s="1"/>
  <c r="F1808" i="12" s="1"/>
  <c r="F1809" i="12" s="1"/>
  <c r="F1810" i="12" s="1"/>
  <c r="F1811" i="12" s="1"/>
  <c r="F1812" i="12" s="1"/>
  <c r="F1813" i="12" s="1"/>
  <c r="F1814" i="12" s="1"/>
  <c r="F1815" i="12" s="1"/>
  <c r="F1816" i="12" s="1"/>
  <c r="F1817" i="12" s="1"/>
  <c r="F1818" i="12" s="1"/>
  <c r="F1819" i="12" s="1"/>
  <c r="F1820" i="12" s="1"/>
  <c r="F1821" i="12" s="1"/>
  <c r="F1822" i="12" s="1"/>
  <c r="F1823" i="12" s="1"/>
  <c r="F1824" i="12" s="1"/>
  <c r="F1825" i="12" s="1"/>
  <c r="F1826" i="12" s="1"/>
  <c r="F1827" i="12" s="1"/>
  <c r="F1828" i="12" s="1"/>
  <c r="F1829" i="12" s="1"/>
  <c r="F1830" i="12" s="1"/>
  <c r="F1831" i="12" s="1"/>
  <c r="F1832" i="12" s="1"/>
  <c r="F1833" i="12" s="1"/>
  <c r="F1834" i="12" s="1"/>
  <c r="F1835" i="12" s="1"/>
  <c r="F1836" i="12" s="1"/>
  <c r="F1837" i="12" s="1"/>
  <c r="F1838" i="12" s="1"/>
  <c r="F1839" i="12" s="1"/>
  <c r="F1840" i="12" s="1"/>
  <c r="F1841" i="12" s="1"/>
  <c r="F1842" i="12" s="1"/>
  <c r="F1843" i="12" s="1"/>
  <c r="F1844" i="12" s="1"/>
  <c r="F1845" i="12" s="1"/>
  <c r="F1846" i="12" s="1"/>
  <c r="F1847" i="12" s="1"/>
  <c r="F1848" i="12" s="1"/>
  <c r="F1849" i="12" s="1"/>
  <c r="F1850" i="12" s="1"/>
  <c r="F1851" i="12" s="1"/>
  <c r="F1852" i="12" s="1"/>
  <c r="F1853" i="12" s="1"/>
  <c r="F1854" i="12" s="1"/>
  <c r="F1855" i="12" s="1"/>
  <c r="F1856" i="12" s="1"/>
  <c r="F1857" i="12" s="1"/>
  <c r="F1858" i="12" s="1"/>
  <c r="F1859" i="12" s="1"/>
  <c r="F1860" i="12" s="1"/>
  <c r="F1861" i="12" s="1"/>
  <c r="F1862" i="12" s="1"/>
  <c r="F1863" i="12" s="1"/>
  <c r="F1864" i="12" s="1"/>
  <c r="F1865" i="12" s="1"/>
  <c r="F1866" i="12" s="1"/>
  <c r="F1867" i="12" s="1"/>
  <c r="F1868" i="12" s="1"/>
  <c r="F1869" i="12" s="1"/>
  <c r="F1870" i="12" s="1"/>
  <c r="F1871" i="12" s="1"/>
  <c r="F1872" i="12" s="1"/>
  <c r="F1873" i="12" s="1"/>
  <c r="F1874" i="12" s="1"/>
  <c r="F1875" i="12" s="1"/>
  <c r="F1876" i="12" s="1"/>
  <c r="F1877" i="12" s="1"/>
  <c r="F1878" i="12" s="1"/>
  <c r="F1879" i="12" s="1"/>
  <c r="F1880" i="12" s="1"/>
  <c r="F1881" i="12" s="1"/>
  <c r="F1882" i="12" s="1"/>
  <c r="F1883" i="12" s="1"/>
  <c r="F1884" i="12" s="1"/>
  <c r="F1885" i="12" s="1"/>
  <c r="F1886" i="12" s="1"/>
  <c r="F1887" i="12" s="1"/>
  <c r="F1888" i="12" s="1"/>
  <c r="F1889" i="12" s="1"/>
  <c r="F1890" i="12" s="1"/>
  <c r="F1891" i="12" s="1"/>
  <c r="F1892" i="12" s="1"/>
  <c r="F1893" i="12" s="1"/>
  <c r="F1894" i="12" s="1"/>
  <c r="F1895" i="12" s="1"/>
  <c r="F1896" i="12" s="1"/>
  <c r="F1897" i="12" s="1"/>
  <c r="F1898" i="12" s="1"/>
  <c r="F1899" i="12" s="1"/>
  <c r="F1900" i="12" s="1"/>
  <c r="F1901" i="12" s="1"/>
  <c r="F1902" i="12" s="1"/>
  <c r="F1903" i="12" s="1"/>
  <c r="F1904" i="12" s="1"/>
  <c r="F1905" i="12" s="1"/>
  <c r="F1906" i="12" s="1"/>
  <c r="F1907" i="12" s="1"/>
  <c r="F1908" i="12" s="1"/>
  <c r="F1909" i="12" s="1"/>
  <c r="F1910" i="12" s="1"/>
  <c r="F1911" i="12" s="1"/>
  <c r="F1912" i="12" s="1"/>
  <c r="F1913" i="12" s="1"/>
  <c r="F1914" i="12" s="1"/>
  <c r="F1915" i="12" s="1"/>
  <c r="F1916" i="12" s="1"/>
  <c r="F1917" i="12" s="1"/>
  <c r="F1918" i="12" s="1"/>
  <c r="F1919" i="12" s="1"/>
  <c r="F1920" i="12" s="1"/>
  <c r="F1921" i="12" s="1"/>
  <c r="F1922" i="12" s="1"/>
  <c r="F1923" i="12" s="1"/>
  <c r="F1924" i="12" s="1"/>
  <c r="F1925" i="12" s="1"/>
  <c r="F1926" i="12" s="1"/>
  <c r="F1927" i="12" s="1"/>
  <c r="F1928" i="12" s="1"/>
  <c r="F1929" i="12" s="1"/>
  <c r="F1930" i="12" s="1"/>
  <c r="F1931" i="12" s="1"/>
  <c r="F1932" i="12" s="1"/>
  <c r="F1933" i="12" s="1"/>
  <c r="F1934" i="12" s="1"/>
  <c r="F1935" i="12" s="1"/>
  <c r="F1936" i="12" s="1"/>
  <c r="F1937" i="12" s="1"/>
  <c r="F1938" i="12" s="1"/>
  <c r="F1939" i="12" s="1"/>
  <c r="F1940" i="12" s="1"/>
  <c r="F1941" i="12" s="1"/>
  <c r="F1942" i="12" s="1"/>
  <c r="F1943" i="12" s="1"/>
  <c r="F1944" i="12" s="1"/>
  <c r="F1945" i="12" s="1"/>
  <c r="F1946" i="12" s="1"/>
  <c r="F1947" i="12" s="1"/>
  <c r="F1948" i="12" s="1"/>
  <c r="F1949" i="12" s="1"/>
  <c r="F1950" i="12" s="1"/>
  <c r="F1951" i="12" s="1"/>
  <c r="F1952" i="12" s="1"/>
  <c r="F1953" i="12" s="1"/>
  <c r="F1954" i="12" s="1"/>
  <c r="F1955" i="12" s="1"/>
  <c r="F1956" i="12" s="1"/>
  <c r="F1957" i="12" s="1"/>
  <c r="F1958" i="12" s="1"/>
  <c r="F1959" i="12" s="1"/>
  <c r="F1960" i="12" s="1"/>
  <c r="F1961" i="12" s="1"/>
  <c r="F1962" i="12" s="1"/>
  <c r="F1963" i="12" s="1"/>
  <c r="F1964" i="12" s="1"/>
  <c r="F1965" i="12" s="1"/>
  <c r="F1966" i="12" s="1"/>
  <c r="F1967" i="12" s="1"/>
  <c r="F1968" i="12" s="1"/>
  <c r="F1969" i="12" s="1"/>
  <c r="F1970" i="12" s="1"/>
  <c r="F1971" i="12" s="1"/>
  <c r="F1972" i="12" s="1"/>
  <c r="F1973" i="12" s="1"/>
  <c r="F1974" i="12" s="1"/>
  <c r="F1975" i="12" s="1"/>
  <c r="F1976" i="12" s="1"/>
  <c r="F1977" i="12" s="1"/>
  <c r="F1978" i="12" s="1"/>
  <c r="F1979" i="12" s="1"/>
  <c r="F1980" i="12" s="1"/>
  <c r="F1981" i="12" s="1"/>
  <c r="F1982" i="12" s="1"/>
  <c r="F1983" i="12" s="1"/>
  <c r="F1984" i="12" s="1"/>
  <c r="F1985" i="12" s="1"/>
  <c r="F1986" i="12" s="1"/>
  <c r="F1987" i="12" s="1"/>
  <c r="F1988" i="12" s="1"/>
  <c r="F1989" i="12" s="1"/>
  <c r="F1990" i="12" s="1"/>
  <c r="F1991" i="12" s="1"/>
  <c r="F1992" i="12" s="1"/>
  <c r="F1993" i="12" s="1"/>
  <c r="F1994" i="12" s="1"/>
  <c r="F1995" i="12" s="1"/>
  <c r="F1996" i="12" s="1"/>
  <c r="F1997" i="12" s="1"/>
  <c r="F1998" i="12" s="1"/>
  <c r="F1999" i="12" s="1"/>
  <c r="F2000" i="12" s="1"/>
  <c r="F2001" i="12" s="1"/>
  <c r="F2002" i="12" s="1"/>
  <c r="F2003" i="12" s="1"/>
  <c r="F2004" i="12" s="1"/>
  <c r="F2005" i="12" s="1"/>
  <c r="F2006" i="12" s="1"/>
  <c r="F2007" i="12" s="1"/>
  <c r="F2008" i="12" s="1"/>
  <c r="F2009" i="12" s="1"/>
  <c r="F2010" i="12" s="1"/>
  <c r="F2011" i="12" s="1"/>
  <c r="F2012" i="12" s="1"/>
  <c r="F2013" i="12" s="1"/>
  <c r="F2014" i="12" s="1"/>
  <c r="F2015" i="12" s="1"/>
  <c r="F2016" i="12" s="1"/>
  <c r="F2017" i="12" s="1"/>
  <c r="F2018" i="12" s="1"/>
  <c r="F2019" i="12" s="1"/>
  <c r="F2020" i="12" s="1"/>
  <c r="F2021" i="12" s="1"/>
  <c r="F2022" i="12" s="1"/>
  <c r="F2023" i="12" s="1"/>
  <c r="F2024" i="12" s="1"/>
  <c r="F2025" i="12" s="1"/>
  <c r="F2026" i="12" s="1"/>
  <c r="F2027" i="12" s="1"/>
  <c r="F2028" i="12" s="1"/>
  <c r="F2029" i="12" s="1"/>
  <c r="F2030" i="12" s="1"/>
  <c r="F2031" i="12" s="1"/>
  <c r="F2032" i="12" s="1"/>
  <c r="F2033" i="12" s="1"/>
  <c r="F2034" i="12" s="1"/>
  <c r="F2035" i="12" s="1"/>
  <c r="F2036" i="12" s="1"/>
  <c r="F2037" i="12" s="1"/>
  <c r="F2038" i="12" s="1"/>
  <c r="F2039" i="12" s="1"/>
  <c r="F2040" i="12" s="1"/>
  <c r="F2041" i="12" s="1"/>
  <c r="F2042" i="12" s="1"/>
  <c r="F2043" i="12" s="1"/>
  <c r="F2044" i="12" s="1"/>
  <c r="F2045" i="12" s="1"/>
  <c r="F2046" i="12" s="1"/>
  <c r="F2047" i="12" s="1"/>
  <c r="F2048" i="12" s="1"/>
  <c r="F2049" i="12" s="1"/>
  <c r="F2050" i="12" s="1"/>
  <c r="F2051" i="12" s="1"/>
  <c r="F2052" i="12" s="1"/>
  <c r="F2053" i="12" s="1"/>
  <c r="F2054" i="12" s="1"/>
  <c r="F2055" i="12" s="1"/>
  <c r="F2056" i="12" s="1"/>
  <c r="F2057" i="12" s="1"/>
  <c r="F2058" i="12" s="1"/>
  <c r="F2059" i="12" s="1"/>
  <c r="F2060" i="12" s="1"/>
  <c r="F2061" i="12" s="1"/>
  <c r="F2062" i="12" s="1"/>
  <c r="F2063" i="12" s="1"/>
  <c r="F2064" i="12" s="1"/>
  <c r="F2065" i="12" s="1"/>
  <c r="F2066" i="12" s="1"/>
  <c r="F2067" i="12" s="1"/>
  <c r="F2068" i="12" s="1"/>
  <c r="F2069" i="12" s="1"/>
  <c r="F2070" i="12" s="1"/>
  <c r="F2071" i="12" s="1"/>
  <c r="F2072" i="12" s="1"/>
  <c r="F2073" i="12" s="1"/>
  <c r="F2074" i="12" s="1"/>
  <c r="F2075" i="12" s="1"/>
  <c r="F2076" i="12" s="1"/>
  <c r="F2077" i="12" s="1"/>
  <c r="F2078" i="12" s="1"/>
  <c r="F2079" i="12" s="1"/>
  <c r="F2080" i="12" s="1"/>
  <c r="F2081" i="12" s="1"/>
  <c r="F2082" i="12" s="1"/>
  <c r="F2083" i="12" s="1"/>
  <c r="F2084" i="12" s="1"/>
  <c r="F2085" i="12" s="1"/>
  <c r="F2086" i="12" s="1"/>
  <c r="F2087" i="12" s="1"/>
  <c r="F2088" i="12" s="1"/>
  <c r="F2089" i="12" s="1"/>
  <c r="F2090" i="12" s="1"/>
  <c r="F2091" i="12" s="1"/>
  <c r="F2092" i="12" s="1"/>
  <c r="F2093" i="12" s="1"/>
  <c r="F2094" i="12" s="1"/>
  <c r="F2095" i="12" s="1"/>
  <c r="F2096" i="12" s="1"/>
  <c r="F2097" i="12" s="1"/>
  <c r="F2098" i="12" s="1"/>
  <c r="F2099" i="12" s="1"/>
  <c r="F2100" i="12" s="1"/>
  <c r="F2101" i="12" s="1"/>
  <c r="F2102" i="12" s="1"/>
  <c r="F2103" i="12" s="1"/>
  <c r="F2104" i="12" s="1"/>
  <c r="F2105" i="12" s="1"/>
  <c r="F2106" i="12" s="1"/>
  <c r="F2107" i="12" s="1"/>
  <c r="F2108" i="12" s="1"/>
  <c r="F2109" i="12" s="1"/>
  <c r="F2110" i="12" s="1"/>
  <c r="F2111" i="12" s="1"/>
  <c r="F2112" i="12" s="1"/>
  <c r="F2113" i="12" s="1"/>
  <c r="F2114" i="12" s="1"/>
  <c r="F2115" i="12" s="1"/>
  <c r="F2116" i="12" s="1"/>
  <c r="F2117" i="12" s="1"/>
  <c r="F2118" i="12" s="1"/>
  <c r="F2119" i="12" s="1"/>
  <c r="F2120" i="12" s="1"/>
  <c r="F2121" i="12" s="1"/>
  <c r="F2122" i="12" s="1"/>
  <c r="F2123" i="12" s="1"/>
  <c r="F2124" i="12" s="1"/>
  <c r="F2125" i="12" s="1"/>
  <c r="F2126" i="12" s="1"/>
  <c r="F2127" i="12" s="1"/>
  <c r="F2128" i="12" s="1"/>
  <c r="F2129" i="12" s="1"/>
  <c r="F2130" i="12" s="1"/>
  <c r="F2131" i="12" s="1"/>
  <c r="F2132" i="12" s="1"/>
  <c r="F2133" i="12" s="1"/>
  <c r="F2134" i="12" s="1"/>
  <c r="F2135" i="12" s="1"/>
  <c r="F2136" i="12" s="1"/>
  <c r="F2137" i="12" s="1"/>
  <c r="F2138" i="12" s="1"/>
  <c r="F2139" i="12" s="1"/>
  <c r="F2140" i="12" s="1"/>
  <c r="F2141" i="12" s="1"/>
  <c r="F2142" i="12" s="1"/>
  <c r="F2143" i="12" s="1"/>
  <c r="F2144" i="12" s="1"/>
  <c r="F2145" i="12" s="1"/>
  <c r="F2146" i="12" s="1"/>
  <c r="F2147" i="12" s="1"/>
  <c r="F2148" i="12" s="1"/>
  <c r="F2149" i="12" s="1"/>
  <c r="F2150" i="12" s="1"/>
  <c r="F2151" i="12" s="1"/>
  <c r="F2152" i="12" s="1"/>
  <c r="F2153" i="12" s="1"/>
  <c r="F2154" i="12" s="1"/>
  <c r="F2155" i="12" s="1"/>
  <c r="F2156" i="12" s="1"/>
  <c r="F2157" i="12" s="1"/>
  <c r="F2158" i="12" s="1"/>
  <c r="F2159" i="12" s="1"/>
  <c r="F2160" i="12" s="1"/>
  <c r="F2161" i="12" s="1"/>
  <c r="F2162" i="12" s="1"/>
  <c r="F2163" i="12" s="1"/>
  <c r="F2164" i="12" s="1"/>
  <c r="F2165" i="12" s="1"/>
  <c r="F2166" i="12" s="1"/>
  <c r="F2167" i="12" s="1"/>
  <c r="F2168" i="12" s="1"/>
  <c r="F2169" i="12" s="1"/>
  <c r="F2170" i="12" s="1"/>
  <c r="F2171" i="12" s="1"/>
  <c r="F2172" i="12" s="1"/>
  <c r="F2173" i="12" s="1"/>
  <c r="F2174" i="12" s="1"/>
  <c r="F2175" i="12" s="1"/>
  <c r="F2176" i="12" s="1"/>
  <c r="F2177" i="12" s="1"/>
  <c r="F2178" i="12" s="1"/>
  <c r="F2179" i="12" s="1"/>
  <c r="F2180" i="12" s="1"/>
  <c r="F2181" i="12" s="1"/>
  <c r="F2182" i="12" s="1"/>
  <c r="F2183" i="12" s="1"/>
  <c r="F2184" i="12" s="1"/>
  <c r="F2185" i="12" s="1"/>
  <c r="F2186" i="12" s="1"/>
  <c r="F2187" i="12" s="1"/>
  <c r="F2188" i="12" s="1"/>
  <c r="F2189" i="12" s="1"/>
  <c r="F2190" i="12" s="1"/>
  <c r="F2191" i="12" s="1"/>
  <c r="F2192" i="12" s="1"/>
  <c r="F2193" i="12" s="1"/>
  <c r="F2194" i="12" s="1"/>
  <c r="F2195" i="12" s="1"/>
  <c r="F2196" i="12" s="1"/>
  <c r="F2197" i="12" s="1"/>
  <c r="F2198" i="12" s="1"/>
  <c r="F2199" i="12" s="1"/>
  <c r="F2200" i="12" s="1"/>
  <c r="F2201" i="12" s="1"/>
  <c r="F2202" i="12" s="1"/>
  <c r="F2203" i="12" s="1"/>
  <c r="F2204" i="12" s="1"/>
  <c r="F2205" i="12" s="1"/>
  <c r="F2206" i="12" s="1"/>
  <c r="F2207" i="12" s="1"/>
  <c r="F2208" i="12" s="1"/>
  <c r="F2209" i="12" s="1"/>
  <c r="F2210" i="12" s="1"/>
  <c r="F2211" i="12" s="1"/>
  <c r="F2212" i="12" s="1"/>
  <c r="F2213" i="12" s="1"/>
  <c r="F2214" i="12" s="1"/>
  <c r="F2215" i="12" s="1"/>
  <c r="F2216" i="12" s="1"/>
  <c r="F2217" i="12" s="1"/>
  <c r="F2218" i="12" s="1"/>
  <c r="F2219" i="12" s="1"/>
  <c r="F2220" i="12" s="1"/>
  <c r="F2221" i="12" s="1"/>
  <c r="F2222" i="12" s="1"/>
  <c r="F2223" i="12" s="1"/>
  <c r="F2224" i="12" s="1"/>
  <c r="F2225" i="12" s="1"/>
  <c r="F2226" i="12" s="1"/>
  <c r="F2227" i="12" s="1"/>
  <c r="F2228" i="12" s="1"/>
  <c r="F2229" i="12" s="1"/>
  <c r="F2230" i="12" s="1"/>
  <c r="F2231" i="12" s="1"/>
  <c r="F2232" i="12" s="1"/>
  <c r="F2233" i="12" s="1"/>
  <c r="F2234" i="12" s="1"/>
  <c r="F2235" i="12" s="1"/>
  <c r="F2236" i="12" s="1"/>
  <c r="F2237" i="12" s="1"/>
  <c r="F2238" i="12" s="1"/>
  <c r="F2239" i="12" s="1"/>
  <c r="F2240" i="12" s="1"/>
  <c r="F2241" i="12" s="1"/>
  <c r="F2242" i="12" s="1"/>
  <c r="F2243" i="12" s="1"/>
  <c r="F2244" i="12" s="1"/>
  <c r="F2245" i="12" s="1"/>
  <c r="F2246" i="12" s="1"/>
  <c r="F2247" i="12" s="1"/>
  <c r="F2248" i="12" s="1"/>
  <c r="F2249" i="12" s="1"/>
  <c r="F2250" i="12" s="1"/>
  <c r="F2251" i="12" s="1"/>
  <c r="F2252" i="12" s="1"/>
  <c r="F2253" i="12" s="1"/>
  <c r="F2254" i="12" s="1"/>
  <c r="F2255" i="12" s="1"/>
  <c r="F2256" i="12" s="1"/>
  <c r="F2257" i="12" s="1"/>
  <c r="F2258" i="12" s="1"/>
  <c r="F2259" i="12" s="1"/>
  <c r="F2260" i="12" s="1"/>
  <c r="F2261" i="12" s="1"/>
  <c r="F2262" i="12" s="1"/>
  <c r="F2263" i="12" s="1"/>
  <c r="F2264" i="12" s="1"/>
  <c r="F2265" i="12" s="1"/>
  <c r="F2266" i="12" s="1"/>
  <c r="F2267" i="12" s="1"/>
  <c r="F2268" i="12" s="1"/>
  <c r="F2269" i="12" s="1"/>
  <c r="F2270" i="12" s="1"/>
  <c r="F2271" i="12" s="1"/>
  <c r="F2272" i="12" s="1"/>
  <c r="F2273" i="12" s="1"/>
  <c r="F2274" i="12" s="1"/>
  <c r="F2275" i="12" s="1"/>
  <c r="F2276" i="12" s="1"/>
  <c r="F2277" i="12" s="1"/>
  <c r="F2278" i="12" s="1"/>
  <c r="F2279" i="12" s="1"/>
  <c r="F2280" i="12" s="1"/>
  <c r="F2281" i="12" s="1"/>
  <c r="F2282" i="12" s="1"/>
  <c r="F2283" i="12" s="1"/>
  <c r="F2284" i="12" s="1"/>
  <c r="F2285" i="12" s="1"/>
  <c r="F2286" i="12" s="1"/>
  <c r="F2287" i="12" s="1"/>
  <c r="F2288" i="12" s="1"/>
  <c r="F2289" i="12" s="1"/>
  <c r="F2290" i="12" s="1"/>
  <c r="F2291" i="12" s="1"/>
  <c r="F2292" i="12" s="1"/>
  <c r="F2293" i="12" s="1"/>
  <c r="F2294" i="12" s="1"/>
  <c r="F2295" i="12" s="1"/>
  <c r="F2296" i="12" s="1"/>
  <c r="F2297" i="12" s="1"/>
  <c r="F2298" i="12" s="1"/>
  <c r="F2299" i="12" s="1"/>
  <c r="F2300" i="12" s="1"/>
  <c r="F2301" i="12" s="1"/>
  <c r="F2302" i="12" s="1"/>
  <c r="F2303" i="12" s="1"/>
  <c r="F2304" i="12" s="1"/>
  <c r="F2305" i="12" s="1"/>
  <c r="F2306" i="12" s="1"/>
  <c r="F2307" i="12" s="1"/>
  <c r="F2308" i="12" s="1"/>
  <c r="F2309" i="12" s="1"/>
  <c r="F2310" i="12" s="1"/>
  <c r="F2311" i="12" s="1"/>
  <c r="F2312" i="12" s="1"/>
  <c r="F2313" i="12" s="1"/>
  <c r="F2314" i="12" s="1"/>
  <c r="F2315" i="12" s="1"/>
  <c r="F2316" i="12" s="1"/>
  <c r="F2317" i="12" s="1"/>
  <c r="F2318" i="12" s="1"/>
  <c r="F2319" i="12" s="1"/>
  <c r="F2320" i="12" s="1"/>
  <c r="F2321" i="12" s="1"/>
  <c r="F2322" i="12" s="1"/>
  <c r="F2323" i="12" s="1"/>
  <c r="F2324" i="12" s="1"/>
  <c r="F2325" i="12" s="1"/>
  <c r="F2326" i="12" s="1"/>
  <c r="F2327" i="12" s="1"/>
  <c r="F2328" i="12" s="1"/>
  <c r="F2329" i="12" s="1"/>
  <c r="F2330" i="12" s="1"/>
  <c r="F2331" i="12" s="1"/>
  <c r="F2332" i="12" s="1"/>
  <c r="F2333" i="12" s="1"/>
  <c r="F2334" i="12" s="1"/>
  <c r="F2335" i="12" s="1"/>
  <c r="F2336" i="12" s="1"/>
  <c r="F2337" i="12" s="1"/>
  <c r="F2338" i="12" s="1"/>
  <c r="F2339" i="12" s="1"/>
  <c r="F2340" i="12" s="1"/>
  <c r="F2341" i="12" s="1"/>
  <c r="F2342" i="12" s="1"/>
  <c r="F2343" i="12" s="1"/>
  <c r="F2344" i="12" s="1"/>
  <c r="F2345" i="12" s="1"/>
  <c r="F2346" i="12" s="1"/>
  <c r="F2347" i="12" s="1"/>
  <c r="F2348" i="12" s="1"/>
  <c r="F2349" i="12" s="1"/>
  <c r="F2350" i="12" s="1"/>
  <c r="F2351" i="12" s="1"/>
  <c r="F2352" i="12" s="1"/>
  <c r="F2353" i="12" s="1"/>
  <c r="F2354" i="12" s="1"/>
  <c r="F2355" i="12" s="1"/>
  <c r="F2356" i="12" s="1"/>
  <c r="F2357" i="12" s="1"/>
  <c r="F2358" i="12" s="1"/>
  <c r="F2359" i="12" s="1"/>
  <c r="F2360" i="12" s="1"/>
  <c r="F2361" i="12" s="1"/>
  <c r="F2362" i="12" s="1"/>
  <c r="F2363" i="12" s="1"/>
  <c r="F2364" i="12" s="1"/>
  <c r="F2365" i="12" s="1"/>
  <c r="F2366" i="12" s="1"/>
  <c r="F2367" i="12" s="1"/>
  <c r="F2368" i="12" s="1"/>
  <c r="F2369" i="12" s="1"/>
  <c r="F2370" i="12" s="1"/>
  <c r="F2371" i="12" s="1"/>
  <c r="F2372" i="12" s="1"/>
  <c r="F2373" i="12" s="1"/>
  <c r="F2374" i="12" s="1"/>
  <c r="F2375" i="12" s="1"/>
  <c r="F2376" i="12" s="1"/>
  <c r="F2377" i="12" s="1"/>
  <c r="F2378" i="12" s="1"/>
  <c r="F2379" i="12" s="1"/>
  <c r="F2380" i="12" s="1"/>
  <c r="F2381" i="12" s="1"/>
  <c r="F2382" i="12" s="1"/>
  <c r="F2383" i="12" s="1"/>
  <c r="F2384" i="12" s="1"/>
  <c r="F2385" i="12" s="1"/>
  <c r="F2386" i="12" s="1"/>
  <c r="F2387" i="12" s="1"/>
  <c r="F2388" i="12" s="1"/>
  <c r="F2389" i="12" s="1"/>
  <c r="F2390" i="12" s="1"/>
  <c r="F2391" i="12" s="1"/>
  <c r="F2392" i="12" s="1"/>
  <c r="F2393" i="12" s="1"/>
  <c r="F2394" i="12" s="1"/>
  <c r="F2395" i="12" s="1"/>
  <c r="F2396" i="12" s="1"/>
  <c r="F2397" i="12" s="1"/>
  <c r="F2398" i="12" s="1"/>
  <c r="F2399" i="12" s="1"/>
  <c r="F2400" i="12" s="1"/>
  <c r="F2401" i="12" s="1"/>
  <c r="F2402" i="12" s="1"/>
  <c r="F2403" i="12" s="1"/>
  <c r="F2404" i="12" s="1"/>
  <c r="F2405" i="12" s="1"/>
  <c r="F2406" i="12" s="1"/>
  <c r="F2407" i="12" s="1"/>
  <c r="F2408" i="12" s="1"/>
  <c r="F2409" i="12" s="1"/>
  <c r="F2410" i="12" s="1"/>
  <c r="F2411" i="12" s="1"/>
  <c r="F2412" i="12" s="1"/>
  <c r="F2413" i="12" s="1"/>
  <c r="F2414" i="12" s="1"/>
  <c r="F2415" i="12" s="1"/>
  <c r="F2416" i="12" s="1"/>
  <c r="F2417" i="12" s="1"/>
  <c r="F2418" i="12" s="1"/>
  <c r="F2419" i="12" s="1"/>
  <c r="F2420" i="12" s="1"/>
  <c r="F2421" i="12" s="1"/>
  <c r="F2422" i="12" s="1"/>
  <c r="F2423" i="12" s="1"/>
  <c r="F2424" i="12" s="1"/>
  <c r="F2425" i="12" s="1"/>
  <c r="F2426" i="12" s="1"/>
  <c r="F2427" i="12" s="1"/>
  <c r="F2428" i="12" s="1"/>
  <c r="F2429" i="12" s="1"/>
  <c r="F2430" i="12" s="1"/>
  <c r="F2431" i="12" s="1"/>
  <c r="F2432" i="12" s="1"/>
  <c r="F2433" i="12" s="1"/>
  <c r="F2434" i="12" s="1"/>
  <c r="F2435" i="12" s="1"/>
  <c r="F2436" i="12" s="1"/>
  <c r="F2437" i="12" s="1"/>
  <c r="F2438" i="12" s="1"/>
  <c r="F2439" i="12" s="1"/>
  <c r="F2440" i="12" s="1"/>
  <c r="F2441" i="12" s="1"/>
  <c r="F2442" i="12" s="1"/>
  <c r="F2443" i="12" s="1"/>
  <c r="F2444" i="12" s="1"/>
  <c r="F2445" i="12" s="1"/>
  <c r="F2446" i="12" s="1"/>
  <c r="F2447" i="12" s="1"/>
  <c r="F2448" i="12" s="1"/>
  <c r="F2449" i="12" s="1"/>
  <c r="F2450" i="12" s="1"/>
  <c r="F2451" i="12" s="1"/>
  <c r="F2452" i="12" s="1"/>
  <c r="F2453" i="12" s="1"/>
  <c r="F2454" i="12" s="1"/>
  <c r="F2455" i="12" s="1"/>
  <c r="F2456" i="12" s="1"/>
  <c r="F2457" i="12" s="1"/>
  <c r="F2458" i="12" s="1"/>
  <c r="F2459" i="12" s="1"/>
  <c r="F2460" i="12" s="1"/>
  <c r="F2461" i="12" s="1"/>
  <c r="F2462" i="12" s="1"/>
  <c r="F2463" i="12" s="1"/>
  <c r="F2464" i="12" s="1"/>
  <c r="F2465" i="12" s="1"/>
  <c r="F2466" i="12" s="1"/>
  <c r="F2467" i="12" s="1"/>
  <c r="F2468" i="12" s="1"/>
  <c r="F2469" i="12" s="1"/>
  <c r="F2470" i="12" s="1"/>
  <c r="F2471" i="12" s="1"/>
  <c r="F2472" i="12" s="1"/>
  <c r="F2473" i="12" s="1"/>
  <c r="F2474" i="12" s="1"/>
  <c r="F2475" i="12" s="1"/>
  <c r="F2476" i="12" s="1"/>
  <c r="F2477" i="12" s="1"/>
  <c r="F2478" i="12" s="1"/>
  <c r="F2479" i="12" s="1"/>
  <c r="F2480" i="12" s="1"/>
  <c r="F2481" i="12" s="1"/>
  <c r="F2482" i="12" s="1"/>
  <c r="F2483" i="12" s="1"/>
  <c r="F2484" i="12" s="1"/>
  <c r="F2485" i="12" s="1"/>
  <c r="F2486" i="12" s="1"/>
  <c r="F2487" i="12" s="1"/>
  <c r="F2488" i="12" s="1"/>
  <c r="F2489" i="12" s="1"/>
  <c r="F2490" i="12" s="1"/>
  <c r="F2491" i="12" s="1"/>
  <c r="F2492" i="12" s="1"/>
  <c r="F2493" i="12" s="1"/>
  <c r="F2494" i="12" s="1"/>
  <c r="F2495" i="12" s="1"/>
  <c r="F2496" i="12" s="1"/>
  <c r="F2497" i="12" s="1"/>
  <c r="F2498" i="12" s="1"/>
  <c r="F2499" i="12" s="1"/>
  <c r="F2500" i="12" s="1"/>
  <c r="F2501" i="12" s="1"/>
  <c r="F2502" i="12" s="1"/>
  <c r="F2503" i="12" s="1"/>
  <c r="F2504" i="12" s="1"/>
  <c r="F2505" i="12" s="1"/>
  <c r="F2506" i="12" s="1"/>
  <c r="F2507" i="12" s="1"/>
  <c r="F2508" i="12" s="1"/>
  <c r="F2509" i="12" s="1"/>
  <c r="F2510" i="12" s="1"/>
  <c r="F2511" i="12" s="1"/>
  <c r="F2512" i="12" s="1"/>
  <c r="F2513" i="12" s="1"/>
  <c r="F2514" i="12" s="1"/>
  <c r="F2515" i="12" s="1"/>
  <c r="F2516" i="12" s="1"/>
  <c r="F2517" i="12" s="1"/>
  <c r="F2518" i="12" s="1"/>
  <c r="F2519" i="12" s="1"/>
  <c r="F2520" i="12" s="1"/>
  <c r="F2521" i="12" s="1"/>
  <c r="F2522" i="12" s="1"/>
  <c r="F2523" i="12" s="1"/>
  <c r="F2524" i="12" s="1"/>
  <c r="F2525" i="12" s="1"/>
  <c r="F2526" i="12" s="1"/>
  <c r="F2527" i="12" s="1"/>
  <c r="F2528" i="12" s="1"/>
  <c r="F2529" i="12" s="1"/>
  <c r="F2530" i="12" s="1"/>
  <c r="F2531" i="12" s="1"/>
  <c r="F2532" i="12" s="1"/>
  <c r="F2533" i="12" s="1"/>
  <c r="F2534" i="12" s="1"/>
  <c r="F2535" i="12" s="1"/>
  <c r="F2536" i="12" s="1"/>
  <c r="F2537" i="12" s="1"/>
  <c r="F2538" i="12" s="1"/>
  <c r="F2539" i="12" s="1"/>
  <c r="F2540" i="12" s="1"/>
  <c r="F2541" i="12" s="1"/>
  <c r="F2542" i="12" s="1"/>
  <c r="F2543" i="12" s="1"/>
  <c r="F2544" i="12" s="1"/>
  <c r="F2545" i="12" s="1"/>
  <c r="F2546" i="12" s="1"/>
  <c r="F2547" i="12" s="1"/>
  <c r="F2548" i="12" s="1"/>
  <c r="F2549" i="12" s="1"/>
  <c r="F2550" i="12" s="1"/>
  <c r="F2551" i="12" s="1"/>
  <c r="F2552" i="12" s="1"/>
  <c r="F2553" i="12" s="1"/>
  <c r="F2554" i="12" s="1"/>
  <c r="F2555" i="12" s="1"/>
  <c r="F2556" i="12" s="1"/>
  <c r="F2557" i="12" s="1"/>
  <c r="F2558" i="12" s="1"/>
  <c r="F2559" i="12" s="1"/>
  <c r="F2560" i="12" s="1"/>
  <c r="F2561" i="12" s="1"/>
  <c r="F2562" i="12" s="1"/>
  <c r="F2563" i="12" s="1"/>
  <c r="F2564" i="12" s="1"/>
  <c r="F2565" i="12" s="1"/>
  <c r="F2566" i="12" s="1"/>
  <c r="F2567" i="12" s="1"/>
  <c r="F2568" i="12" s="1"/>
  <c r="F2569" i="12" s="1"/>
  <c r="F2570" i="12" s="1"/>
  <c r="F2571" i="12" s="1"/>
  <c r="F2572" i="12" s="1"/>
  <c r="F2573" i="12" s="1"/>
  <c r="F2574" i="12" s="1"/>
  <c r="F2575" i="12" s="1"/>
  <c r="F2576" i="12" s="1"/>
  <c r="F2577" i="12" s="1"/>
  <c r="F2578" i="12" s="1"/>
  <c r="F2579" i="12" s="1"/>
  <c r="F2580" i="12" s="1"/>
  <c r="F2581" i="12" s="1"/>
  <c r="F2582" i="12" s="1"/>
  <c r="F2583" i="12" s="1"/>
  <c r="F2584" i="12" s="1"/>
  <c r="F2585" i="12" s="1"/>
  <c r="F2586" i="12" s="1"/>
  <c r="F2587" i="12" s="1"/>
  <c r="F2588" i="12" s="1"/>
  <c r="F2589" i="12" s="1"/>
  <c r="F2590" i="12" s="1"/>
  <c r="F2591" i="12" s="1"/>
  <c r="F2592" i="12" s="1"/>
  <c r="F2593" i="12" s="1"/>
  <c r="F2594" i="12" s="1"/>
  <c r="F2595" i="12" s="1"/>
  <c r="F2596" i="12" s="1"/>
  <c r="F2597" i="12" s="1"/>
  <c r="F2598" i="12" s="1"/>
  <c r="F2599" i="12" s="1"/>
  <c r="F2600" i="12" s="1"/>
  <c r="F2601" i="12" s="1"/>
  <c r="F2602" i="12" s="1"/>
  <c r="F2603" i="12" s="1"/>
  <c r="F2604" i="12" s="1"/>
  <c r="F2605" i="12" s="1"/>
  <c r="F2606" i="12" s="1"/>
  <c r="F2607" i="12" s="1"/>
  <c r="F2608" i="12" s="1"/>
  <c r="F2609" i="12" s="1"/>
  <c r="F2610" i="12" s="1"/>
  <c r="F2795" i="12"/>
  <c r="F2796" i="12" s="1"/>
  <c r="F2797" i="12" s="1"/>
  <c r="F2798" i="12" s="1"/>
  <c r="F2799" i="12" s="1"/>
  <c r="F2800" i="12" s="1"/>
  <c r="F2801" i="12" s="1"/>
  <c r="F2802" i="12" s="1"/>
  <c r="F2803" i="12" s="1"/>
  <c r="F2804" i="12" s="1"/>
  <c r="F2805" i="12" s="1"/>
  <c r="F2806" i="12" s="1"/>
  <c r="F2807" i="12" s="1"/>
  <c r="F2808" i="12" s="1"/>
  <c r="F2809" i="12" s="1"/>
  <c r="F2810" i="12" s="1"/>
  <c r="F2811" i="12" s="1"/>
  <c r="F2812" i="12" s="1"/>
  <c r="F2813" i="12" s="1"/>
  <c r="F2814" i="12" s="1"/>
  <c r="F2815" i="12" s="1"/>
  <c r="F2816" i="12" s="1"/>
  <c r="F2817" i="12" s="1"/>
  <c r="F2818" i="12" s="1"/>
  <c r="F2819" i="12" s="1"/>
  <c r="F2820" i="12" s="1"/>
  <c r="F2821" i="12" s="1"/>
  <c r="F2822" i="12" s="1"/>
  <c r="F2823" i="12" s="1"/>
  <c r="F2824" i="12" s="1"/>
  <c r="F2825" i="12" s="1"/>
  <c r="F2826" i="12" s="1"/>
  <c r="F2827" i="12" s="1"/>
  <c r="F2828" i="12" s="1"/>
  <c r="F2829" i="12" s="1"/>
  <c r="F2830" i="12" s="1"/>
  <c r="F2831" i="12" s="1"/>
  <c r="F2832" i="12" s="1"/>
  <c r="F2833" i="12" s="1"/>
  <c r="F2834" i="12" s="1"/>
  <c r="F2835" i="12" s="1"/>
  <c r="F2836" i="12" s="1"/>
  <c r="F2837" i="12" s="1"/>
  <c r="F2838" i="12" s="1"/>
  <c r="F2839" i="12" s="1"/>
  <c r="F2840" i="12" s="1"/>
  <c r="F2841" i="12" s="1"/>
  <c r="F2842" i="12" s="1"/>
  <c r="F2843" i="12" s="1"/>
  <c r="F2844" i="12" s="1"/>
  <c r="F2845" i="12" s="1"/>
  <c r="F2846" i="12" s="1"/>
  <c r="F2847" i="12" s="1"/>
  <c r="F2848" i="12" s="1"/>
  <c r="F2849" i="12" s="1"/>
  <c r="F2850" i="12" s="1"/>
  <c r="F2851" i="12" s="1"/>
  <c r="F2852" i="12" s="1"/>
  <c r="F2853" i="12" s="1"/>
  <c r="F2854" i="12" s="1"/>
  <c r="F2855" i="12" s="1"/>
  <c r="F2856" i="12" s="1"/>
  <c r="F2857" i="12" s="1"/>
  <c r="F2858" i="12" s="1"/>
  <c r="F2859" i="12" s="1"/>
  <c r="F2860" i="12" s="1"/>
  <c r="F2861" i="12" s="1"/>
  <c r="F2862" i="12" s="1"/>
  <c r="F2863" i="12" s="1"/>
  <c r="F2864" i="12" s="1"/>
  <c r="F2865" i="12" s="1"/>
  <c r="F2866" i="12" s="1"/>
  <c r="F2867" i="12" s="1"/>
  <c r="F2868" i="12" s="1"/>
  <c r="F2869" i="12" s="1"/>
  <c r="F2870" i="12" s="1"/>
  <c r="F2871" i="12" s="1"/>
  <c r="F2872" i="12" s="1"/>
  <c r="F2873" i="12" s="1"/>
  <c r="F2874" i="12" s="1"/>
  <c r="F2875" i="12" s="1"/>
  <c r="F2876" i="12" s="1"/>
  <c r="F2877" i="12" s="1"/>
  <c r="F2878" i="12" s="1"/>
  <c r="F2879" i="12" s="1"/>
  <c r="F2880" i="12" s="1"/>
  <c r="F2881" i="12" s="1"/>
  <c r="F2882" i="12" s="1"/>
  <c r="F2883" i="12" s="1"/>
  <c r="F2884" i="12" s="1"/>
  <c r="F2885" i="12" s="1"/>
  <c r="F2886" i="12" s="1"/>
  <c r="F2887" i="12" s="1"/>
  <c r="F2888" i="12" s="1"/>
  <c r="F2889" i="12" s="1"/>
  <c r="F2890" i="12" s="1"/>
  <c r="F2891" i="12" s="1"/>
  <c r="F2892" i="12" s="1"/>
  <c r="F2893" i="12" s="1"/>
  <c r="F2894" i="12" s="1"/>
  <c r="F2895" i="12" s="1"/>
  <c r="F2896" i="12" s="1"/>
  <c r="F2897" i="12" s="1"/>
  <c r="F2898" i="12" s="1"/>
  <c r="F2899" i="12" s="1"/>
  <c r="F2900" i="12" s="1"/>
  <c r="F2901" i="12" s="1"/>
  <c r="F2902" i="12" s="1"/>
  <c r="F2903" i="12" s="1"/>
  <c r="F2904" i="12" s="1"/>
  <c r="F2905" i="12" s="1"/>
  <c r="F2906" i="12" s="1"/>
  <c r="F2907" i="12" s="1"/>
  <c r="F2908" i="12" s="1"/>
  <c r="F2909" i="12" s="1"/>
  <c r="F2910" i="12" s="1"/>
  <c r="F2911" i="12" s="1"/>
  <c r="F2912" i="12" s="1"/>
  <c r="F2913" i="12" s="1"/>
  <c r="F2914" i="12" s="1"/>
  <c r="F2915" i="12" s="1"/>
  <c r="F2916" i="12" s="1"/>
  <c r="F2917" i="12" s="1"/>
  <c r="F2918" i="12" s="1"/>
  <c r="F2919" i="12" s="1"/>
  <c r="F2920" i="12" s="1"/>
  <c r="F2921" i="12" s="1"/>
  <c r="F2922" i="12" s="1"/>
  <c r="F2923" i="12" s="1"/>
  <c r="F2924" i="12" s="1"/>
  <c r="F2925" i="12" s="1"/>
  <c r="F2926" i="12" s="1"/>
  <c r="F2927" i="12" s="1"/>
  <c r="F2928" i="12" s="1"/>
  <c r="F2929" i="12" s="1"/>
  <c r="F2930" i="12" s="1"/>
  <c r="F2931" i="12" s="1"/>
  <c r="F2932" i="12" s="1"/>
  <c r="F2933" i="12" s="1"/>
  <c r="F2934" i="12" s="1"/>
  <c r="F2935" i="12" s="1"/>
  <c r="F2936" i="12" s="1"/>
  <c r="F2937" i="12" s="1"/>
  <c r="F2938" i="12" s="1"/>
  <c r="F2939" i="12" s="1"/>
  <c r="F2940" i="12" s="1"/>
  <c r="F2941" i="12" s="1"/>
  <c r="F2942" i="12" s="1"/>
  <c r="F2943" i="12" s="1"/>
  <c r="F2944" i="12" s="1"/>
  <c r="F2945" i="12" s="1"/>
  <c r="F2946" i="12" s="1"/>
  <c r="F2947" i="12" s="1"/>
  <c r="F2948" i="12" s="1"/>
  <c r="F2949" i="12" s="1"/>
  <c r="F2950" i="12" s="1"/>
  <c r="F2951" i="12" s="1"/>
  <c r="F2952" i="12" s="1"/>
  <c r="F2953" i="12" s="1"/>
  <c r="F2954" i="12" s="1"/>
  <c r="F2955" i="12" s="1"/>
  <c r="F2956" i="12" s="1"/>
  <c r="F2957" i="12" s="1"/>
  <c r="F2958" i="12" s="1"/>
  <c r="F2959" i="12" s="1"/>
  <c r="F2960" i="12" s="1"/>
  <c r="F2961" i="12" s="1"/>
  <c r="F2962" i="12" s="1"/>
  <c r="F2963" i="12" s="1"/>
  <c r="F2964" i="12" s="1"/>
  <c r="F2965" i="12" s="1"/>
  <c r="F2966" i="12" s="1"/>
  <c r="F2967" i="12" s="1"/>
  <c r="F2968" i="12" s="1"/>
  <c r="F2969" i="12" s="1"/>
  <c r="F2970" i="12" s="1"/>
  <c r="F2971" i="12" s="1"/>
  <c r="F2972" i="12" s="1"/>
  <c r="F2973" i="12" s="1"/>
  <c r="F2974" i="12" s="1"/>
  <c r="F2975" i="12" s="1"/>
  <c r="F2976" i="12" s="1"/>
  <c r="F2977" i="12" s="1"/>
  <c r="F2978" i="12" s="1"/>
  <c r="F2979" i="12" s="1"/>
  <c r="F2980" i="12" s="1"/>
  <c r="F2981" i="12" s="1"/>
  <c r="F2982" i="12" s="1"/>
  <c r="F2983" i="12" s="1"/>
  <c r="F2984" i="12" s="1"/>
  <c r="F2985" i="12" s="1"/>
  <c r="F2986" i="12" s="1"/>
  <c r="F2987" i="12" s="1"/>
  <c r="F2988" i="12" s="1"/>
  <c r="F2989" i="12" s="1"/>
  <c r="F2990" i="12" s="1"/>
  <c r="F2991" i="12" s="1"/>
  <c r="F2992" i="12" s="1"/>
  <c r="F2993" i="12" s="1"/>
  <c r="F2994" i="12" s="1"/>
  <c r="F2995" i="12" s="1"/>
  <c r="F2996" i="12" s="1"/>
  <c r="F2997" i="12" s="1"/>
  <c r="F2998" i="12" s="1"/>
  <c r="F2999" i="12" s="1"/>
  <c r="F3000" i="12" s="1"/>
  <c r="F3001" i="12" s="1"/>
  <c r="F3002" i="12" s="1"/>
  <c r="F3003" i="12" s="1"/>
  <c r="F3004" i="12" s="1"/>
  <c r="F3005" i="12" s="1"/>
  <c r="F3006" i="12" s="1"/>
  <c r="F3007" i="12" s="1"/>
  <c r="F3008" i="12" s="1"/>
  <c r="F3009" i="12" s="1"/>
  <c r="F3010" i="12" s="1"/>
  <c r="F3011" i="12" s="1"/>
  <c r="F3024" i="12"/>
  <c r="F3025" i="12" s="1"/>
  <c r="F3026" i="12" s="1"/>
  <c r="F3027" i="12" s="1"/>
  <c r="F3028" i="12" s="1"/>
  <c r="F3029" i="12" s="1"/>
  <c r="F3030" i="12" s="1"/>
  <c r="F3031" i="12" s="1"/>
  <c r="F3032" i="12" s="1"/>
  <c r="F3033" i="12" s="1"/>
  <c r="F3034" i="12" s="1"/>
  <c r="F3035" i="12" s="1"/>
  <c r="F3036" i="12" s="1"/>
  <c r="F3037" i="12" s="1"/>
  <c r="F3038" i="12" s="1"/>
  <c r="F3039" i="12" s="1"/>
  <c r="F3040" i="12" s="1"/>
  <c r="F3041" i="12" s="1"/>
  <c r="F3042" i="12" s="1"/>
  <c r="F3043" i="12" s="1"/>
  <c r="F3044" i="12" s="1"/>
  <c r="F3045" i="12" s="1"/>
  <c r="F3046" i="12" s="1"/>
  <c r="F3047" i="12" s="1"/>
  <c r="F3048" i="12" s="1"/>
  <c r="F3049" i="12" s="1"/>
  <c r="F3050" i="12" s="1"/>
  <c r="F3051" i="12" s="1"/>
  <c r="F3052" i="12" s="1"/>
  <c r="F3053" i="12" s="1"/>
  <c r="F3054" i="12" s="1"/>
  <c r="F3055" i="12" s="1"/>
  <c r="F3056" i="12" s="1"/>
  <c r="F3057" i="12" s="1"/>
  <c r="F3058" i="12" s="1"/>
  <c r="F3059" i="12" s="1"/>
  <c r="F3060" i="12" s="1"/>
  <c r="F3061" i="12" s="1"/>
  <c r="F3062" i="12" s="1"/>
  <c r="F3063" i="12" s="1"/>
  <c r="F3064" i="12" s="1"/>
  <c r="F3065" i="12" s="1"/>
  <c r="F3066" i="12" s="1"/>
  <c r="F3067" i="12" s="1"/>
  <c r="F3068" i="12" s="1"/>
  <c r="F3069" i="12" s="1"/>
  <c r="F3070" i="12" s="1"/>
  <c r="F3071" i="12" s="1"/>
  <c r="F3072" i="12" s="1"/>
  <c r="F3073" i="12" s="1"/>
  <c r="F3074" i="12" s="1"/>
  <c r="F3075" i="12" s="1"/>
  <c r="F3076" i="12" s="1"/>
  <c r="F3077" i="12" s="1"/>
  <c r="F3078" i="12" s="1"/>
  <c r="F3079" i="12" s="1"/>
  <c r="F3080" i="12" s="1"/>
  <c r="F3081" i="12" s="1"/>
  <c r="F3082" i="12" s="1"/>
  <c r="F3083" i="12" s="1"/>
  <c r="F3084" i="12" s="1"/>
  <c r="F3085" i="12" s="1"/>
  <c r="F3086" i="12" s="1"/>
  <c r="F3087" i="12" s="1"/>
  <c r="F3088" i="12" s="1"/>
  <c r="F3089" i="12" s="1"/>
  <c r="F3090" i="12" s="1"/>
  <c r="F3091" i="12" s="1"/>
  <c r="F3092" i="12" s="1"/>
  <c r="F3093" i="12" s="1"/>
  <c r="F3094" i="12" s="1"/>
  <c r="F3095" i="12" s="1"/>
  <c r="F3096" i="12" s="1"/>
  <c r="F3097" i="12" s="1"/>
  <c r="F3098" i="12" s="1"/>
  <c r="F3099" i="12" s="1"/>
  <c r="F3100" i="12" s="1"/>
  <c r="F3101" i="12" s="1"/>
  <c r="F3102" i="12" s="1"/>
  <c r="F3103" i="12" s="1"/>
  <c r="F3104" i="12" s="1"/>
  <c r="F3105" i="12" s="1"/>
  <c r="F3106" i="12" s="1"/>
  <c r="F3107" i="12" s="1"/>
  <c r="F3108" i="12" s="1"/>
  <c r="F3109" i="12" s="1"/>
  <c r="F3110" i="12" s="1"/>
  <c r="F3111" i="12" s="1"/>
  <c r="F3112" i="12" s="1"/>
  <c r="F3113" i="12" s="1"/>
  <c r="F3114" i="12" s="1"/>
  <c r="F3115" i="12" s="1"/>
  <c r="F3116" i="12" s="1"/>
  <c r="F3117" i="12" s="1"/>
  <c r="F3118" i="12" s="1"/>
  <c r="F3119" i="12" s="1"/>
  <c r="F3120" i="12" s="1"/>
  <c r="F3121" i="12" s="1"/>
  <c r="F3122" i="12" s="1"/>
  <c r="F3123" i="12" s="1"/>
  <c r="F3124" i="12" s="1"/>
  <c r="F3125" i="12" s="1"/>
  <c r="F3126" i="12" s="1"/>
  <c r="F3127" i="12" s="1"/>
  <c r="F3128" i="12" s="1"/>
  <c r="F3129" i="12" s="1"/>
  <c r="F3130" i="12" s="1"/>
  <c r="F3131" i="12" s="1"/>
  <c r="F3132" i="12" s="1"/>
  <c r="F3133" i="12" s="1"/>
  <c r="F3134" i="12" s="1"/>
  <c r="F3135" i="12" s="1"/>
  <c r="F3136" i="12" s="1"/>
  <c r="F3137" i="12" s="1"/>
  <c r="F3138" i="12" s="1"/>
  <c r="F3139" i="12" s="1"/>
  <c r="F3140" i="12" s="1"/>
  <c r="F3141" i="12" s="1"/>
  <c r="F3142" i="12" s="1"/>
  <c r="F3143" i="12" s="1"/>
  <c r="F3144" i="12" s="1"/>
  <c r="F3145" i="12" s="1"/>
  <c r="F3146" i="12" s="1"/>
  <c r="F3147" i="12" s="1"/>
  <c r="F3148" i="12" s="1"/>
  <c r="F3149" i="12" s="1"/>
  <c r="F3150" i="12" s="1"/>
  <c r="F3151" i="12" s="1"/>
  <c r="F3152" i="12" s="1"/>
  <c r="F3153" i="12" s="1"/>
  <c r="F3154" i="12" s="1"/>
  <c r="F3155" i="12" s="1"/>
  <c r="F3156" i="12" s="1"/>
  <c r="F3157" i="12" s="1"/>
  <c r="F3158" i="12" s="1"/>
  <c r="F3159" i="12" s="1"/>
  <c r="F3160" i="12" s="1"/>
  <c r="F3161" i="12" s="1"/>
  <c r="F3162" i="12" s="1"/>
  <c r="F3163" i="12" s="1"/>
  <c r="F3164" i="12" s="1"/>
  <c r="F3165" i="12" s="1"/>
  <c r="F3166" i="12" s="1"/>
  <c r="F3167" i="12" s="1"/>
  <c r="F3168" i="12" s="1"/>
  <c r="F3169" i="12" s="1"/>
  <c r="F3170" i="12" s="1"/>
  <c r="F3171" i="12" s="1"/>
  <c r="F3172" i="12" s="1"/>
  <c r="F3173" i="12" s="1"/>
  <c r="F3174" i="12" s="1"/>
  <c r="F3175" i="12" s="1"/>
  <c r="F3176" i="12" s="1"/>
  <c r="F3177" i="12" s="1"/>
  <c r="F3178" i="12" s="1"/>
  <c r="F3179" i="12" s="1"/>
  <c r="F3180" i="12" s="1"/>
  <c r="F3181" i="12" s="1"/>
  <c r="F3182" i="12" s="1"/>
  <c r="F3183" i="12" s="1"/>
  <c r="F3184" i="12" s="1"/>
  <c r="F3185" i="12" s="1"/>
  <c r="F3186" i="12" s="1"/>
  <c r="F3187" i="12" s="1"/>
  <c r="F3188" i="12" s="1"/>
  <c r="F3189" i="12" s="1"/>
  <c r="F3190" i="12" s="1"/>
  <c r="F3191" i="12" s="1"/>
  <c r="F3192" i="12" s="1"/>
  <c r="F3193" i="12" s="1"/>
  <c r="F3194" i="12" s="1"/>
  <c r="F3195" i="12" s="1"/>
  <c r="F3196" i="12" s="1"/>
  <c r="F3197" i="12" s="1"/>
  <c r="F3198" i="12" s="1"/>
  <c r="F3199" i="12" s="1"/>
  <c r="F3200" i="12" s="1"/>
  <c r="F3201" i="12" s="1"/>
  <c r="F3202" i="12" s="1"/>
  <c r="F3203" i="12" s="1"/>
  <c r="F3204" i="12" s="1"/>
  <c r="F3205" i="12" s="1"/>
  <c r="F3206" i="12" s="1"/>
  <c r="F3207" i="12" s="1"/>
  <c r="F3208" i="12" s="1"/>
  <c r="F3209" i="12" s="1"/>
  <c r="F3210" i="12" s="1"/>
  <c r="F3211" i="12" s="1"/>
  <c r="F3212" i="12" s="1"/>
  <c r="F3997" i="12"/>
  <c r="F3998" i="12" s="1"/>
  <c r="F3999" i="12" s="1"/>
  <c r="F4000" i="12" s="1"/>
  <c r="F4001" i="12" s="1"/>
  <c r="F4002" i="12" s="1"/>
  <c r="F4003" i="12" s="1"/>
  <c r="F4004" i="12" s="1"/>
  <c r="F4005" i="12" s="1"/>
  <c r="F4006" i="12" s="1"/>
  <c r="F4007" i="12" s="1"/>
  <c r="F4008" i="12" s="1"/>
  <c r="F4009" i="12" s="1"/>
  <c r="F4010" i="12" s="1"/>
  <c r="F4011" i="12" s="1"/>
  <c r="F4012" i="12" s="1"/>
  <c r="F4013" i="12" s="1"/>
  <c r="F4014" i="12" s="1"/>
  <c r="F4015" i="12" s="1"/>
  <c r="F4016" i="12" s="1"/>
  <c r="F4017" i="12" s="1"/>
  <c r="F4018" i="12" s="1"/>
  <c r="F4019" i="12" s="1"/>
  <c r="F4020" i="12" s="1"/>
  <c r="F4021" i="12" s="1"/>
  <c r="F4022" i="12" s="1"/>
  <c r="F4023" i="12" s="1"/>
  <c r="F4024" i="12" s="1"/>
  <c r="F4025" i="12" s="1"/>
  <c r="F4026" i="12" s="1"/>
  <c r="F4027" i="12" s="1"/>
  <c r="F4028" i="12" s="1"/>
  <c r="F4029" i="12" s="1"/>
  <c r="F4030" i="12" s="1"/>
  <c r="F4031" i="12" s="1"/>
  <c r="F4032" i="12" s="1"/>
  <c r="F4033" i="12" s="1"/>
  <c r="F4034" i="12" s="1"/>
  <c r="F4035" i="12" s="1"/>
  <c r="F4036" i="12" s="1"/>
  <c r="F4037" i="12" s="1"/>
  <c r="F4038" i="12" s="1"/>
  <c r="F4039" i="12" s="1"/>
  <c r="F4040" i="12" s="1"/>
  <c r="F4041" i="12" s="1"/>
  <c r="F4042" i="12" s="1"/>
  <c r="F4043" i="12" s="1"/>
  <c r="F4044" i="12" s="1"/>
  <c r="F4045" i="12" s="1"/>
  <c r="F4046" i="12" s="1"/>
  <c r="F4047" i="12" s="1"/>
  <c r="F4048" i="12" s="1"/>
  <c r="F4049" i="12" s="1"/>
  <c r="F4050" i="12" s="1"/>
  <c r="F4051" i="12" s="1"/>
  <c r="F4052" i="12" s="1"/>
  <c r="F4053" i="12" s="1"/>
  <c r="F4054" i="12" s="1"/>
  <c r="F4055" i="12" s="1"/>
  <c r="F4056" i="12" s="1"/>
  <c r="F4057" i="12" s="1"/>
  <c r="F4058" i="12" s="1"/>
  <c r="F4059" i="12" s="1"/>
  <c r="F4060" i="12" s="1"/>
  <c r="F4061" i="12" s="1"/>
  <c r="F4062" i="12" s="1"/>
  <c r="F4063" i="12" s="1"/>
  <c r="F4064" i="12" s="1"/>
  <c r="F4065" i="12" s="1"/>
  <c r="F4066" i="12" s="1"/>
  <c r="F4067" i="12" s="1"/>
  <c r="F4068" i="12" s="1"/>
  <c r="F4069" i="12" s="1"/>
  <c r="F4070" i="12" s="1"/>
  <c r="F4071" i="12" s="1"/>
  <c r="F4072" i="12" s="1"/>
  <c r="F4073" i="12" s="1"/>
  <c r="F4074" i="12" s="1"/>
  <c r="F4075" i="12" s="1"/>
  <c r="F4076" i="12" s="1"/>
  <c r="F4077" i="12" s="1"/>
  <c r="F4078" i="12" s="1"/>
  <c r="F4079" i="12" s="1"/>
  <c r="F4080" i="12" s="1"/>
  <c r="F4081" i="12" s="1"/>
  <c r="F4082" i="12" s="1"/>
  <c r="F4083" i="12" s="1"/>
  <c r="F4084" i="12" s="1"/>
  <c r="F4085" i="12" s="1"/>
  <c r="F4086" i="12" s="1"/>
  <c r="F4087" i="12" s="1"/>
  <c r="F4088" i="12" s="1"/>
  <c r="F4089" i="12" s="1"/>
  <c r="F4090" i="12" s="1"/>
  <c r="F4091" i="12" s="1"/>
  <c r="F4092" i="12" s="1"/>
  <c r="F4093" i="12" s="1"/>
  <c r="F4094" i="12" s="1"/>
  <c r="F4095" i="12" s="1"/>
  <c r="F4096" i="12" s="1"/>
  <c r="F4097" i="12" s="1"/>
  <c r="F4098" i="12" s="1"/>
  <c r="F4099" i="12" s="1"/>
  <c r="F4100" i="12" s="1"/>
  <c r="F4101" i="12" s="1"/>
  <c r="F4102" i="12" s="1"/>
  <c r="F4103" i="12" s="1"/>
  <c r="F4104" i="12" s="1"/>
  <c r="F4105" i="12" s="1"/>
  <c r="F4106" i="12" s="1"/>
  <c r="F4107" i="12" s="1"/>
  <c r="F4108" i="12" s="1"/>
  <c r="F4109" i="12" s="1"/>
  <c r="F4110" i="12" s="1"/>
  <c r="F4111" i="12" s="1"/>
  <c r="F4112" i="12" s="1"/>
  <c r="F4113" i="12" s="1"/>
  <c r="F4114" i="12" s="1"/>
  <c r="F4115" i="12" s="1"/>
  <c r="F4116" i="12" s="1"/>
  <c r="F4117" i="12" s="1"/>
  <c r="F4118" i="12" s="1"/>
  <c r="F4119" i="12" s="1"/>
  <c r="F4120" i="12" s="1"/>
  <c r="F4121" i="12" s="1"/>
  <c r="F4122" i="12" s="1"/>
  <c r="F4123" i="12" s="1"/>
  <c r="F4124" i="12" s="1"/>
  <c r="F4125" i="12" s="1"/>
  <c r="F4126" i="12" s="1"/>
  <c r="F4127" i="12" s="1"/>
  <c r="F4128" i="12" s="1"/>
  <c r="F4129" i="12" s="1"/>
  <c r="F4130" i="12" s="1"/>
  <c r="F4131" i="12" s="1"/>
  <c r="F4132" i="12" s="1"/>
  <c r="F4133" i="12" s="1"/>
  <c r="F4134" i="12" s="1"/>
  <c r="F4135" i="12" s="1"/>
  <c r="F4136" i="12" s="1"/>
  <c r="F4137" i="12" s="1"/>
  <c r="F4138" i="12" s="1"/>
  <c r="F4139" i="12" s="1"/>
  <c r="F4140" i="12" s="1"/>
  <c r="F4141" i="12" s="1"/>
  <c r="F4142" i="12" s="1"/>
  <c r="F4143" i="12" s="1"/>
  <c r="F4144" i="12" s="1"/>
  <c r="F4145" i="12" s="1"/>
  <c r="F4146" i="12" s="1"/>
  <c r="F4147" i="12" s="1"/>
  <c r="F4148" i="12" s="1"/>
  <c r="F4149" i="12" s="1"/>
  <c r="F4150" i="12" s="1"/>
  <c r="F4151" i="12" s="1"/>
  <c r="F4152" i="12" s="1"/>
  <c r="F4153" i="12" s="1"/>
  <c r="F3236" i="12"/>
  <c r="F3237" i="12" s="1"/>
  <c r="F3238" i="12" s="1"/>
  <c r="F3239" i="12" s="1"/>
  <c r="F3240" i="12" s="1"/>
  <c r="F3241" i="12" s="1"/>
  <c r="F3242" i="12" s="1"/>
  <c r="F3243" i="12" s="1"/>
  <c r="F3244" i="12" s="1"/>
  <c r="F3245" i="12" s="1"/>
  <c r="F3246" i="12" s="1"/>
  <c r="F3247" i="12" s="1"/>
  <c r="F3248" i="12" s="1"/>
  <c r="F3249" i="12" s="1"/>
  <c r="F3250" i="12" s="1"/>
  <c r="F3251" i="12" s="1"/>
  <c r="F3252" i="12" s="1"/>
  <c r="F3253" i="12" s="1"/>
  <c r="F3254" i="12" s="1"/>
  <c r="F3255" i="12" s="1"/>
  <c r="F3321" i="12"/>
  <c r="F3322" i="12" s="1"/>
  <c r="F3323" i="12" s="1"/>
  <c r="F3324" i="12" s="1"/>
  <c r="F3325" i="12" s="1"/>
  <c r="F3326" i="12" s="1"/>
  <c r="F3327" i="12" s="1"/>
  <c r="F3328" i="12" s="1"/>
  <c r="F3329" i="12" s="1"/>
  <c r="F3330" i="12" s="1"/>
  <c r="F3331" i="12" s="1"/>
  <c r="F3332" i="12" s="1"/>
  <c r="F3333" i="12" s="1"/>
  <c r="F3334" i="12" s="1"/>
  <c r="F3335" i="12" s="1"/>
  <c r="F3336" i="12" s="1"/>
  <c r="F3337" i="12" s="1"/>
  <c r="F3338" i="12" s="1"/>
  <c r="F3339" i="12" s="1"/>
  <c r="F3340" i="12" s="1"/>
  <c r="F3341" i="12" s="1"/>
  <c r="F3342" i="12" s="1"/>
  <c r="F3343" i="12" s="1"/>
  <c r="F3344" i="12" s="1"/>
  <c r="F3345" i="12" s="1"/>
  <c r="F3346" i="12" s="1"/>
  <c r="F3347" i="12" s="1"/>
  <c r="F3348" i="12" s="1"/>
  <c r="F3349" i="12" s="1"/>
  <c r="F3350" i="12" s="1"/>
  <c r="F3351" i="12" s="1"/>
  <c r="F3352" i="12" s="1"/>
  <c r="F3353" i="12" s="1"/>
  <c r="F3354" i="12" s="1"/>
  <c r="F3355" i="12" s="1"/>
  <c r="F3356" i="12" s="1"/>
  <c r="F3357" i="12" s="1"/>
  <c r="F3358" i="12" s="1"/>
  <c r="F3359" i="12" s="1"/>
  <c r="F3360" i="12" s="1"/>
  <c r="F3361" i="12" s="1"/>
  <c r="F3362" i="12" s="1"/>
  <c r="F3363" i="12" s="1"/>
  <c r="F3364" i="12" s="1"/>
  <c r="F3365" i="12" s="1"/>
  <c r="F3366" i="12" s="1"/>
  <c r="F3367" i="12" s="1"/>
  <c r="F3368" i="12" s="1"/>
  <c r="F3369" i="12" s="1"/>
  <c r="F3370" i="12" s="1"/>
  <c r="F3371" i="12" s="1"/>
  <c r="F3372" i="12" s="1"/>
  <c r="F3373" i="12" s="1"/>
  <c r="F3374" i="12" s="1"/>
  <c r="F3375" i="12" s="1"/>
  <c r="F3376" i="12" s="1"/>
  <c r="F3377" i="12" s="1"/>
  <c r="F3378" i="12" s="1"/>
  <c r="F3379" i="12" s="1"/>
  <c r="F3380" i="12" s="1"/>
  <c r="F3381" i="12" s="1"/>
  <c r="F3382" i="12" s="1"/>
  <c r="F3383" i="12" s="1"/>
  <c r="F3384" i="12" s="1"/>
  <c r="F3385" i="12" s="1"/>
  <c r="F3386" i="12" s="1"/>
  <c r="F3387" i="12" s="1"/>
  <c r="F3388" i="12" s="1"/>
  <c r="F3389" i="12" s="1"/>
  <c r="F3390" i="12" s="1"/>
  <c r="F3493" i="12"/>
  <c r="F3494" i="12" s="1"/>
  <c r="F3495" i="12" s="1"/>
  <c r="F3496" i="12" s="1"/>
  <c r="F3497" i="12" s="1"/>
  <c r="F3498" i="12" s="1"/>
  <c r="F3499" i="12" s="1"/>
  <c r="F3500" i="12" s="1"/>
  <c r="F3501" i="12" s="1"/>
  <c r="F3502" i="12" s="1"/>
  <c r="F3503" i="12" s="1"/>
  <c r="F3504" i="12" s="1"/>
  <c r="F3505" i="12" s="1"/>
  <c r="F3506" i="12" s="1"/>
  <c r="F3507" i="12" s="1"/>
  <c r="F3508" i="12" s="1"/>
  <c r="F3509" i="12" s="1"/>
  <c r="F3510" i="12" s="1"/>
  <c r="F3511" i="12" s="1"/>
  <c r="F3512" i="12" s="1"/>
  <c r="F3513" i="12" s="1"/>
  <c r="F3514" i="12" s="1"/>
  <c r="F3515" i="12" s="1"/>
  <c r="F3516" i="12" s="1"/>
  <c r="F3517" i="12" s="1"/>
  <c r="F3518" i="12" s="1"/>
  <c r="F3519" i="12" s="1"/>
  <c r="F3520" i="12" s="1"/>
  <c r="F3521" i="12" s="1"/>
  <c r="F3522" i="12" s="1"/>
  <c r="F3523" i="12" s="1"/>
  <c r="F3524" i="12" s="1"/>
  <c r="F3525" i="12" s="1"/>
  <c r="F3526" i="12" s="1"/>
  <c r="F3527" i="12" s="1"/>
  <c r="F3528" i="12" s="1"/>
  <c r="F3529" i="12" s="1"/>
  <c r="F3530" i="12" s="1"/>
  <c r="F3531" i="12" s="1"/>
  <c r="F3532" i="12" s="1"/>
  <c r="F3533" i="12" s="1"/>
  <c r="F3534" i="12" s="1"/>
  <c r="F3535" i="12" s="1"/>
  <c r="F3536" i="12" s="1"/>
  <c r="F3537" i="12" s="1"/>
  <c r="F3538" i="12" s="1"/>
  <c r="F3539" i="12" s="1"/>
  <c r="F3540" i="12" s="1"/>
  <c r="F3541" i="12" s="1"/>
  <c r="F3542" i="12" s="1"/>
  <c r="F3543" i="12" s="1"/>
  <c r="F3544" i="12" s="1"/>
  <c r="F3545" i="12" s="1"/>
  <c r="F3546" i="12" s="1"/>
  <c r="F3547" i="12" s="1"/>
  <c r="F3548" i="12" s="1"/>
  <c r="F3549" i="12" s="1"/>
  <c r="F3550" i="12" s="1"/>
  <c r="F3551" i="12" s="1"/>
  <c r="F3552" i="12" s="1"/>
  <c r="F3553" i="12" s="1"/>
  <c r="F3554" i="12" s="1"/>
  <c r="F3555" i="12" s="1"/>
  <c r="F3556" i="12" s="1"/>
  <c r="F3557" i="12" s="1"/>
  <c r="F3558" i="12" s="1"/>
  <c r="F3559" i="12" s="1"/>
  <c r="F3560" i="12" s="1"/>
  <c r="F3561" i="12" s="1"/>
  <c r="F3562" i="12" s="1"/>
  <c r="F3563" i="12" s="1"/>
  <c r="F3564" i="12" s="1"/>
  <c r="F3565" i="12" s="1"/>
  <c r="F3566" i="12" s="1"/>
  <c r="F3567" i="12" s="1"/>
  <c r="F3568" i="12" s="1"/>
  <c r="F3569" i="12" s="1"/>
  <c r="F3570" i="12" s="1"/>
  <c r="F3571" i="12" s="1"/>
  <c r="F3572" i="12" s="1"/>
  <c r="F3573" i="12" s="1"/>
  <c r="F3574" i="12" s="1"/>
  <c r="F3575" i="12" s="1"/>
  <c r="F3576" i="12" s="1"/>
  <c r="F3577" i="12" s="1"/>
  <c r="F3578" i="12" s="1"/>
  <c r="F3579" i="12" s="1"/>
  <c r="F3580" i="12" s="1"/>
  <c r="F3581" i="12" s="1"/>
  <c r="F3582" i="12" s="1"/>
  <c r="F3583" i="12" s="1"/>
  <c r="F3584" i="12" s="1"/>
  <c r="F3585" i="12" s="1"/>
  <c r="F3586" i="12" s="1"/>
  <c r="F3587" i="12" s="1"/>
  <c r="F3588" i="12" s="1"/>
  <c r="F3589" i="12" s="1"/>
  <c r="F3590" i="12" s="1"/>
  <c r="F3591" i="12" s="1"/>
  <c r="F3592" i="12" s="1"/>
  <c r="F3593" i="12" s="1"/>
  <c r="F3594" i="12" s="1"/>
  <c r="F3595" i="12" s="1"/>
  <c r="F3596" i="12" s="1"/>
  <c r="F3597" i="12" s="1"/>
  <c r="F3598" i="12" s="1"/>
  <c r="F3599" i="12" s="1"/>
  <c r="F3600" i="12" s="1"/>
  <c r="F3601" i="12" s="1"/>
  <c r="F3602" i="12" s="1"/>
  <c r="F3603" i="12" s="1"/>
  <c r="F3604" i="12" s="1"/>
  <c r="F3605" i="12" s="1"/>
  <c r="F3606" i="12" s="1"/>
  <c r="F3607" i="12" s="1"/>
  <c r="F3608" i="12" s="1"/>
  <c r="F3609" i="12" s="1"/>
  <c r="F3610" i="12" s="1"/>
  <c r="F3611" i="12" s="1"/>
  <c r="F3612" i="12" s="1"/>
  <c r="F3613" i="12" s="1"/>
  <c r="F3614" i="12" s="1"/>
  <c r="F3615" i="12" s="1"/>
  <c r="F3616" i="12" s="1"/>
  <c r="F3617" i="12" s="1"/>
  <c r="F3618" i="12" s="1"/>
  <c r="F3619" i="12" s="1"/>
  <c r="F3620" i="12" s="1"/>
  <c r="F3621" i="12" s="1"/>
  <c r="F3622" i="12" s="1"/>
  <c r="F3623" i="12" s="1"/>
  <c r="F3624" i="12" s="1"/>
  <c r="F3625" i="12" s="1"/>
  <c r="F3626" i="12" s="1"/>
  <c r="F3627" i="12" s="1"/>
  <c r="F3628" i="12" s="1"/>
  <c r="F3629" i="12" s="1"/>
  <c r="F3630" i="12" s="1"/>
  <c r="F3631" i="12" s="1"/>
  <c r="F3632" i="12" s="1"/>
  <c r="F3633" i="12" s="1"/>
  <c r="F3634" i="12" s="1"/>
  <c r="F3635" i="12" s="1"/>
  <c r="F3636" i="12" s="1"/>
  <c r="F3637" i="12" s="1"/>
  <c r="F3638" i="12" s="1"/>
  <c r="F3639" i="12" s="1"/>
  <c r="F3640" i="12" s="1"/>
  <c r="F3641" i="12" s="1"/>
  <c r="F3642" i="12" s="1"/>
  <c r="F3643" i="12" s="1"/>
  <c r="F3644" i="12" s="1"/>
  <c r="F3645" i="12" s="1"/>
  <c r="F3646" i="12" s="1"/>
  <c r="F3647" i="12" s="1"/>
  <c r="F3648" i="12" s="1"/>
  <c r="F3649" i="12" s="1"/>
  <c r="F3650" i="12" s="1"/>
  <c r="F3651" i="12" s="1"/>
  <c r="F3652" i="12" s="1"/>
  <c r="F3653" i="12" s="1"/>
  <c r="F3654" i="12" s="1"/>
  <c r="F3655" i="12" s="1"/>
  <c r="F3656" i="12" s="1"/>
  <c r="F3657" i="12" s="1"/>
  <c r="F3658" i="12" s="1"/>
  <c r="F3659" i="12" s="1"/>
  <c r="F3660" i="12" s="1"/>
  <c r="F3661" i="12" s="1"/>
  <c r="F3662" i="12" s="1"/>
  <c r="F3663" i="12" s="1"/>
  <c r="F3664" i="12" s="1"/>
  <c r="F3665" i="12" s="1"/>
  <c r="F3666" i="12" s="1"/>
  <c r="F3667" i="12" s="1"/>
  <c r="F3668" i="12" s="1"/>
  <c r="F3669" i="12" s="1"/>
  <c r="F3670" i="12" s="1"/>
  <c r="F3671" i="12" s="1"/>
  <c r="F3672" i="12" s="1"/>
  <c r="F3673" i="12" s="1"/>
  <c r="F3674" i="12" s="1"/>
  <c r="F3675" i="12" s="1"/>
  <c r="F3676" i="12" s="1"/>
  <c r="F3677" i="12" s="1"/>
  <c r="F3678" i="12" s="1"/>
  <c r="F3679" i="12" s="1"/>
  <c r="F3680" i="12" s="1"/>
  <c r="F3681" i="12" s="1"/>
  <c r="F3682" i="12" s="1"/>
  <c r="F3683" i="12" s="1"/>
  <c r="F3684" i="12" s="1"/>
  <c r="F3685" i="12" s="1"/>
  <c r="F3686" i="12" s="1"/>
  <c r="F3687" i="12" s="1"/>
  <c r="F3688" i="12" s="1"/>
  <c r="F3689" i="12" s="1"/>
  <c r="F3690" i="12" s="1"/>
  <c r="F3691" i="12" s="1"/>
  <c r="F3692" i="12" s="1"/>
  <c r="F3693" i="12" s="1"/>
  <c r="F3694" i="12" s="1"/>
  <c r="F3695" i="12" s="1"/>
  <c r="F3696" i="12" s="1"/>
  <c r="F3697" i="12" s="1"/>
  <c r="F3698" i="12" s="1"/>
  <c r="F3699" i="12" s="1"/>
  <c r="F3700" i="12" s="1"/>
  <c r="F3701" i="12" s="1"/>
  <c r="F3702" i="12" s="1"/>
  <c r="F3703" i="12" s="1"/>
  <c r="F3704" i="12" s="1"/>
  <c r="F3705" i="12" s="1"/>
  <c r="F3706" i="12" s="1"/>
  <c r="F3707" i="12" s="1"/>
  <c r="F3708" i="12" s="1"/>
  <c r="F3709" i="12" s="1"/>
  <c r="F3710" i="12" s="1"/>
  <c r="F3711" i="12" s="1"/>
  <c r="F3712" i="12" s="1"/>
  <c r="F3713" i="12" s="1"/>
  <c r="F3714" i="12" s="1"/>
  <c r="F3715" i="12" s="1"/>
  <c r="F3716" i="12" s="1"/>
  <c r="F3717" i="12" s="1"/>
  <c r="F3718" i="12" s="1"/>
  <c r="F3719" i="12" s="1"/>
  <c r="F3720" i="12" s="1"/>
  <c r="F3721" i="12" s="1"/>
  <c r="F3722" i="12" s="1"/>
  <c r="F3723" i="12" s="1"/>
  <c r="F3724" i="12" s="1"/>
  <c r="F3725" i="12" s="1"/>
  <c r="F3726" i="12" s="1"/>
  <c r="F3727" i="12" s="1"/>
  <c r="F3728" i="12" s="1"/>
  <c r="F3729" i="12" s="1"/>
  <c r="F3730" i="12" s="1"/>
  <c r="F3731" i="12" s="1"/>
  <c r="F3732" i="12" s="1"/>
  <c r="F3733" i="12" s="1"/>
  <c r="F3734" i="12" s="1"/>
  <c r="F3735" i="12" s="1"/>
  <c r="F3736" i="12" s="1"/>
  <c r="F3737" i="12" s="1"/>
  <c r="F3738" i="12" s="1"/>
  <c r="F3739" i="12" s="1"/>
  <c r="F3740" i="12" s="1"/>
  <c r="F3741" i="12" s="1"/>
  <c r="F3742" i="12" s="1"/>
  <c r="F3743" i="12" s="1"/>
  <c r="F3744" i="12" s="1"/>
  <c r="F3745" i="12" s="1"/>
  <c r="F3746" i="12" s="1"/>
  <c r="F3747" i="12" s="1"/>
  <c r="F3748" i="12" s="1"/>
  <c r="F3749" i="12" s="1"/>
  <c r="F3750" i="12" s="1"/>
  <c r="F3751" i="12" s="1"/>
  <c r="F3752" i="12" s="1"/>
  <c r="F3753" i="12" s="1"/>
  <c r="F3754" i="12" s="1"/>
  <c r="F3755" i="12" s="1"/>
  <c r="F3756" i="12" s="1"/>
  <c r="F3757" i="12" s="1"/>
  <c r="F3758" i="12" s="1"/>
  <c r="F3759" i="12" s="1"/>
  <c r="F3760" i="12" s="1"/>
  <c r="F3761" i="12" s="1"/>
  <c r="F3762" i="12" s="1"/>
  <c r="F3763" i="12" s="1"/>
  <c r="F3764" i="12" s="1"/>
  <c r="F3765" i="12" s="1"/>
  <c r="F3766" i="12" s="1"/>
  <c r="F3767" i="12" s="1"/>
  <c r="F3768" i="12" s="1"/>
  <c r="F3769" i="12" s="1"/>
  <c r="F3770" i="12" s="1"/>
  <c r="F3771" i="12" s="1"/>
  <c r="F3772" i="12" s="1"/>
  <c r="F3773" i="12" s="1"/>
  <c r="F3774" i="12" s="1"/>
  <c r="F3775" i="12" s="1"/>
  <c r="F3776" i="12" s="1"/>
  <c r="F3777" i="12" s="1"/>
  <c r="F3778" i="12" s="1"/>
  <c r="F3779" i="12" s="1"/>
  <c r="F3780" i="12" s="1"/>
  <c r="F3781" i="12" s="1"/>
  <c r="F3782" i="12" s="1"/>
  <c r="F3783" i="12" s="1"/>
  <c r="F3784" i="12" s="1"/>
  <c r="F3785" i="12" s="1"/>
  <c r="F3786" i="12" s="1"/>
  <c r="F3787" i="12" s="1"/>
  <c r="F3788" i="12" s="1"/>
  <c r="F3789" i="12" s="1"/>
  <c r="F3790" i="12" s="1"/>
  <c r="F3791" i="12" s="1"/>
  <c r="F3792" i="12" s="1"/>
  <c r="F3793" i="12" s="1"/>
  <c r="F3794" i="12" s="1"/>
  <c r="F3795" i="12" s="1"/>
  <c r="F3796" i="12" s="1"/>
  <c r="F3797" i="12" s="1"/>
  <c r="F3798" i="12" s="1"/>
  <c r="F3799" i="12" s="1"/>
  <c r="F3800" i="12" s="1"/>
  <c r="F3801" i="12" s="1"/>
  <c r="F3802" i="12" s="1"/>
  <c r="F3803" i="12" s="1"/>
  <c r="F3804" i="12" s="1"/>
  <c r="F3805" i="12" s="1"/>
  <c r="F3806" i="12" s="1"/>
  <c r="F3807" i="12" s="1"/>
  <c r="F3808" i="12" s="1"/>
  <c r="F3809" i="12" s="1"/>
  <c r="F3810" i="12" s="1"/>
  <c r="F3811" i="12" s="1"/>
  <c r="F3812" i="12" s="1"/>
  <c r="F3813" i="12" s="1"/>
  <c r="F3814" i="12" s="1"/>
  <c r="F3815" i="12" s="1"/>
  <c r="F3816" i="12" s="1"/>
  <c r="F3817" i="12" s="1"/>
  <c r="F3818" i="12" s="1"/>
  <c r="F3819" i="12" s="1"/>
  <c r="F3820" i="12" s="1"/>
  <c r="F3821" i="12" s="1"/>
  <c r="F3822" i="12" s="1"/>
  <c r="F3823" i="12" s="1"/>
  <c r="F3824" i="12" s="1"/>
  <c r="F3825" i="12" s="1"/>
  <c r="F3826" i="12" s="1"/>
  <c r="F3827" i="12" s="1"/>
  <c r="F3828" i="12" s="1"/>
  <c r="F3829" i="12" s="1"/>
  <c r="F3830" i="12" s="1"/>
  <c r="F3831" i="12" s="1"/>
  <c r="F3832" i="12" s="1"/>
  <c r="F3833" i="12" s="1"/>
  <c r="F3834" i="12" s="1"/>
  <c r="F3835" i="12" s="1"/>
  <c r="F3836" i="12" s="1"/>
  <c r="F3837" i="12" s="1"/>
  <c r="F3838" i="12" s="1"/>
  <c r="F3839" i="12" s="1"/>
  <c r="F3840" i="12" s="1"/>
  <c r="F3841" i="12" s="1"/>
  <c r="F3842" i="12" s="1"/>
  <c r="F3843" i="12" s="1"/>
  <c r="F3844" i="12" s="1"/>
  <c r="F3845" i="12" s="1"/>
  <c r="F3846" i="12" s="1"/>
  <c r="F3847" i="12" s="1"/>
  <c r="F3848" i="12" s="1"/>
  <c r="F3849" i="12" s="1"/>
  <c r="F3850" i="12" s="1"/>
  <c r="F3851" i="12" s="1"/>
  <c r="F3852" i="12" s="1"/>
  <c r="F3853" i="12" s="1"/>
  <c r="F3854" i="12" s="1"/>
  <c r="F3855" i="12" s="1"/>
  <c r="F3856" i="12" s="1"/>
  <c r="F3857" i="12" s="1"/>
  <c r="F3858" i="12" s="1"/>
  <c r="F3859" i="12" s="1"/>
  <c r="F3860" i="12" s="1"/>
  <c r="F3861" i="12" s="1"/>
  <c r="F3862" i="12" s="1"/>
  <c r="F3863" i="12" s="1"/>
  <c r="F3864" i="12" s="1"/>
  <c r="F3865" i="12" s="1"/>
  <c r="F3866" i="12" s="1"/>
  <c r="F3867" i="12" s="1"/>
  <c r="F3868" i="12" s="1"/>
  <c r="F3869" i="12" s="1"/>
  <c r="F3870" i="12" s="1"/>
  <c r="F3871" i="12" s="1"/>
  <c r="F3872" i="12" s="1"/>
  <c r="F3873" i="12" s="1"/>
  <c r="F3874" i="12" s="1"/>
  <c r="F3875" i="12" s="1"/>
  <c r="F3876" i="12" s="1"/>
  <c r="F3877" i="12" s="1"/>
  <c r="F3878" i="12" s="1"/>
  <c r="F3879" i="12" s="1"/>
  <c r="F3880" i="12" s="1"/>
  <c r="F3881" i="12" s="1"/>
  <c r="F3882" i="12" s="1"/>
  <c r="F3883" i="12" s="1"/>
  <c r="F3884" i="12" s="1"/>
  <c r="F3885" i="12" s="1"/>
  <c r="F3886" i="12" s="1"/>
  <c r="F3887" i="12" s="1"/>
  <c r="F3888" i="12" s="1"/>
  <c r="F4167" i="12"/>
  <c r="F4168" i="12" s="1"/>
  <c r="F4169" i="12" s="1"/>
  <c r="F4170" i="12" s="1"/>
  <c r="F4171" i="12" s="1"/>
  <c r="F4172" i="12" s="1"/>
  <c r="F4173" i="12" s="1"/>
  <c r="F4174" i="12" s="1"/>
  <c r="F4175" i="12" s="1"/>
  <c r="F4176" i="12" s="1"/>
  <c r="F4177" i="12" s="1"/>
  <c r="F4178" i="12" s="1"/>
  <c r="F4179" i="12" s="1"/>
  <c r="F4180" i="12" s="1"/>
  <c r="F4181" i="12" s="1"/>
  <c r="F4182" i="12" s="1"/>
  <c r="F4183" i="12" s="1"/>
  <c r="F4184" i="12" s="1"/>
  <c r="F4185" i="12" s="1"/>
  <c r="F4186" i="12" s="1"/>
  <c r="F4187" i="12" s="1"/>
  <c r="F4188" i="12" s="1"/>
  <c r="F4189" i="12" s="1"/>
  <c r="F4190" i="12" s="1"/>
  <c r="F4191" i="12" s="1"/>
  <c r="F4192" i="12" s="1"/>
  <c r="F4193" i="12" s="1"/>
  <c r="F4194" i="12" s="1"/>
  <c r="F4195" i="12" s="1"/>
  <c r="F4196" i="12" s="1"/>
  <c r="F4197" i="12" s="1"/>
  <c r="F4198" i="12" s="1"/>
  <c r="F4199" i="12" s="1"/>
  <c r="F4200" i="12" s="1"/>
  <c r="F4201" i="12" s="1"/>
  <c r="F4202" i="12" s="1"/>
  <c r="F4203" i="12" s="1"/>
  <c r="F4204" i="12" s="1"/>
  <c r="F4205" i="12" s="1"/>
  <c r="F4206" i="12" s="1"/>
  <c r="F4207" i="12" s="1"/>
  <c r="F4208" i="12" s="1"/>
  <c r="F4209" i="12" s="1"/>
  <c r="F4210" i="12" s="1"/>
  <c r="F4211" i="12" s="1"/>
  <c r="F4212" i="12" s="1"/>
  <c r="F4213" i="12" s="1"/>
  <c r="F4214" i="12" s="1"/>
  <c r="F4215" i="12" s="1"/>
  <c r="F4216" i="12" s="1"/>
  <c r="F4217" i="12" s="1"/>
  <c r="F4218" i="12" s="1"/>
  <c r="F4219" i="12" s="1"/>
  <c r="F4220" i="12" s="1"/>
  <c r="F4221" i="12" s="1"/>
  <c r="F4222" i="12" s="1"/>
  <c r="F4223" i="12" s="1"/>
  <c r="F4224" i="12" s="1"/>
  <c r="F4225" i="12" s="1"/>
  <c r="F4226" i="12" s="1"/>
  <c r="F4227" i="12" s="1"/>
  <c r="F4228" i="12" s="1"/>
  <c r="F4229" i="12" s="1"/>
  <c r="F4230" i="12" s="1"/>
  <c r="F4231" i="12" s="1"/>
  <c r="F4232" i="12" s="1"/>
  <c r="F4233" i="12" s="1"/>
  <c r="F4234" i="12" s="1"/>
  <c r="F4235" i="12" s="1"/>
  <c r="F4236" i="12" s="1"/>
  <c r="F4237" i="12" s="1"/>
  <c r="F4238" i="12" s="1"/>
  <c r="F4239" i="12" s="1"/>
  <c r="F4240" i="12" s="1"/>
  <c r="F4241" i="12" s="1"/>
  <c r="F4242" i="12" s="1"/>
  <c r="F4243" i="12" s="1"/>
  <c r="F4244" i="12" s="1"/>
  <c r="F4245" i="12" s="1"/>
  <c r="F4246" i="12" s="1"/>
  <c r="F4247" i="12" s="1"/>
  <c r="F4248" i="12" s="1"/>
  <c r="F4249" i="12" s="1"/>
  <c r="F4250" i="12" s="1"/>
  <c r="F4251" i="12" s="1"/>
  <c r="F4252" i="12" s="1"/>
  <c r="F4253" i="12" s="1"/>
  <c r="F4254" i="12" s="1"/>
  <c r="F4255" i="12" s="1"/>
  <c r="F4256" i="12" s="1"/>
  <c r="F4257" i="12" s="1"/>
  <c r="F4258" i="12" s="1"/>
  <c r="F4259" i="12" s="1"/>
  <c r="F4260" i="12" s="1"/>
  <c r="F4261" i="12" s="1"/>
  <c r="F4262" i="12" s="1"/>
  <c r="F4263" i="12" s="1"/>
  <c r="F4264" i="12" s="1"/>
  <c r="F4265" i="12" s="1"/>
  <c r="F4266" i="12" s="1"/>
  <c r="F4267" i="12" s="1"/>
  <c r="F4268" i="12" s="1"/>
  <c r="F4269" i="12" s="1"/>
  <c r="F4270" i="12" s="1"/>
  <c r="F4271" i="12" s="1"/>
  <c r="F4272" i="12" s="1"/>
  <c r="F4273" i="12" s="1"/>
  <c r="F4274" i="12" s="1"/>
  <c r="F4275" i="12" s="1"/>
  <c r="F4276" i="12" s="1"/>
  <c r="F4277" i="12" s="1"/>
  <c r="F4278" i="12" s="1"/>
  <c r="F4279" i="12" s="1"/>
  <c r="F4280" i="12" s="1"/>
  <c r="F4281" i="12" s="1"/>
  <c r="F4282" i="12" s="1"/>
  <c r="F4283" i="12" s="1"/>
  <c r="F4284" i="12" s="1"/>
  <c r="F4285" i="12" s="1"/>
  <c r="F4286" i="12" s="1"/>
  <c r="F4287" i="12" s="1"/>
  <c r="F4288" i="12" s="1"/>
  <c r="F4289" i="12" s="1"/>
  <c r="F4290" i="12" s="1"/>
  <c r="F4291" i="12" s="1"/>
  <c r="F4292" i="12" s="1"/>
  <c r="F4293" i="12" s="1"/>
  <c r="F4294" i="12" s="1"/>
  <c r="F4295" i="12" s="1"/>
  <c r="F4296" i="12" s="1"/>
  <c r="F4297" i="12" s="1"/>
  <c r="F4298" i="12" s="1"/>
  <c r="F4299" i="12" s="1"/>
  <c r="F4300" i="12" s="1"/>
  <c r="F4301" i="12" s="1"/>
  <c r="F4302" i="12" s="1"/>
  <c r="F4303" i="12" s="1"/>
  <c r="F4304" i="12" s="1"/>
  <c r="F4305" i="12" s="1"/>
  <c r="F4306" i="12" s="1"/>
  <c r="F4307" i="12" s="1"/>
  <c r="F4308" i="12" s="1"/>
  <c r="F4309" i="12" s="1"/>
  <c r="F4310" i="12" s="1"/>
  <c r="F4311" i="12" s="1"/>
  <c r="F4312" i="12" s="1"/>
  <c r="F4313" i="12" s="1"/>
  <c r="F4314" i="12" s="1"/>
  <c r="F4315" i="12" s="1"/>
  <c r="F4316" i="12" s="1"/>
  <c r="F4317" i="12" s="1"/>
  <c r="F4318" i="12" s="1"/>
  <c r="F4319" i="12" s="1"/>
  <c r="F4320" i="12" s="1"/>
  <c r="F4321" i="12" s="1"/>
  <c r="F4322" i="12" s="1"/>
  <c r="F4323" i="12" s="1"/>
  <c r="F4324" i="12" s="1"/>
  <c r="F4325" i="12" s="1"/>
  <c r="F4326" i="12" s="1"/>
  <c r="F4327" i="12" s="1"/>
  <c r="F4328" i="12" s="1"/>
  <c r="F4329" i="12" s="1"/>
  <c r="F4330" i="12" s="1"/>
  <c r="F4331" i="12" s="1"/>
  <c r="F4332" i="12" s="1"/>
  <c r="F4333" i="12" s="1"/>
  <c r="F4334" i="12" s="1"/>
  <c r="F4335" i="12" s="1"/>
  <c r="F4336" i="12" s="1"/>
  <c r="F4337" i="12" s="1"/>
  <c r="F4338" i="12" s="1"/>
  <c r="F4339" i="12" s="1"/>
  <c r="F4340" i="12" s="1"/>
  <c r="F4341" i="12" s="1"/>
  <c r="F4342" i="12" s="1"/>
  <c r="F4343" i="12" s="1"/>
  <c r="F4344" i="12" s="1"/>
  <c r="F4345" i="12" s="1"/>
  <c r="F4346" i="12" s="1"/>
  <c r="F4347" i="12" s="1"/>
  <c r="F4348" i="12" s="1"/>
  <c r="F4349" i="12" s="1"/>
  <c r="F4350" i="12" s="1"/>
  <c r="F4351" i="12" s="1"/>
  <c r="F4352" i="12" s="1"/>
  <c r="F4353" i="12" s="1"/>
  <c r="F4354" i="12" s="1"/>
  <c r="F4355" i="12" s="1"/>
  <c r="F4356" i="12" s="1"/>
  <c r="F4357" i="12" s="1"/>
  <c r="F4358" i="12" s="1"/>
  <c r="F4359" i="12" s="1"/>
  <c r="F4360" i="12" s="1"/>
  <c r="F4361" i="12" s="1"/>
  <c r="F4362" i="12" s="1"/>
  <c r="F4363" i="12" s="1"/>
  <c r="F4364" i="12" s="1"/>
  <c r="F4365" i="12" s="1"/>
  <c r="F4366" i="12" s="1"/>
  <c r="F4367" i="12" s="1"/>
  <c r="F4368" i="12" s="1"/>
  <c r="F4369" i="12" s="1"/>
  <c r="F4370" i="12" s="1"/>
  <c r="F4371" i="12" s="1"/>
  <c r="F4372" i="12" s="1"/>
  <c r="F4373" i="12" s="1"/>
  <c r="F4374" i="12" s="1"/>
  <c r="F4375" i="12" s="1"/>
  <c r="F4376" i="12" s="1"/>
  <c r="F4377" i="12" s="1"/>
  <c r="F4378" i="12" s="1"/>
  <c r="F4379" i="12" s="1"/>
  <c r="F4380" i="12" s="1"/>
  <c r="F4381" i="12" s="1"/>
  <c r="F4382" i="12" s="1"/>
  <c r="F4383" i="12" s="1"/>
  <c r="F4384" i="12" s="1"/>
  <c r="F4385" i="12" s="1"/>
  <c r="F4386" i="12" s="1"/>
  <c r="F4387" i="12" s="1"/>
  <c r="F4388" i="12" s="1"/>
  <c r="F4389" i="12" s="1"/>
  <c r="F4390" i="12" s="1"/>
  <c r="F4391" i="12" s="1"/>
  <c r="F4392" i="12" s="1"/>
  <c r="F4393" i="12" s="1"/>
  <c r="F4394" i="12" s="1"/>
  <c r="F4395" i="12" s="1"/>
  <c r="F4400" i="12"/>
  <c r="F4401" i="12" s="1"/>
  <c r="F4402" i="12" s="1"/>
  <c r="F4403" i="12" s="1"/>
  <c r="F4404" i="12" s="1"/>
  <c r="F4405" i="12"/>
  <c r="F4406" i="12" s="1"/>
  <c r="F4407" i="12" s="1"/>
  <c r="F3889" i="12" l="1"/>
  <c r="F3890" i="12" s="1"/>
  <c r="F3891" i="12" s="1"/>
  <c r="F3892" i="12" s="1"/>
  <c r="F3893" i="12" s="1"/>
  <c r="F3894" i="12" s="1"/>
  <c r="F3895" i="12" s="1"/>
  <c r="F3896" i="12" s="1"/>
  <c r="F3897" i="12" s="1"/>
  <c r="F3898" i="12" s="1"/>
  <c r="F3899" i="12" s="1"/>
  <c r="F3900" i="12" s="1"/>
  <c r="F3901" i="12" s="1"/>
  <c r="F3902" i="12" s="1"/>
  <c r="F3903" i="12" s="1"/>
  <c r="F3904" i="12" s="1"/>
  <c r="F3905" i="12" s="1"/>
  <c r="F3906" i="12" s="1"/>
  <c r="F3907" i="12" s="1"/>
  <c r="F3908" i="12" s="1"/>
  <c r="F3909" i="12" s="1"/>
  <c r="F3910" i="12" s="1"/>
  <c r="F3911" i="12" s="1"/>
  <c r="F3912" i="12" s="1"/>
  <c r="F3913" i="12" s="1"/>
  <c r="F3914" i="12" s="1"/>
  <c r="F3915" i="12" s="1"/>
  <c r="F3916" i="12" s="1"/>
  <c r="F3917" i="12" s="1"/>
  <c r="F3918" i="12" s="1"/>
  <c r="F3919" i="12" s="1"/>
  <c r="F3920" i="12" s="1"/>
  <c r="F3921" i="12" s="1"/>
  <c r="F3922" i="12" s="1"/>
  <c r="F3923" i="12" s="1"/>
  <c r="F3924" i="12" s="1"/>
  <c r="F3925" i="12" s="1"/>
  <c r="F3926" i="12" s="1"/>
  <c r="F3927" i="12" s="1"/>
  <c r="F3928" i="12" s="1"/>
  <c r="F3929" i="12" s="1"/>
  <c r="F3930" i="12" s="1"/>
  <c r="F3931" i="12" s="1"/>
  <c r="F3932" i="12" s="1"/>
  <c r="F3933" i="12" s="1"/>
  <c r="F3934" i="12" s="1"/>
  <c r="F3935" i="12" s="1"/>
  <c r="F3936" i="12" s="1"/>
  <c r="F3937" i="12" s="1"/>
  <c r="F3938" i="12" s="1"/>
  <c r="F3939" i="12" s="1"/>
  <c r="F3940" i="12" s="1"/>
  <c r="F3941" i="12" s="1"/>
  <c r="F3942" i="12" s="1"/>
  <c r="F3943" i="12" s="1"/>
  <c r="F3944" i="12" s="1"/>
  <c r="F3945" i="12" s="1"/>
  <c r="F3946" i="12" s="1"/>
  <c r="F3947" i="12" s="1"/>
  <c r="F3948" i="12" s="1"/>
  <c r="F3949" i="12" s="1"/>
  <c r="F3950" i="12" s="1"/>
  <c r="F3951" i="12" s="1"/>
  <c r="F3952" i="12" s="1"/>
  <c r="F3953" i="12" s="1"/>
  <c r="F3954" i="12" s="1"/>
  <c r="F4408" i="12"/>
  <c r="F4409" i="12" s="1"/>
  <c r="F4410" i="12"/>
  <c r="F4411" i="12" s="1"/>
  <c r="F4412" i="12" s="1"/>
  <c r="F4413" i="12" s="1"/>
  <c r="F4414" i="12" s="1"/>
  <c r="F4415" i="12" s="1"/>
  <c r="F4416" i="12" s="1"/>
  <c r="F4417" i="12" s="1"/>
  <c r="F4418" i="12" s="1"/>
  <c r="F4419" i="12" s="1"/>
  <c r="F4420" i="12" s="1"/>
  <c r="F4421" i="12" s="1"/>
  <c r="F4422" i="12" s="1"/>
  <c r="F4423" i="12" s="1"/>
  <c r="F4424" i="12" s="1"/>
  <c r="F4425" i="12" s="1"/>
  <c r="F4426" i="12" s="1"/>
  <c r="F4427" i="12" s="1"/>
  <c r="F4428" i="12" s="1"/>
  <c r="F4429" i="12" s="1"/>
  <c r="F4430" i="12" s="1"/>
  <c r="F4431" i="12" s="1"/>
  <c r="F4432" i="12" s="1"/>
  <c r="F4433" i="12" s="1"/>
  <c r="F4434" i="12" s="1"/>
  <c r="F4435" i="12" s="1"/>
  <c r="F4436" i="12" s="1"/>
  <c r="F4437" i="12" s="1"/>
  <c r="F4438" i="12" s="1"/>
  <c r="F4439" i="12" s="1"/>
  <c r="F4440" i="12" s="1"/>
  <c r="F4441" i="12" s="1"/>
  <c r="F4442" i="12" s="1"/>
  <c r="F4443" i="12" s="1"/>
  <c r="F4444" i="12" s="1"/>
  <c r="F4445" i="12" s="1"/>
  <c r="F4446" i="12" s="1"/>
  <c r="F4447" i="12" s="1"/>
  <c r="F4448" i="12" s="1"/>
  <c r="F4449" i="12" s="1"/>
  <c r="F4450" i="12" s="1"/>
  <c r="F4451" i="12" s="1"/>
  <c r="F4452" i="12" s="1"/>
  <c r="F4453" i="12" s="1"/>
  <c r="F4454" i="12" s="1"/>
  <c r="F4455" i="12" s="1"/>
  <c r="F4456" i="12" s="1"/>
  <c r="F4457" i="12" s="1"/>
  <c r="F4458" i="12" s="1"/>
  <c r="F4459" i="12" s="1"/>
  <c r="F4460" i="12" s="1"/>
  <c r="F4461" i="12" s="1"/>
  <c r="F4462" i="12" s="1"/>
  <c r="F4463" i="12" s="1"/>
  <c r="F4464" i="12" s="1"/>
  <c r="F4465" i="12" s="1"/>
  <c r="F4466" i="12" s="1"/>
  <c r="F4467" i="12" s="1"/>
  <c r="F4468" i="12" s="1"/>
  <c r="F4469" i="12" s="1"/>
  <c r="F4470" i="12" s="1"/>
  <c r="F4471" i="12" s="1"/>
  <c r="F4472" i="12" s="1"/>
  <c r="F4473" i="12" s="1"/>
  <c r="F4474" i="12" s="1"/>
  <c r="F4475" i="12" s="1"/>
  <c r="F4476" i="12" s="1"/>
  <c r="F4477" i="12" s="1"/>
  <c r="F4478" i="12" s="1"/>
  <c r="F4479" i="12" s="1"/>
  <c r="F4480" i="12" s="1"/>
  <c r="F4481" i="12" s="1"/>
  <c r="F4482" i="12" s="1"/>
  <c r="F4483" i="12" s="1"/>
  <c r="F4484" i="12" s="1"/>
  <c r="F4485" i="12" s="1"/>
  <c r="F4486" i="12" s="1"/>
  <c r="F4487" i="12" s="1"/>
  <c r="F4488" i="12" s="1"/>
  <c r="F4489" i="12" s="1"/>
  <c r="F4490" i="12" s="1"/>
  <c r="F4491" i="12" s="1"/>
  <c r="F4492" i="12" s="1"/>
  <c r="F4493" i="12" s="1"/>
  <c r="F4494" i="12" s="1"/>
  <c r="F4495" i="12" s="1"/>
  <c r="F4496" i="12" s="1"/>
  <c r="F4497" i="12" s="1"/>
  <c r="F4498" i="12" s="1"/>
  <c r="F4499" i="12" s="1"/>
  <c r="F4500" i="12" s="1"/>
  <c r="F4501" i="12" s="1"/>
  <c r="F4502" i="12" s="1"/>
  <c r="F4503" i="12" s="1"/>
  <c r="F4504" i="12" s="1"/>
  <c r="F4505" i="12" s="1"/>
  <c r="F4506" i="12" s="1"/>
  <c r="F4507" i="12" s="1"/>
  <c r="F4508" i="12" s="1"/>
  <c r="F4509" i="12" s="1"/>
  <c r="F4510" i="12" s="1"/>
  <c r="F4511" i="12" s="1"/>
  <c r="F4512" i="12" s="1"/>
  <c r="F4513" i="12" s="1"/>
  <c r="F4514" i="12" s="1"/>
  <c r="F4515" i="12" s="1"/>
  <c r="F4516" i="12" s="1"/>
  <c r="F4517" i="12" s="1"/>
  <c r="F4518" i="12" s="1"/>
  <c r="F4519" i="12" s="1"/>
  <c r="F4520" i="12" s="1"/>
  <c r="F4521" i="12" s="1"/>
  <c r="F4522" i="12" s="1"/>
  <c r="F4523" i="12" s="1"/>
  <c r="F4524" i="12" s="1"/>
  <c r="F4525" i="12" s="1"/>
  <c r="F4526" i="12" s="1"/>
  <c r="F4527" i="12" s="1"/>
  <c r="F4528" i="12" s="1"/>
  <c r="F4529" i="12" s="1"/>
  <c r="F4530" i="12" s="1"/>
  <c r="F4531" i="12" s="1"/>
  <c r="F4532" i="12" s="1"/>
  <c r="F4533" i="12" s="1"/>
  <c r="F4534" i="12" s="1"/>
  <c r="F4535" i="12" s="1"/>
  <c r="F4536" i="12" s="1"/>
  <c r="F4537" i="12" s="1"/>
  <c r="F4538" i="12" s="1"/>
  <c r="F4539" i="12" s="1"/>
  <c r="F4540" i="12" s="1"/>
  <c r="F4541" i="12" s="1"/>
  <c r="F4542" i="12" s="1"/>
  <c r="F4543" i="12" s="1"/>
  <c r="F4544" i="12" s="1"/>
  <c r="F4545" i="12" s="1"/>
  <c r="F4546" i="12" s="1"/>
  <c r="F4547" i="12" s="1"/>
  <c r="F4548" i="12" s="1"/>
  <c r="F4549" i="12" s="1"/>
  <c r="F4550" i="12" s="1"/>
  <c r="F4551" i="12" s="1"/>
  <c r="F4552" i="12" s="1"/>
  <c r="F4553" i="12" s="1"/>
  <c r="F4554" i="12" s="1"/>
  <c r="F4555" i="12" s="1"/>
  <c r="F4556" i="12" s="1"/>
  <c r="F4557" i="12" s="1"/>
  <c r="F4558" i="12" s="1"/>
  <c r="F4559" i="12" s="1"/>
  <c r="F4560" i="12" s="1"/>
  <c r="F4561" i="12" s="1"/>
  <c r="F4562" i="12" s="1"/>
  <c r="F4563" i="12" s="1"/>
  <c r="F4564" i="12" s="1"/>
  <c r="F4565" i="12" s="1"/>
  <c r="F4566" i="12" s="1"/>
  <c r="F4567" i="12" s="1"/>
  <c r="F4568" i="12" s="1"/>
  <c r="F4569" i="12" s="1"/>
  <c r="F4570" i="12" s="1"/>
  <c r="F4571" i="12" s="1"/>
  <c r="F4572" i="12" s="1"/>
  <c r="F4573" i="12" s="1"/>
  <c r="F4574" i="12" s="1"/>
  <c r="F4575" i="12" s="1"/>
  <c r="F4576" i="12" s="1"/>
  <c r="F4577" i="12" s="1"/>
  <c r="F4578" i="12" s="1"/>
  <c r="F4579" i="12" s="1"/>
  <c r="F4580" i="12" s="1"/>
  <c r="F4581" i="12" s="1"/>
  <c r="F4582" i="12" s="1"/>
  <c r="F4583" i="12" s="1"/>
  <c r="F4584" i="12" s="1"/>
  <c r="F4585" i="12" s="1"/>
  <c r="F4586" i="12" s="1"/>
  <c r="F4587" i="12" s="1"/>
  <c r="F4588" i="12" s="1"/>
  <c r="F4589" i="12" s="1"/>
  <c r="F4590" i="12" s="1"/>
  <c r="F4591" i="12" s="1"/>
  <c r="F4592" i="12" s="1"/>
  <c r="F4593" i="12" s="1"/>
  <c r="F4594" i="12" s="1"/>
  <c r="F4595" i="12" s="1"/>
  <c r="F4596" i="12" s="1"/>
  <c r="F4597" i="12" s="1"/>
  <c r="F4598" i="12" s="1"/>
  <c r="F4599" i="12" s="1"/>
  <c r="F4600" i="12" s="1"/>
  <c r="F4601" i="12" s="1"/>
  <c r="F4602" i="12" s="1"/>
  <c r="F4603" i="12" s="1"/>
  <c r="F4604" i="12" s="1"/>
  <c r="F4605" i="12" s="1"/>
  <c r="F4606" i="12" s="1"/>
  <c r="F4607" i="12" s="1"/>
  <c r="F4608" i="12" s="1"/>
  <c r="F4609" i="12" s="1"/>
  <c r="F4610" i="12" s="1"/>
  <c r="F4611" i="12" s="1"/>
  <c r="F4612" i="12" s="1"/>
  <c r="F4613" i="12" s="1"/>
  <c r="F4614" i="12" s="1"/>
  <c r="F4615" i="12" s="1"/>
  <c r="F4616" i="12" s="1"/>
  <c r="F4617" i="12" s="1"/>
  <c r="F4618" i="12" s="1"/>
  <c r="F4619" i="12" s="1"/>
  <c r="F4620" i="12" s="1"/>
  <c r="F4621" i="12" s="1"/>
  <c r="F4622" i="12" s="1"/>
  <c r="F4623" i="12" s="1"/>
  <c r="F4624" i="12" s="1"/>
  <c r="F4625" i="12" s="1"/>
  <c r="F4626" i="12" s="1"/>
  <c r="F4627" i="12" s="1"/>
  <c r="F4628" i="12" s="1"/>
  <c r="F4629" i="12" s="1"/>
  <c r="F4630" i="12" s="1"/>
  <c r="F4631" i="12" s="1"/>
  <c r="F4632" i="12" s="1"/>
  <c r="F4633" i="12" s="1"/>
  <c r="F4634" i="12" s="1"/>
  <c r="F4635" i="12" s="1"/>
  <c r="F4636" i="12" s="1"/>
  <c r="F4637" i="12" s="1"/>
  <c r="F4638" i="12" s="1"/>
  <c r="F4639" i="12" s="1"/>
  <c r="F4640" i="12" s="1"/>
  <c r="F4641" i="12" s="1"/>
  <c r="F4642" i="12" s="1"/>
  <c r="F4643" i="12" s="1"/>
  <c r="F4644" i="12" s="1"/>
  <c r="F4645" i="12" s="1"/>
  <c r="F4646" i="12" s="1"/>
  <c r="F4647" i="12" s="1"/>
  <c r="F4648" i="12" s="1"/>
  <c r="F4649" i="12" s="1"/>
  <c r="F4650" i="12" s="1"/>
  <c r="F4651" i="12" s="1"/>
  <c r="F4652" i="12" s="1"/>
  <c r="F4653" i="12" s="1"/>
  <c r="F4654" i="12" s="1"/>
  <c r="F4655" i="12" s="1"/>
  <c r="F4656" i="12" s="1"/>
  <c r="F4657" i="12" s="1"/>
  <c r="F4658" i="12" s="1"/>
  <c r="F4659" i="12" s="1"/>
  <c r="F4660" i="12" s="1"/>
  <c r="F4661" i="12" s="1"/>
  <c r="F4662" i="12" s="1"/>
  <c r="F4663" i="12" s="1"/>
  <c r="F4664" i="12" s="1"/>
  <c r="F4665" i="12" s="1"/>
  <c r="F4666" i="12" s="1"/>
  <c r="F4667" i="12" s="1"/>
  <c r="F4668" i="12" s="1"/>
  <c r="F4669" i="12" s="1"/>
  <c r="F4670" i="12" s="1"/>
  <c r="F4671" i="12" s="1"/>
  <c r="F4672" i="12" s="1"/>
  <c r="F4673" i="12" s="1"/>
  <c r="F4674" i="12" s="1"/>
  <c r="F4675" i="12" s="1"/>
  <c r="F4676" i="12" s="1"/>
  <c r="F4677" i="12" s="1"/>
  <c r="F4678" i="12" s="1"/>
  <c r="F4679" i="12" s="1"/>
  <c r="F4680" i="12" s="1"/>
  <c r="F4681" i="12" s="1"/>
  <c r="F4682" i="12" s="1"/>
  <c r="F4683" i="12" s="1"/>
  <c r="F4684" i="12" s="1"/>
  <c r="F4685" i="12" s="1"/>
  <c r="F4686" i="12" s="1"/>
  <c r="F4687" i="12" s="1"/>
  <c r="F4688" i="12" s="1"/>
  <c r="F4689" i="12" s="1"/>
  <c r="F4690" i="12" s="1"/>
  <c r="F4691" i="12" s="1"/>
  <c r="F4692" i="12" s="1"/>
  <c r="F4693" i="12" s="1"/>
  <c r="F4694" i="12" s="1"/>
  <c r="F4695" i="12" s="1"/>
  <c r="F4696" i="12" s="1"/>
  <c r="F4697" i="12" s="1"/>
  <c r="F4698" i="12" s="1"/>
  <c r="F4699" i="12" s="1"/>
  <c r="F4700" i="12" s="1"/>
  <c r="F4701" i="12" s="1"/>
  <c r="F4702" i="12" s="1"/>
  <c r="F4703" i="12" s="1"/>
  <c r="F4704" i="12" s="1"/>
  <c r="F4705" i="12" s="1"/>
  <c r="F4706" i="12" s="1"/>
  <c r="F4707" i="12" s="1"/>
  <c r="F4708" i="12" s="1"/>
  <c r="F4709" i="12" s="1"/>
  <c r="F4710" i="12" s="1"/>
  <c r="F4711" i="12" s="1"/>
  <c r="F4712" i="12" s="1"/>
  <c r="F4713" i="12" s="1"/>
  <c r="F4714" i="12" s="1"/>
  <c r="F4715" i="12" s="1"/>
  <c r="F4716" i="12" s="1"/>
  <c r="F4717" i="12" s="1"/>
  <c r="F4718" i="12" s="1"/>
  <c r="F4719" i="12" s="1"/>
  <c r="F4720" i="12" s="1"/>
  <c r="F4721" i="12" s="1"/>
  <c r="F4722" i="12" s="1"/>
  <c r="F4723" i="12" s="1"/>
  <c r="F4724" i="12" s="1"/>
  <c r="F4725" i="12" s="1"/>
  <c r="F4726" i="12" s="1"/>
  <c r="F4727" i="12" s="1"/>
  <c r="F4728" i="12" s="1"/>
  <c r="F4729" i="12" s="1"/>
  <c r="F4730" i="12" s="1"/>
  <c r="F4731" i="12" s="1"/>
  <c r="F4732" i="12" s="1"/>
  <c r="F4733" i="12" s="1"/>
  <c r="F4734" i="12" s="1"/>
  <c r="F4735" i="12" s="1"/>
  <c r="F4736" i="12" s="1"/>
  <c r="F4737" i="12" s="1"/>
  <c r="F4738" i="12" s="1"/>
  <c r="F4739" i="12" s="1"/>
  <c r="F4740" i="12" s="1"/>
  <c r="F4741" i="12" s="1"/>
  <c r="F4742" i="12" s="1"/>
  <c r="F4743" i="12" s="1"/>
  <c r="F4744" i="12" s="1"/>
  <c r="F4745" i="12" s="1"/>
  <c r="F4746" i="12" s="1"/>
  <c r="F4747" i="12" s="1"/>
  <c r="F4748" i="12" s="1"/>
  <c r="F4749" i="12" s="1"/>
  <c r="F4750" i="12" s="1"/>
  <c r="F4751" i="12" s="1"/>
  <c r="F4752" i="12" s="1"/>
  <c r="F4753" i="12" s="1"/>
  <c r="F4754" i="12" s="1"/>
  <c r="F4755" i="12" s="1"/>
  <c r="F4756" i="12" s="1"/>
  <c r="F4757" i="12" s="1"/>
  <c r="F4758" i="12" s="1"/>
  <c r="F4759" i="12" s="1"/>
  <c r="F4760" i="12" s="1"/>
  <c r="F4761" i="12" s="1"/>
  <c r="F4762" i="12" s="1"/>
  <c r="F4763" i="12" s="1"/>
  <c r="F4764" i="12" s="1"/>
  <c r="F4765" i="12" s="1"/>
  <c r="F4766" i="12" s="1"/>
  <c r="F4767" i="12" s="1"/>
  <c r="F4768" i="12" s="1"/>
  <c r="F4769" i="12" s="1"/>
  <c r="F4770" i="12" s="1"/>
  <c r="F4771" i="12" s="1"/>
  <c r="F4772" i="12" s="1"/>
  <c r="F4773" i="12" s="1"/>
  <c r="F4774" i="12" s="1"/>
  <c r="F4775" i="12" s="1"/>
  <c r="F4776" i="12" s="1"/>
  <c r="F4777" i="12" s="1"/>
  <c r="F4778" i="12" s="1"/>
  <c r="F4779" i="12" s="1"/>
  <c r="F4780" i="12" s="1"/>
  <c r="F4781" i="12" s="1"/>
  <c r="F4782" i="12" s="1"/>
  <c r="F4783" i="12" s="1"/>
  <c r="F4784" i="12" s="1"/>
  <c r="F4785" i="12" s="1"/>
  <c r="F4786" i="12" s="1"/>
  <c r="F4787" i="12" s="1"/>
  <c r="F4788" i="12" s="1"/>
  <c r="F4789" i="12" s="1"/>
  <c r="F4790" i="12" s="1"/>
  <c r="F4791" i="12" s="1"/>
  <c r="F4792" i="12" s="1"/>
  <c r="F4793" i="12" s="1"/>
  <c r="F4794" i="12" s="1"/>
  <c r="F4795" i="12" s="1"/>
  <c r="F4796" i="12" s="1"/>
  <c r="F4797" i="12" s="1"/>
  <c r="F4798" i="12" s="1"/>
  <c r="F4799" i="12" s="1"/>
  <c r="F4800" i="12" s="1"/>
  <c r="F4801" i="12" s="1"/>
  <c r="F4802" i="12" s="1"/>
  <c r="F4803" i="12" s="1"/>
  <c r="F4804" i="12" s="1"/>
  <c r="F4805" i="12" s="1"/>
  <c r="F4806" i="12" s="1"/>
  <c r="F4807" i="12" s="1"/>
  <c r="F4808" i="12" s="1"/>
  <c r="F4809" i="12" s="1"/>
  <c r="F4810" i="12" s="1"/>
  <c r="F4811" i="12" s="1"/>
  <c r="F4812" i="12" s="1"/>
  <c r="F4813" i="12" s="1"/>
  <c r="F4814" i="12" s="1"/>
  <c r="F4815" i="12" s="1"/>
  <c r="F4816" i="12" s="1"/>
  <c r="F4817" i="12" s="1"/>
  <c r="F4818" i="12" s="1"/>
  <c r="F4819" i="12" s="1"/>
  <c r="F4820" i="12" s="1"/>
  <c r="F4821" i="12" s="1"/>
  <c r="F4822" i="12" s="1"/>
  <c r="F4823" i="12" s="1"/>
  <c r="F4824" i="12" s="1"/>
  <c r="F4825" i="12" s="1"/>
  <c r="F4826" i="12" s="1"/>
  <c r="F4827" i="12" s="1"/>
  <c r="F4828" i="12" s="1"/>
  <c r="F4829" i="12" s="1"/>
  <c r="F4830" i="12" s="1"/>
  <c r="F4831" i="12" s="1"/>
  <c r="F4832" i="12" s="1"/>
  <c r="F4833" i="12" s="1"/>
  <c r="F4834" i="12" s="1"/>
  <c r="F4835" i="12" s="1"/>
  <c r="F4836" i="12" s="1"/>
  <c r="F4837" i="12" s="1"/>
  <c r="F4838" i="12" s="1"/>
  <c r="F4839" i="12" s="1"/>
  <c r="F4840" i="12" s="1"/>
  <c r="F4841" i="12" s="1"/>
  <c r="F4842" i="12" s="1"/>
  <c r="F4843" i="12" s="1"/>
  <c r="F4844" i="12" s="1"/>
  <c r="F4845" i="12" s="1"/>
  <c r="F4846" i="12" s="1"/>
  <c r="F4847" i="12" s="1"/>
  <c r="F4848" i="12" s="1"/>
  <c r="F4849" i="12" s="1"/>
  <c r="F4850" i="12" s="1"/>
  <c r="F4851" i="12" s="1"/>
  <c r="F4852" i="12" s="1"/>
  <c r="F4853" i="12" s="1"/>
  <c r="F4854" i="12" s="1"/>
  <c r="F4855" i="12" s="1"/>
  <c r="F4856" i="12" s="1"/>
  <c r="F4857" i="12" s="1"/>
  <c r="F4858" i="12" s="1"/>
  <c r="F4859" i="12" s="1"/>
  <c r="F4860" i="12" s="1"/>
  <c r="F4861" i="12" s="1"/>
  <c r="F4862" i="12" s="1"/>
  <c r="F4863" i="12" s="1"/>
  <c r="F4864" i="12" s="1"/>
  <c r="F4865" i="12" s="1"/>
  <c r="F4866" i="12" s="1"/>
  <c r="F4867" i="12" s="1"/>
  <c r="F4868" i="12" s="1"/>
  <c r="F4869" i="12" s="1"/>
  <c r="F4870" i="12" s="1"/>
  <c r="F4871" i="12" s="1"/>
  <c r="F4872" i="12" s="1"/>
  <c r="F4873" i="12" s="1"/>
  <c r="F4874" i="12" s="1"/>
  <c r="F4875" i="12" s="1"/>
  <c r="F4876" i="12" s="1"/>
  <c r="F4877" i="12" s="1"/>
  <c r="F4878" i="12" s="1"/>
  <c r="F4879" i="12" s="1"/>
  <c r="F4880" i="12" s="1"/>
  <c r="F4881" i="12" s="1"/>
  <c r="F4882" i="12" s="1"/>
  <c r="F4883" i="12" s="1"/>
  <c r="F4884" i="12" s="1"/>
  <c r="F4885" i="12" s="1"/>
  <c r="F4886" i="12" s="1"/>
  <c r="F4887" i="12" s="1"/>
  <c r="F4888" i="12" s="1"/>
  <c r="F4889" i="12" s="1"/>
  <c r="F4890" i="12" s="1"/>
  <c r="F4891" i="12" s="1"/>
  <c r="F4892" i="12" s="1"/>
  <c r="F4893" i="12" s="1"/>
  <c r="F4894" i="12" s="1"/>
  <c r="F4895" i="12" s="1"/>
  <c r="F4896" i="12" s="1"/>
  <c r="F4897" i="12" s="1"/>
  <c r="F4898" i="12" s="1"/>
  <c r="F4899" i="12" s="1"/>
  <c r="F4900" i="12" s="1"/>
  <c r="F4901" i="12" s="1"/>
  <c r="F4902" i="12" s="1"/>
  <c r="F4903" i="12" s="1"/>
  <c r="F4904" i="12" s="1"/>
  <c r="F4905" i="12" s="1"/>
  <c r="F4906" i="12" s="1"/>
  <c r="F4907" i="12" s="1"/>
  <c r="F4908" i="12" s="1"/>
  <c r="F4909" i="12" s="1"/>
  <c r="F4910" i="12" s="1"/>
  <c r="F4911" i="12" s="1"/>
  <c r="F4912" i="12" s="1"/>
  <c r="F4913" i="12" s="1"/>
  <c r="F4914" i="12" s="1"/>
  <c r="F4915" i="12" s="1"/>
  <c r="F4916" i="12" s="1"/>
  <c r="F4917" i="12" s="1"/>
  <c r="F4918" i="12" s="1"/>
  <c r="F4919" i="12" s="1"/>
  <c r="F4920" i="12" s="1"/>
  <c r="F4921" i="12" s="1"/>
  <c r="F4922" i="12" s="1"/>
  <c r="F4923" i="12" s="1"/>
  <c r="F4924" i="12" s="1"/>
  <c r="F4925" i="12" s="1"/>
  <c r="F4926" i="12" s="1"/>
  <c r="F4927" i="12" s="1"/>
  <c r="F4928" i="12" s="1"/>
  <c r="F4929" i="12" s="1"/>
  <c r="F4930" i="12" s="1"/>
  <c r="F4931" i="12" s="1"/>
  <c r="F4932" i="12" s="1"/>
  <c r="F4933" i="12" s="1"/>
  <c r="F4934" i="12" s="1"/>
  <c r="F4935" i="12" s="1"/>
  <c r="F4936" i="12" s="1"/>
  <c r="F4937" i="12" s="1"/>
  <c r="F4938" i="12" s="1"/>
  <c r="F4939" i="12" s="1"/>
  <c r="F4940" i="12" s="1"/>
  <c r="F4941" i="12" s="1"/>
  <c r="F4942" i="12" s="1"/>
  <c r="F4943" i="12" s="1"/>
  <c r="F4944" i="12" s="1"/>
  <c r="F4945" i="12" s="1"/>
  <c r="F4946" i="12" s="1"/>
  <c r="F4947" i="12" s="1"/>
  <c r="F4948" i="12" s="1"/>
  <c r="F4949" i="12" s="1"/>
  <c r="F4950" i="12" s="1"/>
  <c r="F4951" i="12" s="1"/>
  <c r="F4952" i="12" s="1"/>
  <c r="F4953" i="12" s="1"/>
  <c r="F4954" i="12" s="1"/>
  <c r="F4955" i="12" s="1"/>
  <c r="F4956" i="12" s="1"/>
  <c r="F4957" i="12" s="1"/>
  <c r="F4958" i="12" s="1"/>
  <c r="F4959" i="12" s="1"/>
  <c r="F4960" i="12" s="1"/>
  <c r="F4961" i="12" s="1"/>
  <c r="F4962" i="12" s="1"/>
  <c r="F4963" i="12" s="1"/>
  <c r="F4964" i="12" s="1"/>
  <c r="F4965" i="12" s="1"/>
  <c r="F4966" i="12" s="1"/>
  <c r="F4967" i="12" s="1"/>
  <c r="F4968" i="12" s="1"/>
  <c r="F4969" i="12" s="1"/>
  <c r="F4970" i="12" s="1"/>
  <c r="F4971" i="12" s="1"/>
  <c r="F4972" i="12" s="1"/>
  <c r="F4973" i="12" s="1"/>
  <c r="F4974" i="12" s="1"/>
  <c r="F4975" i="12" s="1"/>
  <c r="F4976" i="12" s="1"/>
  <c r="F4977" i="12" s="1"/>
  <c r="F4978" i="12" s="1"/>
  <c r="F4979" i="12" s="1"/>
  <c r="F4980" i="12" s="1"/>
  <c r="F4981" i="12" s="1"/>
  <c r="F4982" i="12" s="1"/>
  <c r="F4983" i="12" s="1"/>
  <c r="F4984" i="12" s="1"/>
  <c r="F4985" i="12" s="1"/>
  <c r="F4986" i="12" s="1"/>
  <c r="F4987" i="12" s="1"/>
  <c r="F4988" i="12" s="1"/>
  <c r="F4989" i="12" s="1"/>
  <c r="F4990" i="12" s="1"/>
  <c r="F4991" i="12" s="1"/>
  <c r="F4992" i="12" s="1"/>
  <c r="F4993" i="12" s="1"/>
  <c r="F4994" i="12" s="1"/>
  <c r="F4995" i="12" s="1"/>
  <c r="F4996" i="12" s="1"/>
  <c r="F4997" i="12" s="1"/>
  <c r="F4998" i="12" s="1"/>
  <c r="F4999" i="12" s="1"/>
  <c r="F5000" i="12" s="1"/>
  <c r="F5001" i="12" s="1"/>
  <c r="F5002" i="12" s="1"/>
  <c r="F5003" i="12" s="1"/>
  <c r="F5004" i="12" s="1"/>
  <c r="F5005" i="12" s="1"/>
  <c r="F5006" i="12" s="1"/>
  <c r="F5007" i="12" s="1"/>
  <c r="F5008" i="12" s="1"/>
  <c r="F5009" i="12" s="1"/>
  <c r="F5010" i="12" s="1"/>
  <c r="F5011" i="12" s="1"/>
  <c r="F5012" i="12" s="1"/>
  <c r="F5013" i="12" s="1"/>
  <c r="F5014" i="12" s="1"/>
  <c r="F5015" i="12" s="1"/>
  <c r="F5016" i="12" s="1"/>
  <c r="F5017" i="12" s="1"/>
  <c r="F5018" i="12" s="1"/>
  <c r="F5019" i="12" s="1"/>
  <c r="F5020" i="12" s="1"/>
  <c r="F5021" i="12" s="1"/>
  <c r="F5022" i="12" s="1"/>
  <c r="F5023" i="12" s="1"/>
  <c r="F5024" i="12" s="1"/>
  <c r="F5025" i="12" s="1"/>
  <c r="F5026" i="12" s="1"/>
  <c r="F5027" i="12" s="1"/>
  <c r="F5028" i="12" s="1"/>
  <c r="F5029" i="12" s="1"/>
  <c r="F5030" i="12" s="1"/>
  <c r="F5031" i="12" s="1"/>
  <c r="F5032" i="12" s="1"/>
  <c r="F5033" i="12" s="1"/>
  <c r="F5034" i="12" s="1"/>
  <c r="F5035" i="12" s="1"/>
  <c r="F5036" i="12" s="1"/>
  <c r="F5037" i="12" s="1"/>
  <c r="F5038" i="12" s="1"/>
  <c r="F5039" i="12" s="1"/>
  <c r="F5040" i="12" s="1"/>
  <c r="F5041" i="12" s="1"/>
  <c r="F5042" i="12" s="1"/>
  <c r="F5043" i="12" s="1"/>
  <c r="F5044" i="12" s="1"/>
  <c r="F5045" i="12" s="1"/>
  <c r="F5046" i="12" s="1"/>
  <c r="F5047" i="12" s="1"/>
  <c r="F5048" i="12" s="1"/>
  <c r="F5049" i="12" s="1"/>
  <c r="F5050" i="12" s="1"/>
  <c r="F5051" i="12" s="1"/>
  <c r="F5052" i="12" s="1"/>
  <c r="F5053" i="12" s="1"/>
  <c r="F5054" i="12" s="1"/>
  <c r="F5055" i="12" s="1"/>
  <c r="F5056" i="12" s="1"/>
  <c r="F5057" i="12" s="1"/>
  <c r="F5058" i="12" s="1"/>
  <c r="F5059" i="12" s="1"/>
  <c r="F5060" i="12" s="1"/>
  <c r="F5061" i="12" s="1"/>
  <c r="F5062" i="12" s="1"/>
  <c r="F5063" i="12" s="1"/>
  <c r="F5064" i="12" s="1"/>
  <c r="F5065" i="12" s="1"/>
  <c r="F5066" i="12" s="1"/>
  <c r="F5067" i="12" s="1"/>
  <c r="F5068" i="12" s="1"/>
  <c r="F5069" i="12" s="1"/>
  <c r="F5070" i="12" s="1"/>
  <c r="F5071" i="12" s="1"/>
  <c r="F5072" i="12" s="1"/>
  <c r="F5073" i="12" s="1"/>
  <c r="F5074" i="12" s="1"/>
  <c r="F5075" i="12" s="1"/>
  <c r="F5076" i="12" s="1"/>
  <c r="F5077" i="12" s="1"/>
  <c r="F5078" i="12" s="1"/>
  <c r="F5079" i="12" s="1"/>
  <c r="F5080" i="12" s="1"/>
  <c r="F5081" i="12" s="1"/>
  <c r="F5082" i="12" s="1"/>
  <c r="F5083" i="12" s="1"/>
  <c r="F5084" i="12" s="1"/>
  <c r="F5085" i="12" s="1"/>
  <c r="F5086" i="12" s="1"/>
  <c r="F5087" i="12" s="1"/>
  <c r="F5088" i="12" s="1"/>
  <c r="F5089" i="12" s="1"/>
  <c r="F5090" i="12" s="1"/>
  <c r="F5091" i="12" s="1"/>
  <c r="F5092" i="12" s="1"/>
  <c r="F5093" i="12" s="1"/>
  <c r="F5094" i="12" s="1"/>
  <c r="F5095" i="12" s="1"/>
  <c r="F5096" i="12" s="1"/>
  <c r="F5097" i="12" s="1"/>
  <c r="F5098" i="12" s="1"/>
  <c r="F5099" i="12" s="1"/>
  <c r="F5100" i="12" s="1"/>
  <c r="F5101" i="12" s="1"/>
  <c r="F5102" i="12" s="1"/>
  <c r="F5103" i="12" s="1"/>
  <c r="F5104" i="12" s="1"/>
  <c r="F5105" i="12" s="1"/>
  <c r="F5106" i="12" s="1"/>
  <c r="F5107" i="12" s="1"/>
  <c r="F5108" i="12" s="1"/>
  <c r="F5109" i="12" s="1"/>
  <c r="F5110" i="12" s="1"/>
  <c r="F5111" i="12" s="1"/>
  <c r="F5112" i="12" s="1"/>
  <c r="F5113" i="12" s="1"/>
  <c r="F5114" i="12" s="1"/>
  <c r="F5115" i="12" s="1"/>
  <c r="F5116" i="12" s="1"/>
  <c r="F5117" i="12" s="1"/>
  <c r="F5118" i="12" s="1"/>
  <c r="F5119" i="12" s="1"/>
  <c r="F5120" i="12" s="1"/>
  <c r="F5121" i="12" s="1"/>
  <c r="F5122" i="12" s="1"/>
  <c r="F5123" i="12" s="1"/>
  <c r="F5124" i="12" s="1"/>
  <c r="F5125" i="12" s="1"/>
  <c r="F5126" i="12" s="1"/>
  <c r="F5127" i="12" s="1"/>
  <c r="F5128" i="12" s="1"/>
  <c r="F5129" i="12" s="1"/>
  <c r="F5130" i="12" l="1"/>
  <c r="F5131" i="12" s="1"/>
  <c r="F5132" i="12" s="1"/>
  <c r="F5133" i="12" s="1"/>
  <c r="F5134" i="12" s="1"/>
  <c r="F5135" i="12" s="1"/>
  <c r="F5136" i="12" s="1"/>
  <c r="F5137" i="12" s="1"/>
  <c r="F5138" i="12" s="1"/>
  <c r="F5139" i="12" s="1"/>
  <c r="F5140" i="12" s="1"/>
  <c r="F5141" i="12" s="1"/>
  <c r="F5142" i="12" s="1"/>
  <c r="F5143" i="12" s="1"/>
  <c r="F5144" i="12" s="1"/>
  <c r="F5145" i="12" s="1"/>
  <c r="F5146" i="12" s="1"/>
  <c r="F5147" i="12" s="1"/>
  <c r="F5148" i="12" s="1"/>
  <c r="F5149" i="12" s="1"/>
  <c r="F5150" i="12" s="1"/>
  <c r="F5151" i="12" s="1"/>
  <c r="F5152" i="12" s="1"/>
  <c r="F5153" i="12" s="1"/>
  <c r="F5154" i="12" s="1"/>
  <c r="F5155" i="12" s="1"/>
  <c r="F5156" i="12" s="1"/>
  <c r="F5157" i="12" s="1"/>
  <c r="F5158" i="12" s="1"/>
  <c r="F5159" i="12" s="1"/>
  <c r="F5160" i="12" s="1"/>
  <c r="F5161" i="12" s="1"/>
  <c r="F5162" i="12" s="1"/>
  <c r="F5163" i="12" s="1"/>
  <c r="F5164" i="12" s="1"/>
  <c r="F5165" i="12" s="1"/>
  <c r="F5166" i="12" s="1"/>
  <c r="F5167" i="12" s="1"/>
  <c r="F5168" i="12" s="1"/>
  <c r="F5169" i="12" s="1"/>
  <c r="F5170" i="12" s="1"/>
  <c r="F5171" i="12" s="1"/>
  <c r="F5172" i="12" s="1"/>
  <c r="F5173" i="12" s="1"/>
  <c r="F5174" i="12" s="1"/>
  <c r="F5175" i="12" s="1"/>
  <c r="F5176" i="12" s="1"/>
  <c r="F5177" i="12" s="1"/>
  <c r="F5178" i="12" s="1"/>
  <c r="F5179" i="12" s="1"/>
  <c r="F5180" i="12" s="1"/>
  <c r="F5181" i="12" s="1"/>
  <c r="F5182" i="12" s="1"/>
  <c r="F5183" i="12" s="1"/>
  <c r="F5184" i="12" s="1"/>
  <c r="F5185" i="12" s="1"/>
  <c r="F5186" i="12" s="1"/>
  <c r="F5187" i="12" s="1"/>
  <c r="F5188" i="12" s="1"/>
  <c r="F5189" i="12" s="1"/>
  <c r="F5190" i="12" s="1"/>
  <c r="F5191" i="12" s="1"/>
  <c r="F5192" i="12" s="1"/>
  <c r="F5193" i="12" s="1"/>
  <c r="F5194" i="12" s="1"/>
  <c r="F5195" i="12" s="1"/>
  <c r="F5196" i="12" s="1"/>
  <c r="F5197" i="12" s="1"/>
  <c r="F5198" i="12" s="1"/>
  <c r="F5199" i="12" s="1"/>
  <c r="F5200" i="12" s="1"/>
  <c r="F5201" i="12" s="1"/>
  <c r="F5202" i="12" s="1"/>
  <c r="F5203" i="12" s="1"/>
  <c r="F5204" i="12" s="1"/>
  <c r="F5205" i="12" s="1"/>
  <c r="F5206" i="12" s="1"/>
  <c r="F5207" i="12" s="1"/>
  <c r="F5208" i="12" s="1"/>
  <c r="F5209" i="12" s="1"/>
  <c r="F5210" i="12" s="1"/>
  <c r="F5211" i="12" s="1"/>
  <c r="F5212" i="12" s="1"/>
  <c r="F5213" i="12" s="1"/>
  <c r="F5214" i="12" s="1"/>
  <c r="F5215" i="12" s="1"/>
  <c r="F5216" i="12" s="1"/>
  <c r="F5217" i="12" s="1"/>
  <c r="F5218" i="12" s="1"/>
  <c r="F5219" i="12" s="1"/>
  <c r="F5220" i="12" s="1"/>
  <c r="F5221" i="12" s="1"/>
  <c r="F5222" i="12" s="1"/>
  <c r="F5223" i="12" s="1"/>
  <c r="F5224" i="12" s="1"/>
  <c r="F5225" i="12" s="1"/>
  <c r="F5226" i="12" s="1"/>
  <c r="F5227" i="12" s="1"/>
  <c r="F5228" i="12" s="1"/>
  <c r="F5229" i="12" s="1"/>
  <c r="F5230" i="12" s="1"/>
  <c r="F5231" i="12" s="1"/>
  <c r="F5232" i="12" s="1"/>
  <c r="F5233" i="12" s="1"/>
  <c r="F5234" i="12" s="1"/>
  <c r="F5235" i="12" s="1"/>
  <c r="F5236" i="12" s="1"/>
  <c r="F5237" i="12" s="1"/>
  <c r="F5238" i="12" s="1"/>
  <c r="F5239" i="12" s="1"/>
  <c r="F5240" i="12" s="1"/>
  <c r="F5241" i="12" s="1"/>
  <c r="F5242" i="12" s="1"/>
  <c r="F5243" i="12" s="1"/>
  <c r="F5244" i="12" s="1"/>
  <c r="F5245" i="12" s="1"/>
  <c r="F5246" i="12" s="1"/>
  <c r="F5247" i="12" s="1"/>
  <c r="F5248" i="12" s="1"/>
  <c r="F5249" i="12" s="1"/>
  <c r="F5250" i="12" s="1"/>
  <c r="F5251" i="12" s="1"/>
  <c r="F5252" i="12" s="1"/>
  <c r="F5253" i="12" s="1"/>
  <c r="F5254" i="12" s="1"/>
  <c r="F5255" i="12" s="1"/>
  <c r="F5256" i="12" s="1"/>
  <c r="F5257" i="12" s="1"/>
  <c r="F5258" i="12" s="1"/>
  <c r="F5259" i="12" s="1"/>
  <c r="F5260" i="12" s="1"/>
  <c r="F5261" i="12" s="1"/>
  <c r="F5262" i="12" s="1"/>
  <c r="F5263" i="12" s="1"/>
  <c r="F5264" i="12" s="1"/>
  <c r="F5265" i="12" s="1"/>
  <c r="F5266" i="12" s="1"/>
  <c r="F5267" i="12" s="1"/>
  <c r="F5268" i="12" s="1"/>
  <c r="F5269" i="12" s="1"/>
  <c r="F5270" i="12" s="1"/>
  <c r="F5271" i="12" s="1"/>
  <c r="F5272" i="12" s="1"/>
  <c r="F5273" i="12" s="1"/>
  <c r="F5274" i="12" s="1"/>
  <c r="F5275" i="12" s="1"/>
  <c r="F5276" i="12" s="1"/>
  <c r="F5277" i="12" s="1"/>
  <c r="F5278" i="12" s="1"/>
  <c r="F5279" i="12" s="1"/>
  <c r="F5280" i="12" s="1"/>
  <c r="F5281" i="12" s="1"/>
  <c r="F5282" i="12" s="1"/>
  <c r="F5283" i="12" s="1"/>
  <c r="F5284" i="12" s="1"/>
  <c r="F5285" i="12" s="1"/>
  <c r="F5286" i="12" s="1"/>
  <c r="F5287" i="12" s="1"/>
  <c r="F5288" i="12" s="1"/>
  <c r="F5289" i="12" s="1"/>
  <c r="F5290" i="12" s="1"/>
  <c r="F5291" i="12" s="1"/>
  <c r="F5292" i="12" s="1"/>
  <c r="F5293" i="12" s="1"/>
  <c r="F5294" i="12" s="1"/>
  <c r="F5295" i="12" s="1"/>
  <c r="F5296" i="12" s="1"/>
  <c r="F5297" i="12" s="1"/>
  <c r="F5298" i="12" s="1"/>
  <c r="F5299" i="12" s="1"/>
  <c r="F5300" i="12" s="1"/>
  <c r="F5301" i="12" s="1"/>
  <c r="F5302" i="12" s="1"/>
  <c r="F5303" i="12" s="1"/>
  <c r="F5304" i="12" s="1"/>
  <c r="F5305" i="12" s="1"/>
  <c r="F5306" i="12" s="1"/>
  <c r="F5307" i="12" s="1"/>
  <c r="F5308" i="12" s="1"/>
  <c r="F5309" i="12" s="1"/>
  <c r="F5310" i="12" s="1"/>
  <c r="F5311" i="12" s="1"/>
  <c r="F5312" i="12" s="1"/>
  <c r="F5313" i="12" s="1"/>
  <c r="F5314" i="12" s="1"/>
  <c r="F5315" i="12" s="1"/>
  <c r="F5316" i="12" s="1"/>
  <c r="F5317" i="12" s="1"/>
  <c r="F5318" i="12" s="1"/>
  <c r="F5319" i="12" s="1"/>
  <c r="F5320" i="12" s="1"/>
  <c r="F5321" i="12" s="1"/>
  <c r="F5322" i="12" s="1"/>
  <c r="F5323" i="12" s="1"/>
  <c r="F5324" i="12" s="1"/>
  <c r="F5325" i="12" s="1"/>
  <c r="F5326" i="12" s="1"/>
  <c r="F5327" i="12" s="1"/>
  <c r="F5328" i="12" s="1"/>
  <c r="F5329" i="12" s="1"/>
  <c r="F5330" i="12" s="1"/>
  <c r="F5331" i="12" s="1"/>
  <c r="F5332" i="12" s="1"/>
  <c r="F5333" i="12" s="1"/>
  <c r="F5334" i="12" s="1"/>
  <c r="F5335" i="12" s="1"/>
  <c r="F5336" i="12" s="1"/>
  <c r="F5337" i="12" s="1"/>
  <c r="F5338" i="12" s="1"/>
  <c r="F5339" i="12" s="1"/>
  <c r="F5340" i="12" s="1"/>
  <c r="F5341" i="12" s="1"/>
  <c r="F5342" i="12" s="1"/>
  <c r="F5343" i="12" s="1"/>
  <c r="F5344" i="12" s="1"/>
  <c r="F5345" i="12" s="1"/>
  <c r="F5346" i="12" s="1"/>
  <c r="F5347" i="12" s="1"/>
  <c r="F5348" i="12" s="1"/>
  <c r="F5349" i="12" s="1"/>
  <c r="F5350" i="12" s="1"/>
  <c r="F5351" i="12" s="1"/>
  <c r="F5352" i="12" s="1"/>
  <c r="F5353" i="12" s="1"/>
  <c r="F5354" i="12" s="1"/>
  <c r="F5355" i="12" s="1"/>
  <c r="F5356" i="12" s="1"/>
  <c r="F5357" i="12" s="1"/>
  <c r="F5358" i="12" s="1"/>
  <c r="F5359" i="12" s="1"/>
  <c r="F5360" i="12" s="1"/>
  <c r="F5361" i="12" s="1"/>
  <c r="F5362" i="12" s="1"/>
  <c r="F5363" i="12" s="1"/>
  <c r="F5364" i="12" s="1"/>
  <c r="F5365" i="12" s="1"/>
  <c r="F5366" i="12" s="1"/>
  <c r="F5367" i="12" s="1"/>
  <c r="F5368" i="12" s="1"/>
  <c r="F5369" i="12" s="1"/>
  <c r="F5370" i="12" s="1"/>
  <c r="F5371" i="12" s="1"/>
  <c r="F5372" i="12" s="1"/>
  <c r="F5373" i="12" s="1"/>
  <c r="F5374" i="12" s="1"/>
  <c r="F5375" i="12" s="1"/>
  <c r="F5376" i="12" s="1"/>
  <c r="F5377" i="12" s="1"/>
  <c r="F5378" i="12" s="1"/>
  <c r="F5379" i="12" s="1"/>
  <c r="F5380" i="12" s="1"/>
  <c r="F5381" i="12" s="1"/>
  <c r="F5382" i="12" s="1"/>
  <c r="F5383" i="12" s="1"/>
  <c r="F5384" i="12" s="1"/>
  <c r="F5385" i="12" s="1"/>
  <c r="F5386" i="12" s="1"/>
  <c r="F5387" i="12" s="1"/>
  <c r="F5388" i="12" s="1"/>
  <c r="F5389" i="12" s="1"/>
  <c r="F5390" i="12" s="1"/>
  <c r="F5391" i="12" s="1"/>
  <c r="F5392" i="12" s="1"/>
  <c r="F5393" i="12" s="1"/>
  <c r="F5394" i="12" s="1"/>
  <c r="F5395" i="12" s="1"/>
  <c r="F5396" i="12" s="1"/>
  <c r="F5397" i="12" s="1"/>
  <c r="F5398" i="12" s="1"/>
  <c r="F5399" i="12" s="1"/>
  <c r="F5400" i="12" s="1"/>
  <c r="F5401" i="12" s="1"/>
  <c r="F5402" i="12" s="1"/>
  <c r="F5403" i="12" s="1"/>
  <c r="F5404" i="12" s="1"/>
  <c r="F5405" i="12" s="1"/>
  <c r="F5406" i="12" s="1"/>
  <c r="F5407" i="12" s="1"/>
  <c r="F5408" i="12" s="1"/>
  <c r="F5409" i="12" s="1"/>
  <c r="F5410" i="12" s="1"/>
  <c r="F5411" i="12" s="1"/>
  <c r="F5412" i="12" s="1"/>
  <c r="F5413" i="12" s="1"/>
  <c r="F5414" i="12" s="1"/>
  <c r="F5415" i="12" s="1"/>
  <c r="F5416" i="12" s="1"/>
  <c r="F5417" i="12" s="1"/>
  <c r="F5418" i="12" s="1"/>
  <c r="F5419" i="12" s="1"/>
  <c r="F5420" i="12" s="1"/>
  <c r="F5421" i="12" s="1"/>
  <c r="F5422" i="12" s="1"/>
  <c r="F5423" i="12" s="1"/>
  <c r="F5424" i="12" s="1"/>
  <c r="F5425" i="12" s="1"/>
  <c r="F5426" i="12" s="1"/>
  <c r="F5427" i="12" s="1"/>
  <c r="F5428" i="12" s="1"/>
  <c r="F5429" i="12" s="1"/>
  <c r="F5430" i="12" s="1"/>
  <c r="F5431" i="12" s="1"/>
  <c r="F5432" i="12" s="1"/>
  <c r="F5433" i="12" s="1"/>
  <c r="F5434" i="12" s="1"/>
  <c r="F5435" i="12" s="1"/>
  <c r="F5436" i="12" s="1"/>
  <c r="F5437" i="12" s="1"/>
  <c r="F5438" i="12" s="1"/>
  <c r="F5439" i="12" s="1"/>
  <c r="F5440" i="12" s="1"/>
  <c r="F5441" i="12" s="1"/>
  <c r="F5442" i="12" s="1"/>
  <c r="F5443" i="12" s="1"/>
  <c r="F5444" i="12" s="1"/>
  <c r="F5445" i="12" s="1"/>
  <c r="F5446" i="12" s="1"/>
  <c r="F5447" i="12" s="1"/>
  <c r="F5448" i="12" s="1"/>
  <c r="F5449" i="12" s="1"/>
  <c r="F5450" i="12" s="1"/>
  <c r="F5451" i="12" s="1"/>
  <c r="F5452" i="12" s="1"/>
  <c r="F5453" i="12" s="1"/>
  <c r="F5454" i="12" s="1"/>
  <c r="F5455" i="12" s="1"/>
  <c r="F5456" i="12" s="1"/>
  <c r="F5457" i="12" s="1"/>
  <c r="F5458" i="12" s="1"/>
  <c r="F5459" i="12" s="1"/>
  <c r="F5460" i="12" s="1"/>
  <c r="F5461" i="12" s="1"/>
  <c r="F5462" i="12" s="1"/>
  <c r="F5463" i="12" s="1"/>
  <c r="F5464" i="12" s="1"/>
  <c r="F5465" i="12" s="1"/>
  <c r="F5466" i="12" s="1"/>
  <c r="F5467" i="12" s="1"/>
  <c r="F5468" i="12" s="1"/>
  <c r="F5469" i="12" s="1"/>
  <c r="F5470" i="12" s="1"/>
  <c r="F5471" i="12" s="1"/>
  <c r="F5472" i="12" s="1"/>
  <c r="F5473" i="12" s="1"/>
  <c r="F5474" i="12" s="1"/>
  <c r="F5475" i="12" s="1"/>
  <c r="F5476" i="12" s="1"/>
  <c r="F5477" i="12" s="1"/>
  <c r="F5478" i="12" s="1"/>
  <c r="F5479" i="12" s="1"/>
  <c r="F5480" i="12" s="1"/>
  <c r="F5481" i="12" s="1"/>
  <c r="F5482" i="12" s="1"/>
  <c r="F5483" i="12" s="1"/>
  <c r="F5484" i="12" s="1"/>
  <c r="F5485" i="12" s="1"/>
  <c r="F5486" i="12" s="1"/>
  <c r="F5487" i="12" s="1"/>
  <c r="F5488" i="12" s="1"/>
  <c r="F5489" i="12" s="1"/>
  <c r="F5490" i="12" s="1"/>
  <c r="F5491" i="12" s="1"/>
  <c r="F5492" i="12" s="1"/>
  <c r="F5493" i="12" s="1"/>
  <c r="F5494" i="12" s="1"/>
  <c r="F5495" i="12" s="1"/>
  <c r="F5496" i="12" s="1"/>
  <c r="F5497" i="12" s="1"/>
  <c r="F5498" i="12" s="1"/>
  <c r="F5499" i="12" s="1"/>
  <c r="F5500" i="12" s="1"/>
  <c r="F5501" i="12" s="1"/>
  <c r="F5502" i="12" s="1"/>
  <c r="F5503" i="12" s="1"/>
  <c r="F5504" i="12" s="1"/>
  <c r="F5505" i="12" s="1"/>
  <c r="F5506" i="12" s="1"/>
  <c r="F5507" i="12" s="1"/>
  <c r="F5508" i="12" s="1"/>
  <c r="F5509" i="12" s="1"/>
  <c r="F5510" i="12" s="1"/>
  <c r="F5511" i="12" s="1"/>
  <c r="F5512" i="12" s="1"/>
  <c r="F5513" i="12" s="1"/>
  <c r="F5514" i="12" s="1"/>
  <c r="F5515" i="12" s="1"/>
  <c r="F5516" i="12" s="1"/>
  <c r="F5517" i="12" s="1"/>
  <c r="F5518" i="12" s="1"/>
  <c r="F5519" i="12" s="1"/>
  <c r="F5520" i="12" s="1"/>
  <c r="F5521" i="12" s="1"/>
  <c r="F5522" i="12" s="1"/>
  <c r="F5523" i="12" s="1"/>
  <c r="F5524" i="12" s="1"/>
  <c r="F5525" i="12" s="1"/>
  <c r="F5526" i="12" s="1"/>
  <c r="F5527" i="12" s="1"/>
  <c r="F5528" i="12" s="1"/>
  <c r="F5529" i="12" s="1"/>
  <c r="F5530" i="12" s="1"/>
  <c r="F5531" i="12" s="1"/>
  <c r="F5532" i="12" s="1"/>
  <c r="F5533" i="12" s="1"/>
  <c r="F5534" i="12" s="1"/>
  <c r="F5535" i="12" s="1"/>
  <c r="F5536" i="12" s="1"/>
  <c r="F5537" i="12" s="1"/>
  <c r="F5538" i="12" s="1"/>
  <c r="F5539" i="12" s="1"/>
  <c r="F5540" i="12" s="1"/>
  <c r="F5541" i="12" s="1"/>
  <c r="F5542" i="12" s="1"/>
  <c r="F5543" i="12" s="1"/>
  <c r="F5544" i="12" s="1"/>
  <c r="F5545" i="12" s="1"/>
  <c r="F5546" i="12" s="1"/>
  <c r="F5547" i="12" s="1"/>
  <c r="F5548" i="12" s="1"/>
  <c r="F5549" i="12" s="1"/>
  <c r="F5550" i="12" s="1"/>
  <c r="F5551" i="12" s="1"/>
  <c r="F5552" i="12" s="1"/>
  <c r="F5553" i="12" s="1"/>
  <c r="F5554" i="12" s="1"/>
  <c r="F5555" i="12" s="1"/>
  <c r="F5556" i="12" s="1"/>
  <c r="F5557" i="12" s="1"/>
  <c r="F5558" i="12" s="1"/>
  <c r="F5559" i="12" s="1"/>
  <c r="F5560" i="12" s="1"/>
  <c r="F5561" i="12" s="1"/>
  <c r="F5562" i="12" s="1"/>
  <c r="F5563" i="12" s="1"/>
  <c r="F5564" i="12" s="1"/>
  <c r="F5565" i="12" s="1"/>
  <c r="F5566" i="12" s="1"/>
  <c r="F5567" i="12" s="1"/>
  <c r="F5568" i="12" s="1"/>
  <c r="F5569" i="12" s="1"/>
  <c r="F5570" i="12" s="1"/>
  <c r="F5571" i="12" s="1"/>
  <c r="F5572" i="12" s="1"/>
  <c r="F5573" i="12" s="1"/>
  <c r="F5574" i="12" s="1"/>
  <c r="F5575" i="12" s="1"/>
  <c r="F5576" i="12" s="1"/>
  <c r="F5577" i="12" s="1"/>
  <c r="F5578" i="12" s="1"/>
  <c r="F5579" i="12" s="1"/>
  <c r="F5580" i="12" s="1"/>
  <c r="F5581" i="12" s="1"/>
  <c r="F5582" i="12" s="1"/>
  <c r="F5583" i="12" s="1"/>
  <c r="F5584" i="12" s="1"/>
  <c r="F5585" i="12" s="1"/>
  <c r="F5586" i="12" s="1"/>
  <c r="F5587" i="12" s="1"/>
  <c r="F5588" i="12" s="1"/>
  <c r="F5589" i="12" s="1"/>
  <c r="F5590" i="12" s="1"/>
  <c r="F5591" i="12" s="1"/>
  <c r="F5592" i="12" s="1"/>
  <c r="F5593" i="12" s="1"/>
  <c r="F5594" i="12" s="1"/>
  <c r="F5595" i="12" s="1"/>
  <c r="F5596" i="12" s="1"/>
  <c r="F5597" i="12" s="1"/>
  <c r="F5598" i="12" s="1"/>
  <c r="F5599" i="12" s="1"/>
  <c r="F5600" i="12" s="1"/>
  <c r="F5601" i="12" s="1"/>
  <c r="F5602" i="12" s="1"/>
  <c r="F5603" i="12" s="1"/>
  <c r="F5604" i="12" s="1"/>
  <c r="F5605" i="12" s="1"/>
  <c r="F5606" i="12" s="1"/>
  <c r="F5607" i="12" s="1"/>
  <c r="F5608" i="12" s="1"/>
  <c r="F5609" i="12" s="1"/>
  <c r="F5610" i="12" s="1"/>
  <c r="F5611" i="12" s="1"/>
  <c r="F5612" i="12" s="1"/>
  <c r="F5613" i="12" s="1"/>
  <c r="F5614" i="12" s="1"/>
  <c r="F5615" i="12" s="1"/>
  <c r="F5616" i="12" s="1"/>
  <c r="F5617" i="12" s="1"/>
  <c r="F5618" i="12" s="1"/>
  <c r="F5619" i="12" s="1"/>
  <c r="F5620" i="12" s="1"/>
  <c r="F5621" i="12" s="1"/>
  <c r="F5622" i="12" s="1"/>
  <c r="F5623" i="12" s="1"/>
  <c r="F5624" i="12" s="1"/>
  <c r="F5625" i="12" s="1"/>
  <c r="F5626" i="12" s="1"/>
  <c r="F5627" i="12" s="1"/>
  <c r="F5628" i="12" s="1"/>
  <c r="F5629" i="12" s="1"/>
  <c r="F5630" i="12" s="1"/>
  <c r="F5631" i="12" s="1"/>
  <c r="F5632" i="12" s="1"/>
  <c r="F5633" i="12" s="1"/>
  <c r="F5634" i="12" s="1"/>
  <c r="F5635" i="12" s="1"/>
  <c r="F5636" i="12" s="1"/>
  <c r="F5637" i="12" s="1"/>
  <c r="F5638" i="12" s="1"/>
  <c r="F5639" i="12" s="1"/>
  <c r="F5640" i="12" s="1"/>
  <c r="F5641" i="12" s="1"/>
  <c r="F5642" i="12" s="1"/>
  <c r="F5643" i="12" s="1"/>
  <c r="F5644" i="12" s="1"/>
  <c r="F5645" i="12" s="1"/>
  <c r="F5646" i="12" s="1"/>
  <c r="F5647" i="12" s="1"/>
  <c r="F5648" i="12" s="1"/>
  <c r="F5649" i="12" s="1"/>
  <c r="F5650" i="12" s="1"/>
  <c r="F5651" i="12" s="1"/>
  <c r="F5652" i="12" s="1"/>
  <c r="F5653" i="12" s="1"/>
  <c r="F5654" i="12" s="1"/>
  <c r="F5655" i="12" s="1"/>
  <c r="F5656" i="12" s="1"/>
  <c r="F5657" i="12" s="1"/>
  <c r="F5658" i="12" s="1"/>
  <c r="F5659" i="12" s="1"/>
  <c r="F5660" i="12" s="1"/>
  <c r="F5661" i="12" s="1"/>
  <c r="F5662" i="12" s="1"/>
  <c r="F5663" i="12" s="1"/>
  <c r="F5664" i="12" s="1"/>
  <c r="F5665" i="12" s="1"/>
  <c r="F5666" i="12" s="1"/>
  <c r="F5667" i="12" s="1"/>
  <c r="F5668" i="12" s="1"/>
  <c r="F5669" i="12" s="1"/>
  <c r="F5670" i="12" s="1"/>
  <c r="F5671" i="12" s="1"/>
  <c r="F5672" i="12" s="1"/>
  <c r="F5673" i="12" s="1"/>
  <c r="F5674" i="12" s="1"/>
  <c r="F5675" i="12" s="1"/>
  <c r="F5676" i="12" s="1"/>
  <c r="F5677" i="12" s="1"/>
  <c r="F5678" i="12" s="1"/>
  <c r="F5679" i="12" s="1"/>
  <c r="F5680" i="12" s="1"/>
  <c r="F5681" i="12" s="1"/>
  <c r="F5682" i="12" s="1"/>
  <c r="F5683" i="12" s="1"/>
  <c r="F5684" i="12" s="1"/>
  <c r="F5685" i="12" s="1"/>
  <c r="F5686" i="12" s="1"/>
  <c r="F5687" i="12" s="1"/>
  <c r="F5688" i="12" s="1"/>
  <c r="F5689" i="12" s="1"/>
  <c r="F5690" i="12" s="1"/>
  <c r="F5691" i="12" s="1"/>
  <c r="F5692" i="12" s="1"/>
  <c r="F5693" i="12" s="1"/>
  <c r="F5694" i="12" s="1"/>
  <c r="F5695" i="12" s="1"/>
  <c r="F5696" i="12" s="1"/>
  <c r="F5697" i="12" s="1"/>
  <c r="F5698" i="12" s="1"/>
  <c r="F5699" i="12" s="1"/>
  <c r="F5700" i="12" s="1"/>
  <c r="F5701" i="12" s="1"/>
  <c r="F5702" i="12" s="1"/>
  <c r="F5703" i="12" s="1"/>
  <c r="F5704" i="12" s="1"/>
  <c r="F5705" i="12" s="1"/>
  <c r="F5706" i="12" s="1"/>
  <c r="F5707" i="12" s="1"/>
  <c r="F5708" i="12" s="1"/>
  <c r="F5709" i="12" s="1"/>
  <c r="F5710" i="12" s="1"/>
  <c r="F5711" i="12" s="1"/>
  <c r="F5712" i="12" s="1"/>
  <c r="F5713" i="12" s="1"/>
  <c r="F5714" i="12" s="1"/>
  <c r="F5715" i="12" s="1"/>
  <c r="F5716" i="12" s="1"/>
  <c r="F5717" i="12" s="1"/>
  <c r="F5718" i="12" s="1"/>
  <c r="F5719" i="12" s="1"/>
  <c r="F5720" i="12" s="1"/>
  <c r="F5721" i="12" s="1"/>
  <c r="F5722" i="12" s="1"/>
  <c r="F5723" i="12" s="1"/>
  <c r="F5724" i="12" s="1"/>
  <c r="F5725" i="12" s="1"/>
  <c r="F5726" i="12" s="1"/>
  <c r="F5727" i="12" s="1"/>
  <c r="F5728" i="12" s="1"/>
  <c r="F5729" i="12" s="1"/>
  <c r="F5730" i="12" s="1"/>
  <c r="F5731" i="12" s="1"/>
  <c r="F5732" i="12" s="1"/>
  <c r="F5733" i="12" s="1"/>
  <c r="F5734" i="12" s="1"/>
  <c r="F5735" i="12" s="1"/>
  <c r="F5736" i="12" s="1"/>
  <c r="F5737" i="12" s="1"/>
  <c r="F5738" i="12" s="1"/>
  <c r="F5739" i="12" s="1"/>
  <c r="F5740" i="12" s="1"/>
  <c r="F5741" i="12" s="1"/>
  <c r="F5742" i="12" s="1"/>
  <c r="F5743" i="12" s="1"/>
  <c r="F5744" i="12" s="1"/>
  <c r="F5745" i="12" s="1"/>
  <c r="F5746" i="12" s="1"/>
  <c r="F5747" i="12" s="1"/>
  <c r="F5748" i="12" s="1"/>
  <c r="F5749" i="12" s="1"/>
  <c r="F5750" i="12" s="1"/>
  <c r="F5751" i="12" s="1"/>
  <c r="F5752" i="12" s="1"/>
  <c r="F5753" i="12" s="1"/>
  <c r="F5754" i="12" s="1"/>
  <c r="F5755" i="12" s="1"/>
  <c r="F5756" i="12" s="1"/>
  <c r="F5757" i="12" s="1"/>
  <c r="F5758" i="12" s="1"/>
  <c r="F5759" i="12" s="1"/>
  <c r="F5760" i="12" s="1"/>
  <c r="F5761" i="12" s="1"/>
  <c r="F5762" i="12" s="1"/>
  <c r="F5763" i="12" s="1"/>
  <c r="F5764" i="12" s="1"/>
  <c r="F5765" i="12" s="1"/>
  <c r="F5766" i="12" s="1"/>
  <c r="F5767" i="12" s="1"/>
  <c r="F5768" i="12" s="1"/>
  <c r="F5769" i="12" s="1"/>
  <c r="F5770" i="12" s="1"/>
  <c r="F5771" i="12" s="1"/>
  <c r="F5772" i="12" s="1"/>
  <c r="F5773" i="12" s="1"/>
  <c r="F5774" i="12" s="1"/>
  <c r="F5775" i="12" s="1"/>
  <c r="F5776" i="12" s="1"/>
  <c r="F5777" i="12" s="1"/>
  <c r="F5778" i="12" s="1"/>
  <c r="F5779" i="12" s="1"/>
  <c r="F5780" i="12" s="1"/>
  <c r="F5781" i="12" s="1"/>
  <c r="F5782" i="12" s="1"/>
  <c r="F5783" i="12" s="1"/>
  <c r="F5784" i="12" s="1"/>
  <c r="F5785" i="12" s="1"/>
  <c r="F5786" i="12" s="1"/>
  <c r="F5787" i="12" s="1"/>
  <c r="F5788" i="12" s="1"/>
  <c r="F5789" i="12" s="1"/>
  <c r="F5790" i="12" s="1"/>
  <c r="F5791" i="12" s="1"/>
  <c r="F5792" i="12" s="1"/>
  <c r="F5793" i="12" s="1"/>
  <c r="F5794" i="12" s="1"/>
  <c r="F5795" i="12" s="1"/>
  <c r="F5796" i="12" s="1"/>
  <c r="F5797" i="12" s="1"/>
  <c r="F5798" i="12" s="1"/>
  <c r="F5799" i="12" s="1"/>
  <c r="F5800" i="12" s="1"/>
  <c r="F5801" i="12" s="1"/>
  <c r="F5802" i="12" s="1"/>
  <c r="F5803" i="12" s="1"/>
  <c r="F5804" i="12" s="1"/>
  <c r="F5805" i="12" s="1"/>
  <c r="F5806" i="12" s="1"/>
  <c r="F5807" i="12" s="1"/>
  <c r="F5808" i="12" s="1"/>
  <c r="F5809" i="12" s="1"/>
  <c r="F5810" i="12" s="1"/>
  <c r="F5811" i="12" s="1"/>
  <c r="F5812" i="12" s="1"/>
  <c r="F5813" i="12" s="1"/>
  <c r="F5814" i="12" s="1"/>
  <c r="F5815" i="12" s="1"/>
  <c r="F5816" i="12" s="1"/>
  <c r="F5817" i="12" s="1"/>
  <c r="F5818" i="12" s="1"/>
  <c r="F5819" i="12" s="1"/>
  <c r="F5820" i="12" s="1"/>
  <c r="F5821" i="12" s="1"/>
  <c r="F5822" i="12" s="1"/>
  <c r="F5823" i="12" s="1"/>
  <c r="F5824" i="12" s="1"/>
  <c r="F5825" i="12" s="1"/>
  <c r="F5826" i="12" s="1"/>
  <c r="F5827" i="12" s="1"/>
  <c r="F5828" i="12" s="1"/>
  <c r="F5829" i="12" s="1"/>
  <c r="F5830" i="12" s="1"/>
  <c r="F5831" i="12" s="1"/>
  <c r="F5832" i="12" s="1"/>
  <c r="F5833" i="12" s="1"/>
  <c r="F5834" i="12" s="1"/>
  <c r="F5835" i="12" s="1"/>
  <c r="F5836" i="12" s="1"/>
  <c r="F5837" i="12" s="1"/>
  <c r="F5838" i="12" s="1"/>
  <c r="F5839" i="12" s="1"/>
  <c r="F5840" i="12" s="1"/>
  <c r="F5841" i="12" s="1"/>
  <c r="F5842" i="12" s="1"/>
  <c r="F5843" i="12" s="1"/>
  <c r="F5844" i="12" s="1"/>
  <c r="F5845" i="12" s="1"/>
  <c r="F5846" i="12" s="1"/>
  <c r="F5847" i="12" s="1"/>
  <c r="F5848" i="12" s="1"/>
  <c r="F5849" i="12" s="1"/>
  <c r="F5850" i="12" s="1"/>
  <c r="F5851" i="12" s="1"/>
  <c r="F5852" i="12" s="1"/>
  <c r="F5853" i="12" s="1"/>
  <c r="F5854" i="12" s="1"/>
  <c r="F5855" i="12" s="1"/>
  <c r="F5856" i="12" s="1"/>
  <c r="F5857" i="12" s="1"/>
  <c r="F5858" i="12" s="1"/>
  <c r="F5859" i="12" s="1"/>
  <c r="F5860" i="12" s="1"/>
  <c r="F5861" i="12" s="1"/>
  <c r="F5862" i="12" s="1"/>
  <c r="F5863" i="12" s="1"/>
  <c r="F5864" i="12" s="1"/>
  <c r="F5865" i="12" s="1"/>
  <c r="F5866" i="12" s="1"/>
  <c r="F5867" i="12" s="1"/>
  <c r="F5868" i="12" s="1"/>
  <c r="F5869" i="12" s="1"/>
  <c r="F5870" i="12" s="1"/>
  <c r="F5871" i="12" s="1"/>
  <c r="F5872" i="12" s="1"/>
  <c r="F5873" i="12" s="1"/>
  <c r="F5874" i="12" s="1"/>
  <c r="F5875" i="12" s="1"/>
  <c r="F5876" i="12" s="1"/>
  <c r="F5877" i="12" s="1"/>
  <c r="F5878" i="12" s="1"/>
  <c r="F5879" i="12" s="1"/>
  <c r="F5880" i="12" s="1"/>
  <c r="F5881" i="12" s="1"/>
  <c r="F5882" i="12" s="1"/>
  <c r="F5883" i="12" l="1"/>
  <c r="F5884" i="12" s="1"/>
  <c r="F5885" i="12" s="1"/>
  <c r="F5886" i="12" s="1"/>
  <c r="F5887" i="12" s="1"/>
  <c r="F5888" i="12" l="1"/>
  <c r="F5889" i="12" s="1"/>
  <c r="F5890" i="12" s="1"/>
  <c r="F5891" i="12" s="1"/>
  <c r="F5892" i="12" s="1"/>
  <c r="F5893" i="12" s="1"/>
  <c r="F5894" i="12" s="1"/>
  <c r="F5895" i="12" s="1"/>
  <c r="F5896" i="12" s="1"/>
  <c r="F5897" i="12" s="1"/>
  <c r="F5898" i="12" s="1"/>
  <c r="F5899" i="12" s="1"/>
  <c r="F5900" i="12" l="1"/>
  <c r="F5901" i="12" s="1"/>
  <c r="F5902" i="12" s="1"/>
  <c r="F5903" i="12" s="1"/>
  <c r="F5904" i="12" s="1"/>
  <c r="F5905" i="12" s="1"/>
  <c r="F5906" i="12" s="1"/>
  <c r="F5907" i="12" s="1"/>
  <c r="F5908" i="12" s="1"/>
  <c r="F5909" i="12" s="1"/>
  <c r="F5910" i="12" s="1"/>
  <c r="F5911" i="12" s="1"/>
  <c r="F5912" i="12" s="1"/>
  <c r="F5913" i="12" s="1"/>
  <c r="F5914" i="12" s="1"/>
  <c r="F5915" i="12" s="1"/>
  <c r="F5916" i="12" s="1"/>
  <c r="F5917" i="12" s="1"/>
  <c r="F5918" i="12" s="1"/>
  <c r="F5919" i="12" s="1"/>
  <c r="F5920" i="12" s="1"/>
  <c r="F5921" i="12" s="1"/>
  <c r="F5922" i="12" s="1"/>
  <c r="F5923" i="12" s="1"/>
  <c r="F5924" i="12" s="1"/>
  <c r="F5925" i="12" s="1"/>
  <c r="F5926" i="12" s="1"/>
  <c r="F5927" i="12" s="1"/>
  <c r="F5928" i="12" s="1"/>
  <c r="F5929" i="12" s="1"/>
  <c r="F5930" i="12" s="1"/>
  <c r="F5931" i="12" s="1"/>
  <c r="F5932" i="12" s="1"/>
  <c r="F5933" i="12" s="1"/>
  <c r="F5934" i="12" s="1"/>
  <c r="F5935" i="12" s="1"/>
  <c r="F5936" i="12" s="1"/>
  <c r="F5937" i="12" s="1"/>
  <c r="F5938" i="12" s="1"/>
  <c r="F5939" i="12" s="1"/>
  <c r="F5940" i="12" s="1"/>
  <c r="F5941" i="12" s="1"/>
  <c r="F5942" i="12" s="1"/>
  <c r="F5943" i="12" s="1"/>
  <c r="F5944" i="12" s="1"/>
  <c r="F5945" i="12" s="1"/>
  <c r="F5946" i="12" s="1"/>
  <c r="F5947" i="12" s="1"/>
  <c r="F5948" i="12" s="1"/>
  <c r="F5949" i="12" s="1"/>
  <c r="F5950" i="12" s="1"/>
  <c r="F5951" i="12" s="1"/>
  <c r="F5952" i="12" s="1"/>
  <c r="F5953" i="12" s="1"/>
  <c r="F5954" i="12" s="1"/>
  <c r="F5955" i="12" s="1"/>
  <c r="F5956" i="12" s="1"/>
  <c r="F5957" i="12" s="1"/>
  <c r="F5958" i="12" s="1"/>
  <c r="F5959" i="12" s="1"/>
  <c r="F5960" i="12" s="1"/>
  <c r="F5961" i="12" s="1"/>
  <c r="F5962" i="12" s="1"/>
  <c r="F5963" i="12" s="1"/>
  <c r="F5964" i="12" s="1"/>
  <c r="F5965" i="12" s="1"/>
  <c r="F5966" i="12" s="1"/>
  <c r="F5967" i="12" s="1"/>
  <c r="F5968" i="12" s="1"/>
  <c r="F5969" i="12" l="1"/>
  <c r="F5970" i="12" s="1"/>
  <c r="F5971" i="12" s="1"/>
  <c r="F5972" i="12" s="1"/>
  <c r="F5973" i="12" s="1"/>
  <c r="F5974" i="12" s="1"/>
  <c r="F5975" i="12" s="1"/>
  <c r="F5976" i="12" s="1"/>
  <c r="F5977" i="12" s="1"/>
  <c r="F5978" i="12" s="1"/>
  <c r="F5979" i="12" s="1"/>
  <c r="F5980" i="12" s="1"/>
  <c r="F5981" i="12" s="1"/>
  <c r="F5982" i="12" s="1"/>
  <c r="F5983" i="12" s="1"/>
  <c r="F5984" i="12" s="1"/>
  <c r="F5985" i="12" s="1"/>
  <c r="F5986" i="12" s="1"/>
  <c r="F5987" i="12" s="1"/>
  <c r="F5988" i="12" s="1"/>
  <c r="F5989" i="12" s="1"/>
  <c r="F5990" i="12" s="1"/>
  <c r="F5991" i="12" s="1"/>
  <c r="F5992" i="12" s="1"/>
  <c r="F5993" i="12" s="1"/>
  <c r="F5994" i="12" s="1"/>
  <c r="F5995" i="12" s="1"/>
  <c r="F5996" i="12" s="1"/>
  <c r="F5997" i="12" s="1"/>
  <c r="F5998" i="12" s="1"/>
  <c r="F5999" i="12" s="1"/>
  <c r="F6000" i="12" s="1"/>
  <c r="F6001" i="12" s="1"/>
  <c r="F6002" i="12" s="1"/>
  <c r="F6003" i="12" s="1"/>
  <c r="F6004" i="12" s="1"/>
  <c r="F6005" i="12" s="1"/>
  <c r="F6006" i="12" s="1"/>
  <c r="F6007" i="12" s="1"/>
  <c r="F6008" i="12" s="1"/>
  <c r="F6009" i="12" s="1"/>
  <c r="F6010" i="12" s="1"/>
  <c r="F6011" i="12" s="1"/>
  <c r="F6012" i="12" s="1"/>
  <c r="F6013" i="12" s="1"/>
  <c r="F6014" i="12" s="1"/>
  <c r="F6015" i="12" s="1"/>
  <c r="F6016" i="12" s="1"/>
  <c r="F6017" i="12" s="1"/>
  <c r="F6018" i="12" s="1"/>
  <c r="F6019" i="12" s="1"/>
  <c r="F6020" i="12" s="1"/>
  <c r="F6021" i="12" s="1"/>
  <c r="F6022" i="12" s="1"/>
  <c r="F6023" i="12" s="1"/>
  <c r="F6024" i="12" s="1"/>
  <c r="F6025" i="12" s="1"/>
  <c r="F6026" i="12" s="1"/>
  <c r="F6027" i="12" s="1"/>
  <c r="F6028" i="12" s="1"/>
  <c r="F6029" i="12" s="1"/>
  <c r="F6030" i="12" s="1"/>
  <c r="F6031" i="12" s="1"/>
  <c r="F6032" i="12" s="1"/>
  <c r="F6033" i="12" s="1"/>
  <c r="F6034" i="12" s="1"/>
  <c r="F6035" i="12" s="1"/>
  <c r="F6036" i="12" s="1"/>
  <c r="F6037" i="12" s="1"/>
  <c r="F6038" i="12" s="1"/>
  <c r="F6039" i="12" s="1"/>
  <c r="F6040" i="12" s="1"/>
  <c r="F6041" i="12" s="1"/>
  <c r="F6042" i="12" s="1"/>
  <c r="F6043" i="12" s="1"/>
  <c r="F6044" i="12" s="1"/>
  <c r="F6045" i="12" s="1"/>
  <c r="F6046" i="12" s="1"/>
  <c r="F6047" i="12" s="1"/>
  <c r="F6048" i="12" s="1"/>
  <c r="F6049" i="12" s="1"/>
  <c r="F6050" i="12" s="1"/>
  <c r="F6051" i="12" s="1"/>
  <c r="F6052" i="12" s="1"/>
  <c r="F6053" i="12" s="1"/>
  <c r="F6054" i="12" s="1"/>
  <c r="F6055" i="12" s="1"/>
  <c r="F6056" i="12" s="1"/>
  <c r="F6057" i="12" s="1"/>
  <c r="F6058" i="12" s="1"/>
  <c r="F6059" i="12" s="1"/>
  <c r="F6060" i="12" s="1"/>
  <c r="F6061" i="12" s="1"/>
  <c r="F6062" i="12" s="1"/>
  <c r="F6063" i="12" s="1"/>
  <c r="F6064" i="12" s="1"/>
  <c r="F6065" i="12" s="1"/>
  <c r="F6066" i="12" s="1"/>
  <c r="F6067" i="12" s="1"/>
  <c r="F6068" i="12" s="1"/>
  <c r="F6069" i="12" s="1"/>
  <c r="F6070" i="12" s="1"/>
  <c r="F6071" i="12" s="1"/>
  <c r="F6072" i="12" s="1"/>
  <c r="F6073" i="12" s="1"/>
  <c r="F6074" i="12" s="1"/>
  <c r="F6075" i="12" s="1"/>
  <c r="F6076" i="12" s="1"/>
  <c r="F6077" i="12" s="1"/>
  <c r="F6078" i="12" s="1"/>
  <c r="F6079" i="12" s="1"/>
  <c r="F6080" i="12" l="1"/>
  <c r="F6081" i="12" s="1"/>
  <c r="F6082" i="12" s="1"/>
  <c r="F6083" i="12" s="1"/>
  <c r="F6084" i="12" s="1"/>
  <c r="F6085" i="12" s="1"/>
  <c r="F6086" i="12" s="1"/>
  <c r="F6087" i="12" s="1"/>
  <c r="F6088" i="12" s="1"/>
  <c r="F6089" i="12" s="1"/>
  <c r="F6090" i="12" s="1"/>
  <c r="F6091" i="12" s="1"/>
  <c r="F6092" i="12" s="1"/>
  <c r="F6093" i="12" s="1"/>
  <c r="F6094" i="12" s="1"/>
  <c r="F6095" i="12" s="1"/>
  <c r="F6096" i="12" s="1"/>
  <c r="F6097" i="12" s="1"/>
  <c r="F6098" i="12" s="1"/>
  <c r="F6099" i="12" s="1"/>
  <c r="F6100" i="12" s="1"/>
  <c r="F6101" i="12" s="1"/>
  <c r="F6102" i="12" s="1"/>
  <c r="F6103" i="12" s="1"/>
  <c r="F6104" i="12" s="1"/>
  <c r="F6105" i="12" s="1"/>
  <c r="F6106" i="12" s="1"/>
  <c r="F6107" i="12" s="1"/>
  <c r="F6108" i="12" s="1"/>
  <c r="F6109" i="12" s="1"/>
  <c r="F6110" i="12" s="1"/>
  <c r="F6111" i="12" s="1"/>
  <c r="F6112" i="12" s="1"/>
  <c r="F6113" i="12" s="1"/>
  <c r="F6114" i="12" s="1"/>
  <c r="F6115" i="12" s="1"/>
  <c r="F6116" i="12" s="1"/>
  <c r="F6117" i="12" s="1"/>
  <c r="F6118" i="12" s="1"/>
  <c r="F6119" i="12" s="1"/>
  <c r="F6120" i="12" s="1"/>
  <c r="F6121" i="12" s="1"/>
  <c r="F6122" i="12" s="1"/>
  <c r="F6123" i="12" s="1"/>
  <c r="F6124" i="12" s="1"/>
  <c r="F6125" i="12" s="1"/>
  <c r="F6126" i="12" s="1"/>
  <c r="F6127" i="12" s="1"/>
  <c r="F6128" i="12" s="1"/>
  <c r="F6129" i="12" s="1"/>
  <c r="F6130" i="12" s="1"/>
  <c r="F6131" i="12" s="1"/>
  <c r="F6132" i="12" s="1"/>
  <c r="F6133" i="12" s="1"/>
  <c r="F6134" i="12" s="1"/>
  <c r="F6135" i="12" s="1"/>
  <c r="F6136" i="12" s="1"/>
  <c r="F6137" i="12" s="1"/>
  <c r="F6138" i="12" s="1"/>
  <c r="F6139" i="12" s="1"/>
  <c r="F6140" i="12" s="1"/>
  <c r="F6141" i="12" s="1"/>
  <c r="F6142" i="12" s="1"/>
  <c r="F6143" i="12" s="1"/>
  <c r="F6144" i="12" s="1"/>
  <c r="F6145" i="12" s="1"/>
  <c r="F6146" i="12" s="1"/>
  <c r="F6147" i="12" s="1"/>
  <c r="F6148" i="12" s="1"/>
  <c r="F6149" i="12" s="1"/>
  <c r="F6150" i="12" s="1"/>
  <c r="F6151" i="12" s="1"/>
  <c r="F6152" i="12" s="1"/>
  <c r="F6153" i="12" s="1"/>
  <c r="F6154" i="12" s="1"/>
  <c r="F6155" i="12" s="1"/>
  <c r="F6156" i="12" s="1"/>
  <c r="F6157" i="12" s="1"/>
  <c r="F6158" i="12" s="1"/>
  <c r="F6159" i="12" s="1"/>
  <c r="F6160" i="12" s="1"/>
  <c r="F6161" i="12" s="1"/>
  <c r="F6162" i="12" s="1"/>
  <c r="F6163" i="12" s="1"/>
  <c r="F6164" i="12" s="1"/>
  <c r="F6165" i="12" s="1"/>
  <c r="F6166" i="12" s="1"/>
  <c r="F6167" i="12" s="1"/>
  <c r="F6168" i="12" s="1"/>
  <c r="F6169" i="12" s="1"/>
  <c r="F6170" i="12" s="1"/>
  <c r="F6171" i="12" s="1"/>
  <c r="F6172" i="12" s="1"/>
  <c r="F6173" i="12" s="1"/>
  <c r="F6174" i="12" s="1"/>
  <c r="F6175" i="12" s="1"/>
  <c r="F6176" i="12" s="1"/>
  <c r="F6177" i="12" s="1"/>
  <c r="F6178" i="12" s="1"/>
  <c r="F6179" i="12" s="1"/>
  <c r="F6180" i="12" s="1"/>
  <c r="F6181" i="12" s="1"/>
  <c r="F6182" i="12" s="1"/>
  <c r="F6183" i="12" s="1"/>
  <c r="F6184" i="12" s="1"/>
  <c r="F6185" i="12" l="1"/>
  <c r="F6186" i="12" s="1"/>
  <c r="F6187" i="12" s="1"/>
  <c r="F6188" i="12" s="1"/>
  <c r="F6189" i="12" s="1"/>
  <c r="F6190" i="12" s="1"/>
  <c r="F6191" i="12" l="1"/>
  <c r="F6192" i="12" s="1"/>
  <c r="F6193" i="12" l="1"/>
  <c r="F6194" i="12" s="1"/>
  <c r="F6195" i="12" s="1"/>
  <c r="F6196" i="12" s="1"/>
  <c r="F6197" i="12" s="1"/>
  <c r="F6198" i="12" s="1"/>
  <c r="F6199" i="12" s="1"/>
  <c r="F6200" i="12" s="1"/>
  <c r="F6201" i="12" s="1"/>
  <c r="F6202" i="12" s="1"/>
  <c r="F6203" i="12" s="1"/>
  <c r="F6204" i="12" s="1"/>
  <c r="F6205" i="12" s="1"/>
  <c r="F6206" i="12" s="1"/>
  <c r="F6207" i="12" s="1"/>
  <c r="F6208" i="12" s="1"/>
  <c r="F6209" i="12" s="1"/>
  <c r="F6210" i="12" s="1"/>
  <c r="F6211" i="12" s="1"/>
  <c r="F6212" i="12" s="1"/>
  <c r="F6213" i="12" s="1"/>
  <c r="F6214" i="12" s="1"/>
  <c r="F6215" i="12" s="1"/>
  <c r="F6216" i="12" s="1"/>
  <c r="F6217" i="12" s="1"/>
  <c r="F6218" i="12" s="1"/>
  <c r="F6219" i="12" s="1"/>
  <c r="F6220" i="12" s="1"/>
  <c r="F6221" i="12" s="1"/>
  <c r="F6222" i="12" s="1"/>
  <c r="F6223" i="12" s="1"/>
  <c r="F6224" i="12" s="1"/>
  <c r="F6225" i="12" s="1"/>
  <c r="F6226" i="12" s="1"/>
  <c r="F6227" i="12" s="1"/>
  <c r="F6228" i="12" s="1"/>
  <c r="F6229" i="12" s="1"/>
  <c r="F6230" i="12" s="1"/>
  <c r="F6231" i="12" s="1"/>
  <c r="F6232" i="12" s="1"/>
  <c r="F6233" i="12" s="1"/>
  <c r="F6234" i="12" s="1"/>
  <c r="F6235" i="12" s="1"/>
  <c r="F6236" i="12" s="1"/>
  <c r="F6237" i="12" s="1"/>
  <c r="F6238" i="12" s="1"/>
  <c r="F6239" i="12" l="1"/>
  <c r="F6240" i="12" s="1"/>
  <c r="F6241" i="12" s="1"/>
  <c r="F6242" i="12" s="1"/>
  <c r="F6243" i="12" s="1"/>
  <c r="F6244" i="12" s="1"/>
  <c r="F6245" i="12" s="1"/>
  <c r="F6246" i="12" l="1"/>
  <c r="F6247" i="12" s="1"/>
  <c r="F6248" i="12" s="1"/>
  <c r="F6249" i="12" s="1"/>
  <c r="F6250" i="12" s="1"/>
  <c r="F6251" i="12" s="1"/>
  <c r="F6252" i="12" s="1"/>
  <c r="F6253" i="12" s="1"/>
  <c r="F6254" i="12" s="1"/>
  <c r="F6255" i="12" s="1"/>
  <c r="F6256" i="12" s="1"/>
  <c r="F6257" i="12" s="1"/>
  <c r="F6258" i="12" s="1"/>
  <c r="F6259" i="12" s="1"/>
  <c r="F6260" i="12" s="1"/>
  <c r="F6261" i="12" s="1"/>
  <c r="F6262" i="12" s="1"/>
  <c r="F6263" i="12" s="1"/>
  <c r="F6264" i="12" s="1"/>
  <c r="F6265" i="12" s="1"/>
  <c r="F6266" i="12" s="1"/>
  <c r="F6267" i="12" s="1"/>
  <c r="F6268" i="12" s="1"/>
  <c r="F6269" i="12" s="1"/>
  <c r="F6270" i="12" s="1"/>
  <c r="F6271" i="12" s="1"/>
  <c r="F6272" i="12" s="1"/>
  <c r="F6273" i="12" s="1"/>
  <c r="F6274" i="12" s="1"/>
  <c r="F6275" i="12" s="1"/>
  <c r="F6276" i="12" s="1"/>
  <c r="F6277" i="12" s="1"/>
  <c r="F6278" i="12" s="1"/>
  <c r="F6279" i="12" s="1"/>
  <c r="F6280" i="12" s="1"/>
  <c r="F6281" i="12" s="1"/>
  <c r="F6282" i="12" s="1"/>
  <c r="F6283" i="12" s="1"/>
  <c r="F6284" i="12" s="1"/>
  <c r="F6285" i="12" s="1"/>
  <c r="F6286" i="12" s="1"/>
  <c r="F6287" i="12" s="1"/>
  <c r="F6288" i="12" s="1"/>
  <c r="F6289" i="12" s="1"/>
  <c r="F6290" i="12" s="1"/>
  <c r="F6291" i="12" s="1"/>
  <c r="F6292" i="12" s="1"/>
  <c r="F6293" i="12" s="1"/>
  <c r="F6294" i="12" s="1"/>
  <c r="F6295" i="12" s="1"/>
  <c r="F6296" i="12" s="1"/>
  <c r="F6297" i="12" s="1"/>
  <c r="F6298" i="12" s="1"/>
  <c r="F6299" i="12" s="1"/>
  <c r="F6300" i="12" s="1"/>
  <c r="F6301" i="12" s="1"/>
  <c r="F6302" i="12" s="1"/>
  <c r="F6303" i="12" s="1"/>
  <c r="F6304" i="12" s="1"/>
  <c r="F6305" i="12" s="1"/>
  <c r="F6306" i="12" s="1"/>
  <c r="F6307" i="12" s="1"/>
  <c r="F6308" i="12" s="1"/>
  <c r="F6309" i="12" s="1"/>
  <c r="F6310" i="12" s="1"/>
  <c r="F6311" i="12" s="1"/>
  <c r="F6312" i="12" s="1"/>
  <c r="F6313" i="12" s="1"/>
  <c r="F6314" i="12" s="1"/>
  <c r="F6315" i="12" s="1"/>
  <c r="F6316" i="12" s="1"/>
  <c r="F6317" i="12" s="1"/>
  <c r="F6318" i="12" s="1"/>
  <c r="F6319" i="12" s="1"/>
  <c r="F6320" i="12" s="1"/>
  <c r="F6321" i="12" s="1"/>
  <c r="F6322" i="12" s="1"/>
  <c r="F6323" i="12" s="1"/>
  <c r="F6324" i="12" s="1"/>
  <c r="F6325" i="12" s="1"/>
  <c r="F6326" i="12" s="1"/>
  <c r="F6327" i="12" l="1"/>
  <c r="F6328" i="12" s="1"/>
  <c r="F6329" i="12" s="1"/>
  <c r="F6330" i="12" s="1"/>
  <c r="F6331" i="12" s="1"/>
  <c r="F6332" i="12" s="1"/>
  <c r="F6333" i="12" s="1"/>
  <c r="F6334" i="12" s="1"/>
  <c r="F6335" i="12" s="1"/>
  <c r="F6336" i="12" s="1"/>
  <c r="F6337" i="12" s="1"/>
  <c r="F6338" i="12" s="1"/>
  <c r="F6339" i="12" s="1"/>
  <c r="F6340" i="12" s="1"/>
  <c r="F6341" i="12" s="1"/>
  <c r="F6342" i="12" s="1"/>
  <c r="F6343" i="12" s="1"/>
  <c r="F6344" i="12" s="1"/>
  <c r="F6345" i="12" s="1"/>
  <c r="F6346" i="12" s="1"/>
  <c r="F6347" i="12" s="1"/>
  <c r="F6348" i="12" s="1"/>
  <c r="F6349" i="12" s="1"/>
  <c r="F6350" i="12" l="1"/>
  <c r="F6351" i="12" s="1"/>
  <c r="F6352" i="12" s="1"/>
  <c r="F6353" i="12" s="1"/>
  <c r="F6354" i="12" s="1"/>
  <c r="F6355" i="12" l="1"/>
  <c r="F6356" i="12" s="1"/>
  <c r="F6357" i="12" s="1"/>
  <c r="F6358" i="12" s="1"/>
  <c r="F6359" i="12" s="1"/>
  <c r="F6360" i="12" s="1"/>
  <c r="F6361" i="12" s="1"/>
  <c r="F6362" i="12" s="1"/>
  <c r="F6363" i="12" s="1"/>
  <c r="F6364" i="12" s="1"/>
  <c r="F6365" i="12" s="1"/>
  <c r="F6366" i="12" s="1"/>
  <c r="F6367" i="12" s="1"/>
  <c r="F6368" i="12" s="1"/>
  <c r="F6369" i="12" s="1"/>
  <c r="F6370" i="12" s="1"/>
  <c r="F6371" i="12" s="1"/>
  <c r="F6372" i="12" s="1"/>
  <c r="F6373" i="12" s="1"/>
  <c r="F6374" i="12" s="1"/>
  <c r="F6375" i="12" s="1"/>
  <c r="F6376" i="12" s="1"/>
  <c r="F6377" i="12" s="1"/>
  <c r="F6378" i="12" s="1"/>
  <c r="F6379" i="12" s="1"/>
  <c r="F6380" i="12" s="1"/>
  <c r="F6381" i="12" s="1"/>
  <c r="F6382" i="12" s="1"/>
  <c r="F6383" i="12" s="1"/>
  <c r="F6384" i="12" s="1"/>
  <c r="F6385" i="12" s="1"/>
  <c r="F6386" i="12" s="1"/>
  <c r="F6387" i="12" s="1"/>
  <c r="F6388" i="12" s="1"/>
  <c r="F6389" i="12" s="1"/>
  <c r="F6390" i="12" s="1"/>
  <c r="F6391" i="12" l="1"/>
  <c r="F6392" i="12" s="1"/>
  <c r="F6393" i="12" s="1"/>
  <c r="F6394" i="12" s="1"/>
  <c r="F6395" i="12" s="1"/>
  <c r="F6396" i="12" s="1"/>
  <c r="F6397" i="12" s="1"/>
  <c r="F6398" i="12" s="1"/>
  <c r="F6399" i="12" s="1"/>
  <c r="F6400" i="12" s="1"/>
  <c r="F6401" i="12" s="1"/>
  <c r="F6402" i="12" s="1"/>
  <c r="F6403" i="12" s="1"/>
  <c r="F6404" i="12" s="1"/>
  <c r="F6405" i="12" s="1"/>
  <c r="F6406" i="12" s="1"/>
  <c r="F6407" i="12" s="1"/>
  <c r="F6408" i="12" s="1"/>
  <c r="F6409" i="12" s="1"/>
  <c r="F6410" i="12" s="1"/>
  <c r="F6411" i="12" s="1"/>
  <c r="F6412" i="12" s="1"/>
  <c r="F6413" i="12" s="1"/>
  <c r="F6414" i="12" s="1"/>
  <c r="F6415" i="12" s="1"/>
  <c r="F6416" i="12" s="1"/>
  <c r="F6417" i="12" s="1"/>
  <c r="F6418" i="12" s="1"/>
  <c r="F6419" i="12" s="1"/>
  <c r="F6420" i="12" s="1"/>
  <c r="F6421" i="12" s="1"/>
  <c r="F6422" i="12" s="1"/>
  <c r="F6423" i="12" s="1"/>
  <c r="F6424" i="12" s="1"/>
  <c r="F6425" i="12" s="1"/>
  <c r="F6426" i="12" s="1"/>
  <c r="F6427" i="12" s="1"/>
  <c r="F6428" i="12" s="1"/>
  <c r="F6429" i="12" s="1"/>
  <c r="F6430" i="12" s="1"/>
  <c r="F6431" i="12" s="1"/>
  <c r="F6432" i="12" s="1"/>
  <c r="F6433" i="12" s="1"/>
  <c r="F6434" i="12" s="1"/>
  <c r="F6435" i="12" s="1"/>
  <c r="F6436" i="12" s="1"/>
  <c r="F6437" i="12" s="1"/>
  <c r="F6438" i="12" s="1"/>
  <c r="F6439" i="12" s="1"/>
  <c r="F6440" i="12" s="1"/>
  <c r="F6441" i="12" s="1"/>
  <c r="F6442" i="12" s="1"/>
  <c r="F6443" i="12" s="1"/>
  <c r="F6444" i="12" s="1"/>
  <c r="F6445" i="12" s="1"/>
  <c r="F6446" i="12" s="1"/>
  <c r="F6447" i="12" s="1"/>
  <c r="F6448" i="12" s="1"/>
  <c r="F6449" i="12" s="1"/>
  <c r="F6450" i="12" s="1"/>
  <c r="F6451" i="12" s="1"/>
  <c r="F6452" i="12" s="1"/>
  <c r="F6453" i="12" s="1"/>
  <c r="F6454" i="12" l="1"/>
  <c r="F6455" i="12" s="1"/>
  <c r="F6456" i="12" s="1"/>
  <c r="F6457" i="12" l="1"/>
  <c r="F6458" i="12" s="1"/>
  <c r="F6459" i="12" s="1"/>
  <c r="F6460" i="12" s="1"/>
  <c r="F6461" i="12" s="1"/>
  <c r="F6462" i="12" s="1"/>
  <c r="F6463" i="12" s="1"/>
  <c r="F6464" i="12" s="1"/>
  <c r="F6465" i="12" s="1"/>
  <c r="F6466" i="12" s="1"/>
  <c r="F6467" i="12" s="1"/>
  <c r="F6468" i="12" s="1"/>
  <c r="F6469" i="12" s="1"/>
  <c r="F6470" i="12" s="1"/>
  <c r="F6471" i="12" s="1"/>
  <c r="F6472" i="12" s="1"/>
  <c r="F6473" i="12" s="1"/>
  <c r="F6474" i="12" s="1"/>
  <c r="F6475" i="12" s="1"/>
  <c r="F6476" i="12" l="1"/>
  <c r="F6477" i="12" s="1"/>
  <c r="F6478" i="12" s="1"/>
  <c r="F6479" i="12" s="1"/>
  <c r="F6480" i="12" s="1"/>
  <c r="F6481" i="12" s="1"/>
  <c r="F6482" i="12" s="1"/>
  <c r="F6483" i="12" s="1"/>
  <c r="F6484" i="12" l="1"/>
  <c r="F6485" i="12" s="1"/>
  <c r="F6486" i="12" s="1"/>
  <c r="F6487" i="12" s="1"/>
  <c r="F6488" i="12" s="1"/>
  <c r="F6489" i="12" s="1"/>
  <c r="F6490" i="12" s="1"/>
  <c r="F6491" i="12" s="1"/>
  <c r="F6492" i="12" s="1"/>
  <c r="F6493" i="12" s="1"/>
  <c r="F6494" i="12" s="1"/>
  <c r="F6495" i="12" s="1"/>
  <c r="F6496" i="12" s="1"/>
  <c r="F6497" i="12" s="1"/>
  <c r="F6498" i="12" s="1"/>
  <c r="F6499" i="12" s="1"/>
  <c r="F6500" i="12" s="1"/>
  <c r="F6501" i="12" s="1"/>
  <c r="F6502" i="12" s="1"/>
  <c r="F6503" i="12" s="1"/>
  <c r="F6504" i="12" s="1"/>
  <c r="F6505" i="12" s="1"/>
  <c r="F6506" i="12" s="1"/>
  <c r="F6507" i="12" s="1"/>
  <c r="F6508" i="12" s="1"/>
  <c r="F6509" i="12" s="1"/>
  <c r="F6510" i="12" s="1"/>
  <c r="F6511" i="12" s="1"/>
  <c r="F6512" i="12" s="1"/>
  <c r="F6513" i="12" s="1"/>
  <c r="F6514" i="12" s="1"/>
  <c r="F6515" i="12" s="1"/>
  <c r="F6516" i="12" s="1"/>
  <c r="F6517" i="12" s="1"/>
  <c r="F6518" i="12" s="1"/>
  <c r="F6519" i="12" l="1"/>
  <c r="F6520" i="12" s="1"/>
  <c r="F6521" i="12" s="1"/>
  <c r="F6522" i="12" s="1"/>
  <c r="F6523" i="12" s="1"/>
  <c r="F6524" i="12" s="1"/>
  <c r="F6525" i="12" s="1"/>
  <c r="F6526" i="12" s="1"/>
  <c r="F6527" i="12" s="1"/>
  <c r="F6528" i="12" s="1"/>
  <c r="F6529" i="12" s="1"/>
  <c r="F6530" i="12" s="1"/>
  <c r="F6531" i="12" s="1"/>
  <c r="F6532" i="12" s="1"/>
  <c r="F6533" i="12" s="1"/>
  <c r="F6534" i="12" s="1"/>
  <c r="F6535" i="12" s="1"/>
  <c r="F6536" i="12" s="1"/>
  <c r="F6537" i="12" s="1"/>
  <c r="F6538" i="12" s="1"/>
  <c r="F6539" i="12" s="1"/>
  <c r="F6540" i="12" s="1"/>
  <c r="F6541" i="12" s="1"/>
  <c r="F6542" i="12" s="1"/>
  <c r="F6543" i="12" s="1"/>
  <c r="F6544" i="12" s="1"/>
  <c r="F6545" i="12" s="1"/>
  <c r="F6546" i="12" s="1"/>
  <c r="F6547" i="12" s="1"/>
  <c r="F6548" i="12" s="1"/>
  <c r="F6549" i="12" s="1"/>
  <c r="F6550" i="12" s="1"/>
  <c r="F6551" i="12" s="1"/>
  <c r="F6552" i="12" s="1"/>
  <c r="F6553" i="12" s="1"/>
  <c r="F6554" i="12" s="1"/>
  <c r="F6555" i="12" s="1"/>
  <c r="F6556" i="12" s="1"/>
  <c r="F6557" i="12" s="1"/>
  <c r="F6558" i="12" s="1"/>
  <c r="F6559" i="12" s="1"/>
  <c r="F6560" i="12" s="1"/>
  <c r="F6561" i="12" s="1"/>
  <c r="F6562" i="12" s="1"/>
  <c r="F6563" i="12" s="1"/>
  <c r="F6564" i="12" s="1"/>
  <c r="F6565" i="12" s="1"/>
  <c r="F6566" i="12" s="1"/>
  <c r="F6567" i="12" s="1"/>
  <c r="F6568" i="12" s="1"/>
  <c r="F6569" i="12" s="1"/>
  <c r="F6570" i="12" s="1"/>
  <c r="F6571" i="12" s="1"/>
  <c r="F6572" i="12" s="1"/>
  <c r="F6573" i="12" s="1"/>
  <c r="F6574" i="12" s="1"/>
  <c r="F6575" i="12" s="1"/>
  <c r="F6576" i="12" s="1"/>
  <c r="F6577" i="12" s="1"/>
  <c r="F6578" i="12" s="1"/>
  <c r="F6579" i="12" s="1"/>
  <c r="F6580" i="12" s="1"/>
  <c r="F6581" i="12" s="1"/>
  <c r="F6582" i="12" s="1"/>
  <c r="F6583" i="12" s="1"/>
  <c r="F6584" i="12" s="1"/>
  <c r="F6585" i="12" s="1"/>
  <c r="F6586" i="12" s="1"/>
  <c r="F6587" i="12" s="1"/>
  <c r="F6588" i="12" s="1"/>
  <c r="F6589" i="12" s="1"/>
  <c r="F6590" i="12" s="1"/>
  <c r="F6591" i="12" s="1"/>
  <c r="F6592" i="12" s="1"/>
  <c r="F6593" i="12" s="1"/>
  <c r="F6594" i="12" s="1"/>
  <c r="F6595" i="12" s="1"/>
  <c r="F6596" i="12" s="1"/>
  <c r="F6597" i="12" s="1"/>
  <c r="F6598" i="12" s="1"/>
  <c r="F6599" i="12" s="1"/>
  <c r="F6600" i="12" s="1"/>
  <c r="F6601" i="12" s="1"/>
  <c r="F6602" i="12" l="1"/>
  <c r="F6603" i="12" s="1"/>
  <c r="F6604" i="12" s="1"/>
  <c r="F6605" i="12" s="1"/>
  <c r="F6606" i="12" s="1"/>
  <c r="F6607" i="12" s="1"/>
  <c r="F6608" i="12" s="1"/>
  <c r="F6609" i="12" s="1"/>
  <c r="F6610" i="12" s="1"/>
  <c r="F6611" i="12" s="1"/>
  <c r="F6612" i="12" l="1"/>
  <c r="F6613" i="12" s="1"/>
  <c r="F6614" i="12" s="1"/>
  <c r="F6615" i="12" s="1"/>
  <c r="F6616" i="12" s="1"/>
  <c r="F6617" i="12" s="1"/>
  <c r="F6618" i="12" s="1"/>
  <c r="F6619" i="12" s="1"/>
  <c r="F6620" i="12" s="1"/>
  <c r="F6621" i="12" s="1"/>
  <c r="F6622" i="12" s="1"/>
  <c r="F6623" i="12" s="1"/>
  <c r="F6624" i="12" s="1"/>
  <c r="F6625" i="12" s="1"/>
  <c r="F6626" i="12" s="1"/>
  <c r="F6627" i="12" s="1"/>
  <c r="F6628" i="12" s="1"/>
  <c r="F6629" i="12" s="1"/>
  <c r="F6630" i="12" s="1"/>
  <c r="F6631" i="12" s="1"/>
  <c r="F6632" i="12" s="1"/>
  <c r="F6633" i="12" s="1"/>
  <c r="F6634" i="12" s="1"/>
  <c r="F6635" i="12" s="1"/>
  <c r="F6636" i="12" s="1"/>
  <c r="F6637" i="12" s="1"/>
  <c r="F6638" i="12" s="1"/>
  <c r="F6639" i="12" s="1"/>
  <c r="F6640" i="12" s="1"/>
  <c r="F6641" i="12" s="1"/>
  <c r="F6642" i="12" s="1"/>
  <c r="F6643" i="12" s="1"/>
  <c r="F6644" i="12" s="1"/>
  <c r="F6645" i="12" s="1"/>
  <c r="F6646" i="12" s="1"/>
  <c r="F6647" i="12" s="1"/>
  <c r="F6648" i="12" s="1"/>
  <c r="F6649" i="12" s="1"/>
  <c r="F6650" i="12" s="1"/>
  <c r="F6651" i="12" s="1"/>
  <c r="F6652" i="12" s="1"/>
  <c r="F6653" i="12" s="1"/>
  <c r="F6654" i="12" s="1"/>
  <c r="F6655" i="12" s="1"/>
  <c r="F6656" i="12" s="1"/>
  <c r="F6657" i="12" s="1"/>
  <c r="F6658" i="12" s="1"/>
  <c r="F6659" i="12" s="1"/>
  <c r="F6660" i="12" s="1"/>
  <c r="F6661" i="12" s="1"/>
  <c r="F6662" i="12" s="1"/>
  <c r="F6663" i="12" s="1"/>
  <c r="F6664" i="12" s="1"/>
  <c r="F6665" i="12" s="1"/>
  <c r="F6666" i="12" s="1"/>
  <c r="F6667" i="12" s="1"/>
  <c r="F6668" i="12" s="1"/>
  <c r="F6669" i="12" s="1"/>
  <c r="F6670" i="12" s="1"/>
  <c r="F6671" i="12" s="1"/>
  <c r="F6672" i="12" l="1"/>
  <c r="F6673" i="12" s="1"/>
  <c r="F6674" i="12" s="1"/>
  <c r="F6675" i="12" s="1"/>
  <c r="F6676" i="12" s="1"/>
  <c r="F6677" i="12" l="1"/>
  <c r="F6678" i="12" s="1"/>
  <c r="F6679" i="12" s="1"/>
  <c r="F6680" i="12" s="1"/>
  <c r="F6681" i="12" s="1"/>
  <c r="F6682" i="12" s="1"/>
  <c r="F6683" i="12" s="1"/>
  <c r="F6684" i="12" s="1"/>
  <c r="F6685" i="12" s="1"/>
  <c r="F6686" i="12" s="1"/>
  <c r="F6687" i="12" s="1"/>
  <c r="F6688" i="12" s="1"/>
  <c r="F6689" i="12" s="1"/>
  <c r="F6690" i="12" s="1"/>
  <c r="F6691" i="12" s="1"/>
  <c r="F6692" i="12" s="1"/>
  <c r="F6693" i="12" s="1"/>
  <c r="F6694" i="12" s="1"/>
  <c r="F6695" i="12" s="1"/>
  <c r="F6696" i="12" s="1"/>
  <c r="F6697" i="12" s="1"/>
  <c r="F6698" i="12" s="1"/>
  <c r="F6699" i="12" s="1"/>
  <c r="F6700" i="12" s="1"/>
  <c r="F6701" i="12" s="1"/>
  <c r="F6702" i="12" s="1"/>
  <c r="F6703" i="12" s="1"/>
  <c r="F6704" i="12" s="1"/>
  <c r="F6705" i="12" s="1"/>
  <c r="F6706" i="12" s="1"/>
  <c r="F6707" i="12" s="1"/>
  <c r="F6708" i="12" s="1"/>
  <c r="F6709" i="12" l="1"/>
  <c r="F6710" i="12" s="1"/>
  <c r="F6711" i="12" s="1"/>
  <c r="F6712" i="12" s="1"/>
  <c r="F6713" i="12" s="1"/>
  <c r="F6714" i="12" s="1"/>
  <c r="F6715" i="12" s="1"/>
  <c r="F6716" i="12" s="1"/>
  <c r="F6717" i="12" s="1"/>
  <c r="F6718" i="12" s="1"/>
  <c r="F6719" i="12" s="1"/>
  <c r="F6720" i="12" s="1"/>
  <c r="F6721" i="12" s="1"/>
  <c r="F6722" i="12" s="1"/>
  <c r="F6723" i="12" s="1"/>
  <c r="F6724" i="12" s="1"/>
  <c r="F6725" i="12" s="1"/>
  <c r="F6726" i="12" s="1"/>
  <c r="F6727" i="12" s="1"/>
  <c r="F6728" i="12" s="1"/>
  <c r="F6729" i="12" s="1"/>
  <c r="F6730" i="12" s="1"/>
  <c r="F6731" i="12" s="1"/>
  <c r="F6732" i="12" s="1"/>
  <c r="F6733" i="12" s="1"/>
  <c r="F6734" i="12" s="1"/>
  <c r="F6735" i="12" s="1"/>
  <c r="F6736" i="12" s="1"/>
  <c r="F6737" i="12" s="1"/>
  <c r="F6738" i="12" s="1"/>
  <c r="F6739" i="12" s="1"/>
  <c r="F6740" i="12" s="1"/>
  <c r="F6741" i="12" s="1"/>
  <c r="F6742" i="12" s="1"/>
  <c r="F6743" i="12" s="1"/>
  <c r="F6744" i="12" s="1"/>
  <c r="F6745" i="12" s="1"/>
  <c r="F6746" i="12" s="1"/>
  <c r="F6747" i="12" s="1"/>
  <c r="F6748" i="12" s="1"/>
  <c r="F6749" i="12" s="1"/>
  <c r="F6750" i="12" s="1"/>
  <c r="F6751" i="12" s="1"/>
  <c r="F6752" i="12" s="1"/>
  <c r="F6753" i="12" s="1"/>
  <c r="F6754" i="12" s="1"/>
  <c r="F6755" i="12" s="1"/>
  <c r="F6756" i="12" s="1"/>
  <c r="F6757" i="12" s="1"/>
  <c r="F6758" i="12" s="1"/>
  <c r="F6759" i="12" s="1"/>
  <c r="F6760" i="12" s="1"/>
  <c r="F6761" i="12" s="1"/>
  <c r="F6762" i="12" s="1"/>
  <c r="F6763" i="12" s="1"/>
  <c r="F6764" i="12" s="1"/>
  <c r="F6765" i="12" s="1"/>
  <c r="F6766" i="12" s="1"/>
  <c r="F6767" i="12" s="1"/>
  <c r="F6768" i="12" s="1"/>
  <c r="F6769" i="12" s="1"/>
  <c r="F6770" i="12" s="1"/>
  <c r="F6771" i="12" s="1"/>
  <c r="F6772" i="12" s="1"/>
  <c r="F6773" i="12" s="1"/>
  <c r="F6774" i="12" s="1"/>
  <c r="F6775" i="12" s="1"/>
  <c r="F6776" i="12" s="1"/>
  <c r="F6777" i="12" l="1"/>
  <c r="F6778" i="12" s="1"/>
  <c r="F6779" i="12" s="1"/>
  <c r="F6780" i="12" s="1"/>
  <c r="F6781" i="12" s="1"/>
  <c r="F6782" i="12" s="1"/>
  <c r="F6783" i="12" s="1"/>
  <c r="F6784" i="12" s="1"/>
  <c r="F6785" i="12" s="1"/>
  <c r="F6786" i="12" s="1"/>
  <c r="F6787" i="12" s="1"/>
  <c r="F6788" i="12" s="1"/>
  <c r="F6789" i="12" s="1"/>
  <c r="F6790" i="12" s="1"/>
  <c r="F6791" i="12" s="1"/>
  <c r="F6792" i="12" s="1"/>
  <c r="F6793" i="12" s="1"/>
  <c r="F6794" i="12" s="1"/>
  <c r="F6795" i="12" s="1"/>
  <c r="F6796" i="12" s="1"/>
  <c r="F6797" i="12" s="1"/>
  <c r="F6798" i="12" s="1"/>
  <c r="F6799" i="12" l="1"/>
  <c r="F6800" i="12" s="1"/>
  <c r="F6801" i="12" s="1"/>
  <c r="F6802" i="12" s="1"/>
  <c r="F6803" i="12" s="1"/>
  <c r="F6804" i="12" s="1"/>
  <c r="F6805" i="12" s="1"/>
  <c r="F6806" i="12" s="1"/>
  <c r="F6807" i="12" s="1"/>
  <c r="F6808" i="12" s="1"/>
  <c r="F6809" i="12" s="1"/>
  <c r="F6810" i="12" s="1"/>
  <c r="F6811" i="12" s="1"/>
  <c r="F6812" i="12" s="1"/>
  <c r="F6813" i="12" s="1"/>
  <c r="F6814" i="12" s="1"/>
  <c r="F6815" i="12" s="1"/>
  <c r="F6816" i="12" s="1"/>
  <c r="F6817" i="12" s="1"/>
  <c r="F6818" i="12" l="1"/>
  <c r="F6819" i="12" s="1"/>
  <c r="F6820" i="12" s="1"/>
  <c r="F6821" i="12" s="1"/>
  <c r="F6822" i="12" s="1"/>
  <c r="F6823" i="12" s="1"/>
  <c r="F6824" i="12" s="1"/>
  <c r="F6825" i="12" s="1"/>
  <c r="F6826" i="12" s="1"/>
  <c r="F6827" i="12" s="1"/>
  <c r="F6828" i="12" s="1"/>
  <c r="F6829" i="12" s="1"/>
  <c r="F6830" i="12" s="1"/>
  <c r="F6831" i="12" s="1"/>
  <c r="F6832" i="12" s="1"/>
  <c r="F6833" i="12" s="1"/>
  <c r="F6834" i="12" s="1"/>
  <c r="F6835" i="12" s="1"/>
  <c r="F6836" i="12" l="1"/>
  <c r="F6837" i="12" s="1"/>
  <c r="F6838" i="12" s="1"/>
  <c r="F6839" i="12" s="1"/>
  <c r="F6840" i="12" s="1"/>
  <c r="F6841" i="12" s="1"/>
  <c r="F6842" i="12" s="1"/>
  <c r="F6843" i="12" s="1"/>
  <c r="F6844" i="12" s="1"/>
  <c r="F6845" i="12" s="1"/>
  <c r="F6846" i="12" s="1"/>
  <c r="F6847" i="12" s="1"/>
  <c r="F6848" i="12" s="1"/>
  <c r="F6849" i="12" s="1"/>
  <c r="F6850" i="12" s="1"/>
  <c r="F6851" i="12" s="1"/>
  <c r="F6852" i="12" s="1"/>
  <c r="F6853" i="12" s="1"/>
  <c r="F6854" i="12" s="1"/>
  <c r="F6855" i="12" s="1"/>
  <c r="F6856" i="12" s="1"/>
  <c r="F6857" i="12" s="1"/>
  <c r="F6858" i="12" s="1"/>
  <c r="F6859" i="12" s="1"/>
  <c r="F6860" i="12" s="1"/>
  <c r="F6861" i="12" s="1"/>
  <c r="F6862" i="12" s="1"/>
  <c r="F6863" i="12" s="1"/>
  <c r="F6864" i="12" s="1"/>
  <c r="F6865" i="12" s="1"/>
  <c r="F6866" i="12" s="1"/>
  <c r="F6867" i="12" s="1"/>
  <c r="F6868" i="12" s="1"/>
  <c r="F6869" i="12" s="1"/>
  <c r="F6870" i="12" s="1"/>
  <c r="F6871" i="12" s="1"/>
  <c r="F6872" i="12" s="1"/>
  <c r="F6873" i="12" s="1"/>
  <c r="F6874" i="12" s="1"/>
  <c r="F6875" i="12" s="1"/>
  <c r="F6876" i="12" s="1"/>
  <c r="F6877" i="12" s="1"/>
  <c r="F6878" i="12" s="1"/>
  <c r="F6879" i="12" s="1"/>
  <c r="F6880" i="12" s="1"/>
  <c r="F6881" i="12" s="1"/>
  <c r="F6882" i="12" s="1"/>
  <c r="F6883" i="12" s="1"/>
  <c r="F6884" i="12" s="1"/>
  <c r="F6885" i="12" s="1"/>
  <c r="F6886" i="12" s="1"/>
  <c r="F6887" i="12" s="1"/>
  <c r="F6888" i="12" s="1"/>
  <c r="F6889" i="12" s="1"/>
  <c r="F6890" i="12" s="1"/>
  <c r="F6891" i="12" s="1"/>
  <c r="F6892" i="12" s="1"/>
  <c r="F6893" i="12" s="1"/>
  <c r="F6894" i="12" s="1"/>
  <c r="F6895" i="12" s="1"/>
  <c r="F6896" i="12" s="1"/>
  <c r="F6897" i="12" s="1"/>
  <c r="F6898" i="12" s="1"/>
  <c r="F6899" i="12" s="1"/>
  <c r="F6900" i="12" s="1"/>
  <c r="F6901" i="12" s="1"/>
  <c r="F6902" i="12" s="1"/>
  <c r="F6903" i="12" s="1"/>
  <c r="F6904" i="12" s="1"/>
  <c r="F6905" i="12" s="1"/>
  <c r="F6906" i="12" s="1"/>
  <c r="F6907" i="12" s="1"/>
  <c r="F6908" i="12" s="1"/>
  <c r="F6909" i="12" s="1"/>
  <c r="F6910" i="12" s="1"/>
  <c r="F6911" i="12" s="1"/>
  <c r="F6912" i="12" s="1"/>
  <c r="F6913" i="12" s="1"/>
  <c r="F6914" i="12" s="1"/>
  <c r="F6915" i="12" s="1"/>
  <c r="F6916" i="12" s="1"/>
  <c r="F6917" i="12" s="1"/>
  <c r="F6918" i="12" s="1"/>
  <c r="F6919" i="12" s="1"/>
  <c r="F6920" i="12" s="1"/>
  <c r="F6921" i="12" s="1"/>
  <c r="F6922" i="12" s="1"/>
  <c r="F6923" i="12" s="1"/>
  <c r="F6924" i="12" s="1"/>
  <c r="F6925" i="12" s="1"/>
  <c r="F6926" i="12" s="1"/>
  <c r="F6927" i="12" s="1"/>
  <c r="F6928" i="12" s="1"/>
  <c r="F6929" i="12" s="1"/>
  <c r="F6930" i="12" s="1"/>
  <c r="F6932" i="12" l="1"/>
  <c r="F6933" i="12" s="1"/>
  <c r="F6934" i="12" s="1"/>
  <c r="F6935" i="12" s="1"/>
  <c r="F6936" i="12" s="1"/>
  <c r="F6937" i="12" s="1"/>
  <c r="F6938" i="12" s="1"/>
  <c r="F6939" i="12" s="1"/>
  <c r="F6931" i="12"/>
  <c r="F6940" i="12" l="1"/>
  <c r="F6941" i="12" s="1"/>
  <c r="F6942" i="12" s="1"/>
  <c r="F6943" i="12" s="1"/>
  <c r="F6944" i="12" s="1"/>
  <c r="F6945" i="12" s="1"/>
  <c r="F6946" i="12" s="1"/>
  <c r="F6947" i="12" s="1"/>
  <c r="F6948" i="12" s="1"/>
  <c r="F6949" i="12" s="1"/>
  <c r="F6950" i="12" s="1"/>
  <c r="F6951" i="12" s="1"/>
  <c r="F6952" i="12" s="1"/>
  <c r="F6953" i="12" s="1"/>
  <c r="F6954" i="12" s="1"/>
  <c r="F6955" i="12" s="1"/>
  <c r="F6956" i="12" s="1"/>
  <c r="F6957" i="12" s="1"/>
  <c r="F6958" i="12" l="1"/>
  <c r="F6959" i="12" s="1"/>
  <c r="F6960" i="12" s="1"/>
  <c r="F6961" i="12" s="1"/>
  <c r="F6962" i="12" s="1"/>
  <c r="F6963" i="12" s="1"/>
  <c r="F6964" i="12" s="1"/>
  <c r="F6965" i="12" s="1"/>
  <c r="F6966" i="12" s="1"/>
  <c r="F6967" i="12" s="1"/>
  <c r="F6968" i="12" s="1"/>
  <c r="F6969" i="12" s="1"/>
  <c r="F6970" i="12" s="1"/>
  <c r="F6971" i="12" s="1"/>
  <c r="F6972" i="12" l="1"/>
  <c r="F6973" i="12" s="1"/>
  <c r="F6974" i="12" s="1"/>
  <c r="F6975" i="12" s="1"/>
  <c r="F6976" i="12" s="1"/>
  <c r="F6977" i="12" s="1"/>
  <c r="F6978" i="12" s="1"/>
  <c r="F6979" i="12" s="1"/>
  <c r="F6980" i="12" s="1"/>
  <c r="F6981" i="12" s="1"/>
  <c r="F6982" i="12" s="1"/>
  <c r="F6983" i="12" s="1"/>
  <c r="F6984" i="12" s="1"/>
  <c r="F6985" i="12" s="1"/>
  <c r="F6986" i="12" s="1"/>
  <c r="F6987" i="12" s="1"/>
  <c r="F6988" i="12" s="1"/>
  <c r="F6989" i="12" s="1"/>
  <c r="F6990" i="12" s="1"/>
  <c r="F6991" i="12" s="1"/>
  <c r="F6992" i="12" s="1"/>
  <c r="F6993" i="12" l="1"/>
  <c r="F6994" i="12" s="1"/>
  <c r="F6995" i="12" s="1"/>
  <c r="F6996" i="12" s="1"/>
  <c r="F6997" i="12" s="1"/>
  <c r="F6998" i="12" s="1"/>
  <c r="F6999" i="12" s="1"/>
  <c r="F7000" i="12" s="1"/>
  <c r="F7001" i="12" s="1"/>
  <c r="F7002" i="12" s="1"/>
  <c r="F7003" i="12" s="1"/>
  <c r="F7004" i="12" s="1"/>
  <c r="F7005" i="12" s="1"/>
  <c r="F7006" i="12" s="1"/>
  <c r="F7007" i="12" s="1"/>
  <c r="F7008" i="12" s="1"/>
  <c r="F7009" i="12" s="1"/>
  <c r="F7010" i="12" s="1"/>
  <c r="F7011" i="12" s="1"/>
  <c r="F7012" i="12" s="1"/>
  <c r="F7013" i="12" s="1"/>
  <c r="F7014" i="12" s="1"/>
  <c r="F7015" i="12" s="1"/>
  <c r="F7016" i="12" s="1"/>
  <c r="F7017" i="12" s="1"/>
  <c r="F7018" i="12" s="1"/>
  <c r="F7019" i="12" s="1"/>
  <c r="F7020" i="12" s="1"/>
  <c r="F7021" i="12" s="1"/>
  <c r="F7022" i="12" s="1"/>
  <c r="F7023" i="12" s="1"/>
  <c r="F7024" i="12" s="1"/>
  <c r="F7025" i="12" s="1"/>
  <c r="F7026" i="12" s="1"/>
  <c r="F7027" i="12" s="1"/>
  <c r="F7028" i="12" s="1"/>
  <c r="F7029" i="12" s="1"/>
  <c r="F7030" i="12" s="1"/>
  <c r="F7031" i="12" s="1"/>
  <c r="F7032" i="12" s="1"/>
  <c r="F7033" i="12" s="1"/>
  <c r="F7034" i="12" s="1"/>
  <c r="F7035" i="12" s="1"/>
  <c r="F7036" i="12" s="1"/>
  <c r="F7037" i="12" s="1"/>
  <c r="F7038" i="12" s="1"/>
  <c r="F7039" i="12" s="1"/>
  <c r="F7040" i="12" s="1"/>
  <c r="F7041" i="12" s="1"/>
  <c r="F7042" i="12" s="1"/>
  <c r="F7043" i="12" s="1"/>
  <c r="F7044" i="12" s="1"/>
  <c r="F7045" i="12" s="1"/>
  <c r="F7046" i="12" s="1"/>
  <c r="F7047" i="12" s="1"/>
  <c r="F7048" i="12" s="1"/>
  <c r="F7049" i="12" l="1"/>
  <c r="F7050" i="12" s="1"/>
  <c r="F7051" i="12" s="1"/>
  <c r="F7052" i="12" s="1"/>
  <c r="F7053" i="12" s="1"/>
  <c r="F7054" i="12" s="1"/>
  <c r="F7055" i="12" s="1"/>
  <c r="F7056" i="12" s="1"/>
  <c r="F7057" i="12" s="1"/>
  <c r="F7058" i="12" s="1"/>
  <c r="F7059" i="12" s="1"/>
  <c r="F7060" i="12" s="1"/>
  <c r="F7061" i="12" s="1"/>
  <c r="F7062" i="12" s="1"/>
  <c r="F7063" i="12" s="1"/>
  <c r="F7064" i="12" s="1"/>
  <c r="F7065" i="12" s="1"/>
  <c r="F7066" i="12" s="1"/>
  <c r="F7067" i="12" s="1"/>
  <c r="F7068" i="12" s="1"/>
  <c r="F7069" i="12" s="1"/>
  <c r="F7070" i="12" s="1"/>
  <c r="F7071" i="12" s="1"/>
  <c r="F7072" i="12" s="1"/>
  <c r="F7073" i="12" l="1"/>
  <c r="F7074" i="12" s="1"/>
  <c r="F7075" i="12" s="1"/>
  <c r="F7076" i="12" s="1"/>
  <c r="F7077" i="12" s="1"/>
  <c r="F7078" i="12" s="1"/>
  <c r="F7079" i="12" s="1"/>
  <c r="F7080" i="12" s="1"/>
  <c r="F7081" i="12" s="1"/>
  <c r="F7082" i="12" s="1"/>
  <c r="F7083" i="12" s="1"/>
  <c r="F7084" i="12" s="1"/>
  <c r="F7085" i="12" s="1"/>
  <c r="F7086" i="12" s="1"/>
  <c r="F7087" i="12" s="1"/>
  <c r="F7088" i="12" s="1"/>
  <c r="F7089" i="12" s="1"/>
  <c r="F7090" i="12" s="1"/>
  <c r="F7091" i="12" s="1"/>
  <c r="F7092" i="12" s="1"/>
  <c r="F7093" i="12" s="1"/>
  <c r="F7094" i="12" s="1"/>
  <c r="F7095" i="12" s="1"/>
  <c r="F7096" i="12" s="1"/>
  <c r="F7097" i="12" s="1"/>
  <c r="F7098" i="12" s="1"/>
  <c r="F7099" i="12" s="1"/>
  <c r="F7100" i="12" s="1"/>
  <c r="F7101" i="12" s="1"/>
  <c r="F7102" i="12" s="1"/>
  <c r="F7103" i="12" s="1"/>
  <c r="F7104" i="12" s="1"/>
  <c r="F7105" i="12" s="1"/>
  <c r="F7106" i="12" s="1"/>
  <c r="F7107" i="12" s="1"/>
  <c r="F7108" i="12" s="1"/>
  <c r="F7109" i="12" s="1"/>
  <c r="F7110" i="12" s="1"/>
  <c r="F7111" i="12" s="1"/>
  <c r="F7112" i="12" s="1"/>
  <c r="F7113" i="12" s="1"/>
  <c r="F7114" i="12" s="1"/>
  <c r="F7115" i="12" l="1"/>
  <c r="F7116" i="12" l="1"/>
  <c r="F7117" i="12" s="1"/>
  <c r="F7118" i="12" s="1"/>
  <c r="F7119" i="12" s="1"/>
  <c r="F7120" i="12" s="1"/>
  <c r="F7121" i="12" s="1"/>
  <c r="F7122" i="12" s="1"/>
  <c r="F7123" i="12" s="1"/>
  <c r="F7124" i="12" s="1"/>
  <c r="F7125" i="12" s="1"/>
  <c r="F7126" i="12" s="1"/>
  <c r="F7127" i="12" s="1"/>
  <c r="F7128" i="12" s="1"/>
  <c r="F7129" i="12" s="1"/>
  <c r="F7130" i="12" s="1"/>
  <c r="F7131" i="12" s="1"/>
  <c r="F7132" i="12" s="1"/>
  <c r="F7133" i="12" s="1"/>
  <c r="F7134" i="12" s="1"/>
  <c r="F7135" i="12" s="1"/>
  <c r="F7136" i="12" s="1"/>
  <c r="F7137" i="12" s="1"/>
  <c r="F7138" i="12" s="1"/>
  <c r="F7139" i="12" s="1"/>
  <c r="F7140" i="12" s="1"/>
  <c r="F7141" i="12" s="1"/>
  <c r="F7142" i="12" l="1"/>
  <c r="F7143" i="12" s="1"/>
  <c r="F7144" i="12" s="1"/>
  <c r="F7145" i="12" s="1"/>
  <c r="F7146" i="12" s="1"/>
  <c r="F7147" i="12" s="1"/>
  <c r="F7148" i="12" s="1"/>
  <c r="F7149" i="12" s="1"/>
  <c r="F7150" i="12" s="1"/>
  <c r="F7151" i="12" s="1"/>
  <c r="F7152" i="12" s="1"/>
  <c r="F7153" i="12" s="1"/>
  <c r="F7154" i="12" s="1"/>
  <c r="F7155" i="12" s="1"/>
  <c r="F7156" i="12" s="1"/>
  <c r="F7157" i="12" s="1"/>
  <c r="F7158" i="12" s="1"/>
  <c r="F7159" i="12" s="1"/>
  <c r="F7160" i="12" s="1"/>
  <c r="F7161" i="12" s="1"/>
  <c r="F7162" i="12" s="1"/>
  <c r="F7163" i="12" s="1"/>
  <c r="F7164" i="12" s="1"/>
  <c r="F7165" i="12" s="1"/>
  <c r="F7166" i="12" s="1"/>
  <c r="F7167" i="12" s="1"/>
  <c r="F7168" i="12" s="1"/>
  <c r="F7169" i="12" s="1"/>
  <c r="F7170" i="12" s="1"/>
  <c r="F7171" i="12" s="1"/>
  <c r="F7172" i="12" s="1"/>
  <c r="F7173" i="12" l="1"/>
  <c r="F7174" i="12" s="1"/>
  <c r="F7175" i="12" s="1"/>
  <c r="F7176" i="12" s="1"/>
  <c r="F7177" i="12" s="1"/>
  <c r="F7178" i="12" s="1"/>
  <c r="F7179" i="12" s="1"/>
  <c r="F7180" i="12" s="1"/>
  <c r="F7181" i="12" s="1"/>
  <c r="F7182" i="12" s="1"/>
  <c r="F7183" i="12" s="1"/>
  <c r="F7184" i="12" s="1"/>
  <c r="F7185" i="12" s="1"/>
  <c r="F7186" i="12" s="1"/>
  <c r="F7187" i="12" s="1"/>
  <c r="F7188" i="12" s="1"/>
  <c r="F7189" i="12" s="1"/>
  <c r="F7190" i="12" s="1"/>
  <c r="F7191" i="12" s="1"/>
  <c r="F7192" i="12" s="1"/>
  <c r="F7193" i="12" s="1"/>
  <c r="F7194" i="12" s="1"/>
  <c r="F7195" i="12" s="1"/>
  <c r="F7196" i="12" s="1"/>
  <c r="F7197" i="12" s="1"/>
  <c r="F7198" i="12" s="1"/>
  <c r="J154" i="37" l="1"/>
  <c r="J110" i="37"/>
  <c r="J156" i="37" l="1"/>
  <c r="C198" i="37"/>
  <c r="C200" i="37" s="1"/>
  <c r="J112" i="37"/>
  <c r="C154" i="37"/>
  <c r="C156" i="37" s="1"/>
</calcChain>
</file>

<file path=xl/comments1.xml><?xml version="1.0" encoding="utf-8"?>
<comments xmlns="http://schemas.openxmlformats.org/spreadsheetml/2006/main">
  <authors>
    <author>cc</author>
  </authors>
  <commentList>
    <comment ref="D7328" authorId="0" shapeId="0">
      <text>
        <r>
          <rPr>
            <b/>
            <sz val="9"/>
            <color indexed="81"/>
            <rFont val="Tahoma"/>
            <family val="2"/>
          </rPr>
          <t>cc:</t>
        </r>
        <r>
          <rPr>
            <sz val="9"/>
            <color indexed="81"/>
            <rFont val="Tahoma"/>
            <family val="2"/>
          </rPr>
          <t xml:space="preserve">
10500
 6000
16500
8422
8078 remaining</t>
        </r>
      </text>
    </comment>
  </commentList>
</comments>
</file>

<file path=xl/comments2.xml><?xml version="1.0" encoding="utf-8"?>
<comments xmlns="http://schemas.openxmlformats.org/spreadsheetml/2006/main">
  <authors>
    <author>cc</author>
  </authors>
  <commentList>
    <comment ref="C442" authorId="0" shapeId="0">
      <text>
        <r>
          <rPr>
            <b/>
            <sz val="9"/>
            <color indexed="81"/>
            <rFont val="Tahoma"/>
            <family val="2"/>
          </rPr>
          <t>cc:</t>
        </r>
        <r>
          <rPr>
            <sz val="9"/>
            <color indexed="81"/>
            <rFont val="Tahoma"/>
            <family val="2"/>
          </rPr>
          <t xml:space="preserve">
This amount paid as discussed (DA)</t>
        </r>
      </text>
    </comment>
  </commentList>
</comments>
</file>

<file path=xl/sharedStrings.xml><?xml version="1.0" encoding="utf-8"?>
<sst xmlns="http://schemas.openxmlformats.org/spreadsheetml/2006/main" count="22583" uniqueCount="8489">
  <si>
    <t>azeem</t>
  </si>
  <si>
    <t>Date</t>
  </si>
  <si>
    <t>Balance</t>
  </si>
  <si>
    <t>Description</t>
  </si>
  <si>
    <t>Kamran jamia</t>
  </si>
  <si>
    <t>Ebad</t>
  </si>
  <si>
    <t xml:space="preserve"> </t>
  </si>
  <si>
    <t>cash to jahangeer</t>
  </si>
  <si>
    <t>salary adv to iftikhar</t>
  </si>
  <si>
    <t>cash to huzaifa</t>
  </si>
  <si>
    <t>zulfiquar</t>
  </si>
  <si>
    <t>feroz</t>
  </si>
  <si>
    <t>sajjad</t>
  </si>
  <si>
    <t>cash for efu</t>
  </si>
  <si>
    <t>nadeem bhai</t>
  </si>
  <si>
    <t>cash to huzaifa for fuel at efu</t>
  </si>
  <si>
    <t>to imran</t>
  </si>
  <si>
    <t>huzaifa</t>
  </si>
  <si>
    <t>Cash remained after salaries</t>
  </si>
  <si>
    <t>jahangeer</t>
  </si>
  <si>
    <t>Imran</t>
  </si>
  <si>
    <t>abdullah</t>
  </si>
  <si>
    <t>cash to nadeem bhai</t>
  </si>
  <si>
    <t>Wilson</t>
  </si>
  <si>
    <t>cash to sajid</t>
  </si>
  <si>
    <t>ibrahim</t>
  </si>
  <si>
    <t>office</t>
  </si>
  <si>
    <t>misc</t>
  </si>
  <si>
    <t>ebad</t>
  </si>
  <si>
    <t>kamran jamia</t>
  </si>
  <si>
    <t>sajid</t>
  </si>
  <si>
    <t>fuel</t>
  </si>
  <si>
    <t>cash</t>
  </si>
  <si>
    <t>nadeem</t>
  </si>
  <si>
    <t>cash for fuel</t>
  </si>
  <si>
    <t>irfan</t>
  </si>
  <si>
    <t>sami</t>
  </si>
  <si>
    <t>imran</t>
  </si>
  <si>
    <t>Shahid Painter</t>
  </si>
  <si>
    <t>Mode</t>
  </si>
  <si>
    <t>Azeem</t>
  </si>
  <si>
    <t>paid</t>
  </si>
  <si>
    <t>kamran off</t>
  </si>
  <si>
    <t>Hassan Abbas</t>
  </si>
  <si>
    <t>cash sent by tariq</t>
  </si>
  <si>
    <t>cash for cloth</t>
  </si>
  <si>
    <t>kamran</t>
  </si>
  <si>
    <t>salaries</t>
  </si>
  <si>
    <t>ali khalid</t>
  </si>
  <si>
    <t>imran office</t>
  </si>
  <si>
    <t>PAID</t>
  </si>
  <si>
    <t>for mineral water</t>
  </si>
  <si>
    <t>photocopy</t>
  </si>
  <si>
    <t>efu</t>
  </si>
  <si>
    <t>Irfan</t>
  </si>
  <si>
    <t>salary</t>
  </si>
  <si>
    <t>Paid</t>
  </si>
  <si>
    <t>owais</t>
  </si>
  <si>
    <t>shahid painter</t>
  </si>
  <si>
    <t>imran off</t>
  </si>
  <si>
    <t xml:space="preserve">imran </t>
  </si>
  <si>
    <t>khalid</t>
  </si>
  <si>
    <t>tariq</t>
  </si>
  <si>
    <t>lunch for sir rehman</t>
  </si>
  <si>
    <t>mhr</t>
  </si>
  <si>
    <t>mineral water</t>
  </si>
  <si>
    <t>stamp paper</t>
  </si>
  <si>
    <t>Mhr</t>
  </si>
  <si>
    <t>lunch for office</t>
  </si>
  <si>
    <t>abbas plumber</t>
  </si>
  <si>
    <t>mossi</t>
  </si>
  <si>
    <t>amir raza</t>
  </si>
  <si>
    <t>Khalid</t>
  </si>
  <si>
    <t>advance</t>
  </si>
  <si>
    <t>mehmood</t>
  </si>
  <si>
    <t>Mossi</t>
  </si>
  <si>
    <t xml:space="preserve">cash to iftikhar at lahore &amp; </t>
  </si>
  <si>
    <t>salauddin</t>
  </si>
  <si>
    <t xml:space="preserve">cash </t>
  </si>
  <si>
    <t>for fuel</t>
  </si>
  <si>
    <t>for photocopy</t>
  </si>
  <si>
    <t>cash for chase up multan</t>
  </si>
  <si>
    <t>tissue</t>
  </si>
  <si>
    <t>pocha</t>
  </si>
  <si>
    <t>cigratte for bilal bhai</t>
  </si>
  <si>
    <t>salary adv</t>
  </si>
  <si>
    <t>cash for jazz bill paid</t>
  </si>
  <si>
    <t>faizan</t>
  </si>
  <si>
    <t>lunch</t>
  </si>
  <si>
    <t>kamran elec</t>
  </si>
  <si>
    <t xml:space="preserve">huzaifa </t>
  </si>
  <si>
    <t>shahyar</t>
  </si>
  <si>
    <t>newspaper</t>
  </si>
  <si>
    <t>cash for misc expenses</t>
  </si>
  <si>
    <t>waris</t>
  </si>
  <si>
    <t>cash remained after salaries</t>
  </si>
  <si>
    <t>Shahzad</t>
  </si>
  <si>
    <t>cash sent by huzaifa</t>
  </si>
  <si>
    <t>mhr personal</t>
  </si>
  <si>
    <t>Bilal bhai</t>
  </si>
  <si>
    <t>Ibrahim</t>
  </si>
  <si>
    <t>abbas ishaq</t>
  </si>
  <si>
    <t>Abdullah</t>
  </si>
  <si>
    <t>Riaz</t>
  </si>
  <si>
    <t>riaz</t>
  </si>
  <si>
    <t>ali</t>
  </si>
  <si>
    <t>iftikhar</t>
  </si>
  <si>
    <t>Huzaifa</t>
  </si>
  <si>
    <t>abid</t>
  </si>
  <si>
    <t>salahuddin</t>
  </si>
  <si>
    <t>cash for soup</t>
  </si>
  <si>
    <t>sir rehman</t>
  </si>
  <si>
    <t>cash for haji store</t>
  </si>
  <si>
    <t xml:space="preserve">cash for </t>
  </si>
  <si>
    <t>asif chiller</t>
  </si>
  <si>
    <t>irfan clothes</t>
  </si>
  <si>
    <t>cash for haji store &amp; fuel</t>
  </si>
  <si>
    <t>wilson</t>
  </si>
  <si>
    <t>Tariq</t>
  </si>
  <si>
    <t>Office</t>
  </si>
  <si>
    <t>Sajid</t>
  </si>
  <si>
    <t>Nadeem Bhai</t>
  </si>
  <si>
    <t>Cash</t>
  </si>
  <si>
    <t>Iftikhar</t>
  </si>
  <si>
    <t>Ali</t>
  </si>
  <si>
    <t>Rashid</t>
  </si>
  <si>
    <t>Extreme</t>
  </si>
  <si>
    <t>cash for suziki fair from home to office</t>
  </si>
  <si>
    <t>Sir Rehman</t>
  </si>
  <si>
    <t>cash for home balance</t>
  </si>
  <si>
    <t>cash for car wash for 2 cars</t>
  </si>
  <si>
    <t>cash for eidi at kumail</t>
  </si>
  <si>
    <t>cash remained from salaries for june 2016</t>
  </si>
  <si>
    <t>Bonus Paid</t>
  </si>
  <si>
    <t>paid to imran engg</t>
  </si>
  <si>
    <t>Arshad AC</t>
  </si>
  <si>
    <t>paid for AC at farhan mehboob home</t>
  </si>
  <si>
    <t>Salary adv for july 16</t>
  </si>
  <si>
    <t>Bilal Bhai</t>
  </si>
  <si>
    <t>Eidi to Shahzad</t>
  </si>
  <si>
    <t>cash for photocopy</t>
  </si>
  <si>
    <t>Waris</t>
  </si>
  <si>
    <t>Salary for june 16</t>
  </si>
  <si>
    <t>cash for water for drinking for office</t>
  </si>
  <si>
    <t>cash for soap</t>
  </si>
  <si>
    <t>cash for rikshaw fare from office to SMR</t>
  </si>
  <si>
    <t>cash for tea &amp; sugar</t>
  </si>
  <si>
    <t>cash for spilt AC at home</t>
  </si>
  <si>
    <t>cash for misx expenses</t>
  </si>
  <si>
    <t>Cash received from chase up SMR from nadeem bhai</t>
  </si>
  <si>
    <t>Bits &amp; bytes</t>
  </si>
  <si>
    <t>Cash for rodius rod</t>
  </si>
  <si>
    <t>aerflex</t>
  </si>
  <si>
    <t>Lunch</t>
  </si>
  <si>
    <t>cable fee for july</t>
  </si>
  <si>
    <t>Feroz</t>
  </si>
  <si>
    <t xml:space="preserve">tea bags &amp; meral water </t>
  </si>
  <si>
    <t>Jahangeer</t>
  </si>
  <si>
    <t>Cash for fuel</t>
  </si>
  <si>
    <t>Electric plug for office</t>
  </si>
  <si>
    <t>cash for fuel &amp; disc</t>
  </si>
  <si>
    <t>Salary Advance</t>
  </si>
  <si>
    <t>cash for vellani seal</t>
  </si>
  <si>
    <t>Kamran elec</t>
  </si>
  <si>
    <t>cash for fuel drill bil &amp; screw 10 nos</t>
  </si>
  <si>
    <t>Imran Engg</t>
  </si>
  <si>
    <t>cash for cultus repairing</t>
  </si>
  <si>
    <t>cash for mineral water</t>
  </si>
  <si>
    <t>purchased brakers</t>
  </si>
  <si>
    <t>purchased red oxide piants % brushes</t>
  </si>
  <si>
    <t>purchase splits unit 1.5 ton</t>
  </si>
  <si>
    <t>HVAC fee for huzaifa &amp; ebad</t>
  </si>
  <si>
    <t>new prius repair work</t>
  </si>
  <si>
    <t>Cash for shaheen air ticket</t>
  </si>
  <si>
    <t>Abbas Plumber</t>
  </si>
  <si>
    <t>cash for plumbing items</t>
  </si>
  <si>
    <t>khalid salary adv for july 2016</t>
  </si>
  <si>
    <t>Mubarak</t>
  </si>
  <si>
    <t>cash for islamddin insulation</t>
  </si>
  <si>
    <t>cash to remaining balance paid &amp; tickets</t>
  </si>
  <si>
    <t>silicon 150 water 100 everydy suagr 420</t>
  </si>
  <si>
    <t>biskuit for nadeem bhai guest</t>
  </si>
  <si>
    <t>Abdullah insulation</t>
  </si>
  <si>
    <t>cash for riksha fare from efu to chase up</t>
  </si>
  <si>
    <t xml:space="preserve">cash for fuel </t>
  </si>
  <si>
    <t>cash to Asif for sal adv for july 16 sent by kamran</t>
  </si>
  <si>
    <t>cash for pipe cloth from vohra</t>
  </si>
  <si>
    <t>cash for bank alfalah</t>
  </si>
  <si>
    <t>cash for medicine</t>
  </si>
  <si>
    <t>welding plant repair</t>
  </si>
  <si>
    <t>for haji super store</t>
  </si>
  <si>
    <t>cash for shaheen air line</t>
  </si>
  <si>
    <t>cash for water tanker</t>
  </si>
  <si>
    <t>cash for salary adv to riaz for july 16</t>
  </si>
  <si>
    <t>cash for lunch &amp; fuel</t>
  </si>
  <si>
    <t>cash for tp circuit &amp; over load relay at velani &amp; malik naveed</t>
  </si>
  <si>
    <t>conveyance charges for ebad</t>
  </si>
  <si>
    <t>Fateh Steel</t>
  </si>
  <si>
    <t>cash payment</t>
  </si>
  <si>
    <t>tea bag sugar &amp; mineral water</t>
  </si>
  <si>
    <t>cash office soft board</t>
  </si>
  <si>
    <t>cash for drawings copy of ebm &amp; khaadi</t>
  </si>
  <si>
    <t>cash for allied</t>
  </si>
  <si>
    <t>for allied engg</t>
  </si>
  <si>
    <t>salary adv to shahryar</t>
  </si>
  <si>
    <t>cash for sal adv for july 16 to shahid painter</t>
  </si>
  <si>
    <t>cash for photocopy  to umar for Khaadi project</t>
  </si>
  <si>
    <t>to mossi for purchased phenyle &amp; spunch Rs. 100 loan</t>
  </si>
  <si>
    <t>salary adv to zulfiquarfor july 16</t>
  </si>
  <si>
    <t>rikshaw fare for masroor sahab efu</t>
  </si>
  <si>
    <t>cash for TA / DA for khadi hyderabad fare from kar to hyd &amp; lunch</t>
  </si>
  <si>
    <t>cash for insulation tape</t>
  </si>
  <si>
    <t>Purchased everyday drymilk powder</t>
  </si>
  <si>
    <t>Glue for Allied &amp; efu</t>
  </si>
  <si>
    <t>cash for photocopy for jpmc</t>
  </si>
  <si>
    <t xml:space="preserve">cash to kamran for copy </t>
  </si>
  <si>
    <t>cash to ebad for lunch at office</t>
  </si>
  <si>
    <t>Abdur Rehman</t>
  </si>
  <si>
    <t xml:space="preserve">photocopy for khaadi hyd </t>
  </si>
  <si>
    <t>office lunch by nadeem bhai</t>
  </si>
  <si>
    <t>paid to sajid for Allied Engg</t>
  </si>
  <si>
    <t>Cash for suzuki fare VCD for Aliied engg</t>
  </si>
  <si>
    <t>rikshaw fare from</t>
  </si>
  <si>
    <t>for cutting disc 5" water rawal bolt &amp; fuel</t>
  </si>
  <si>
    <t>Sunday lunch for workers at philips morris by huzaifa</t>
  </si>
  <si>
    <t>sabzi for office</t>
  </si>
  <si>
    <t>cash to kamran for photovcopy for khaadi</t>
  </si>
  <si>
    <t>cash for khaadi project</t>
  </si>
  <si>
    <t>cash against invoices</t>
  </si>
  <si>
    <t>cash to umar for photocopy</t>
  </si>
  <si>
    <t>cash to huzaifa for salary adv for july 2016</t>
  </si>
  <si>
    <t>Imran off</t>
  </si>
  <si>
    <t>cash for balance</t>
  </si>
  <si>
    <t>cash to mehmood for salary adv for july 2016</t>
  </si>
  <si>
    <t>cash against iinvoices</t>
  </si>
  <si>
    <t>cash to Ebad for salary adv for july 2016</t>
  </si>
  <si>
    <t>cash for tea at ftc</t>
  </si>
  <si>
    <t>cash for fuel &amp; lunch</t>
  </si>
  <si>
    <t xml:space="preserve">Cash withdrw from DIB # </t>
  </si>
  <si>
    <t>Utilities bills</t>
  </si>
  <si>
    <t>cash for utilities bills for office &amp; MHR</t>
  </si>
  <si>
    <t>cash for car oil change &amp; repairing  labour</t>
  </si>
  <si>
    <t>2 days salary which was mistakenly absent now approved</t>
  </si>
  <si>
    <t>lunch at office by ordered nadeem for guest Ali extreme</t>
  </si>
  <si>
    <t>cash for flaring tool purchase for philip morris</t>
  </si>
  <si>
    <t>cash for evryday, sugar, teabags soap</t>
  </si>
  <si>
    <t>cash for biscuits for Aunty Rehmana aunty</t>
  </si>
  <si>
    <t>cash for donkey cart for ibrahim fittings</t>
  </si>
  <si>
    <t>kamran auto</t>
  </si>
  <si>
    <t>cash for mineral water for 20 bottle per Rs 70/bottle</t>
  </si>
  <si>
    <t>cash for philps morris</t>
  </si>
  <si>
    <t>cash for nadeem bhai home sent by huzaifa to shahid painter</t>
  </si>
  <si>
    <t>cash to haris for salary adv for july 16</t>
  </si>
  <si>
    <t>cash he will return invoices</t>
  </si>
  <si>
    <t xml:space="preserve">cash for Riger &amp; lifter for fire engine pump </t>
  </si>
  <si>
    <t>cash forhilti machi repair fuel, lifter labour for fire pump, water</t>
  </si>
  <si>
    <t>cash to shahryar for salary adv for july 16</t>
  </si>
  <si>
    <t>cash for mobile balance</t>
  </si>
  <si>
    <t>cash fuel from off to mashrish centre &amp; off to mcknsy for meeting</t>
  </si>
  <si>
    <t>cash for allied Engineering</t>
  </si>
  <si>
    <t>cash against 4 invoices</t>
  </si>
  <si>
    <t>cash to marib for salary adv for july 16</t>
  </si>
  <si>
    <t>Amir Raza</t>
  </si>
  <si>
    <t>cash for cable tie</t>
  </si>
  <si>
    <t>cash for fuel for khaadi</t>
  </si>
  <si>
    <t>cash for sabzi</t>
  </si>
  <si>
    <t>cash for dusting cloths</t>
  </si>
  <si>
    <t>cash for drwing copy for Js bank</t>
  </si>
  <si>
    <t>cash for rikshaw fare from nasir to CP n office to efu</t>
  </si>
  <si>
    <t>cash for cable, transformer choor fare parking n misc</t>
  </si>
  <si>
    <t>cash to Ali khaild for sa adv for july 2016</t>
  </si>
  <si>
    <t>cash for fuel mckinsey</t>
  </si>
  <si>
    <t>Cash Received from chase up SMR</t>
  </si>
  <si>
    <t>cash for travel, lunch misc fuel &amp; cng</t>
  </si>
  <si>
    <t>cash for guest Lassi</t>
  </si>
  <si>
    <t>cash for ali</t>
  </si>
  <si>
    <t>cash for A4 paper</t>
  </si>
  <si>
    <t>Arshad bhatti</t>
  </si>
  <si>
    <t>funf trnafer to multan + charges+ fuel</t>
  </si>
  <si>
    <t>easy paisa to iftokhar + charges 350</t>
  </si>
  <si>
    <t>cash to tariq for sal adv for july 16</t>
  </si>
  <si>
    <t xml:space="preserve">easy paisa to iftokhar </t>
  </si>
  <si>
    <t>cash to sajid for allied</t>
  </si>
  <si>
    <t>Salman cladding</t>
  </si>
  <si>
    <t>cash to tariq for fuel for mckinsey meeting</t>
  </si>
  <si>
    <t>Imran tabba</t>
  </si>
  <si>
    <t>cash for electric kattle</t>
  </si>
  <si>
    <t>cash sent by zohaib</t>
  </si>
  <si>
    <t>he will return invoices</t>
  </si>
  <si>
    <t>Deccan treavel</t>
  </si>
  <si>
    <t>cash for return ticket for imran enng from chase multan</t>
  </si>
  <si>
    <t>cash for MHR for for misc expense</t>
  </si>
  <si>
    <t>cash for suzuki fare from islamuddin to CP</t>
  </si>
  <si>
    <t>cash for zahabia duct sealant</t>
  </si>
  <si>
    <t xml:space="preserve">Rashid </t>
  </si>
  <si>
    <t>cash paid</t>
  </si>
  <si>
    <t>cash for saddle &amp; fisher</t>
  </si>
  <si>
    <t>cash for fuel &amp; photocopy for miqdad &amp; zainab</t>
  </si>
  <si>
    <t>green tea oreder by ebad</t>
  </si>
  <si>
    <t>cash for fuel for MHR</t>
  </si>
  <si>
    <t>cash for MHR fuel</t>
  </si>
  <si>
    <t>cash for toyota pruius car air filter</t>
  </si>
  <si>
    <t>cash to ebad for fruit chaat</t>
  </si>
  <si>
    <t>Efu</t>
  </si>
  <si>
    <t>cash for glue purchsed for efu 100 kg</t>
  </si>
  <si>
    <t>ftc 8th floor</t>
  </si>
  <si>
    <t>cash for duct dealant</t>
  </si>
  <si>
    <t>easy load + charges + fuel</t>
  </si>
  <si>
    <t>cash for SSGC bill for july16</t>
  </si>
  <si>
    <t>cash return which remained from ftc tea bill</t>
  </si>
  <si>
    <t>salary for july 16</t>
  </si>
  <si>
    <t>cash for bank alfalah ftc</t>
  </si>
  <si>
    <t>cash for draiwngs for khaadi hyd</t>
  </si>
  <si>
    <t>slary for july</t>
  </si>
  <si>
    <t>riksha fare from off to shershah to office for vellani fare</t>
  </si>
  <si>
    <t>cash returned by ebad</t>
  </si>
  <si>
    <t>cash for hyderabad</t>
  </si>
  <si>
    <t>cash for brome (jhaarho &amp; harpic)</t>
  </si>
  <si>
    <t>cash for sugar &amp; toilet soup + sabzi</t>
  </si>
  <si>
    <t>cash for pipe cloth for ftc 8th floor</t>
  </si>
  <si>
    <t>cash for nadeem bhaic cars washmen</t>
  </si>
  <si>
    <t>cash for mckinsey</t>
  </si>
  <si>
    <t>cash for fuel to tariq for PSO tender collection</t>
  </si>
  <si>
    <t>Salary</t>
  </si>
  <si>
    <t>cash for umar salary for july 16</t>
  </si>
  <si>
    <t>vellani AC motor 3 phase 10 HP 1950 RPM</t>
  </si>
  <si>
    <t>cash returned</t>
  </si>
  <si>
    <t>cash for contector purchasing for vellani</t>
  </si>
  <si>
    <t xml:space="preserve">cash for vellani </t>
  </si>
  <si>
    <t>cash for rikshae fare frm off to CP &amp; dreesing for his foor</t>
  </si>
  <si>
    <t>cash to mehmood for salary adv for august 2016</t>
  </si>
  <si>
    <t>cash for teabags &amp; milk powder &amp; sugar Rs 70</t>
  </si>
  <si>
    <t>cash for motor pump winding</t>
  </si>
  <si>
    <t>cash for multan for taranformer box 16 pcs</t>
  </si>
  <si>
    <t>cash for milk  powder &amp; clock cell &amp; tissue papers 2 nos</t>
  </si>
  <si>
    <t>Fix pana for CP</t>
  </si>
  <si>
    <t>cash remained after salaries paid salaries</t>
  </si>
  <si>
    <t>Expense</t>
  </si>
  <si>
    <t>Person</t>
  </si>
  <si>
    <t>cash received fro Naveed Malik</t>
  </si>
  <si>
    <t>Cash withdrw from DIB # 01287331</t>
  </si>
  <si>
    <t>Sasa</t>
  </si>
  <si>
    <t>paid to sasa for EFU</t>
  </si>
  <si>
    <t>cash paid for allied engg</t>
  </si>
  <si>
    <t>Tv cable charges</t>
  </si>
  <si>
    <t>cash for misc bank charges</t>
  </si>
  <si>
    <t>cash return</t>
  </si>
  <si>
    <t>purchased from faucet &amp; porta for Mckinsey</t>
  </si>
  <si>
    <t>easypaisa by huzaifa for chase multan</t>
  </si>
  <si>
    <t>drawings copy BAF FTC &amp; philip morris</t>
  </si>
  <si>
    <t>cash for fuel at NIPA</t>
  </si>
  <si>
    <t>chase up multan tranfer with charges</t>
  </si>
  <si>
    <t xml:space="preserve">waris salary for july 16 at kumail </t>
  </si>
  <si>
    <t>printer refill</t>
  </si>
  <si>
    <t>One day salary compensated by nadeem bhai</t>
  </si>
  <si>
    <t>Kamran</t>
  </si>
  <si>
    <t>fuel at CP two times</t>
  </si>
  <si>
    <t>Cash In hand</t>
  </si>
  <si>
    <t>Rec cash</t>
  </si>
  <si>
    <t>Cash for rikshaw fare frm shershaw to off ibrahim fittings</t>
  </si>
  <si>
    <t>water shiled zahabia for SMR</t>
  </si>
  <si>
    <t>cash paid at Allied Engg</t>
  </si>
  <si>
    <t>cash to moosi loan</t>
  </si>
  <si>
    <t>cash for vellani</t>
  </si>
  <si>
    <t>cash for vellani &amp; EFU</t>
  </si>
  <si>
    <t>paid 115000, 100000 + 15000</t>
  </si>
  <si>
    <t>paid to Ali for steam generator card repair at vellani</t>
  </si>
  <si>
    <t>cash for water &amp; duplicate key</t>
  </si>
  <si>
    <t>Asif</t>
  </si>
  <si>
    <t>for card repair at bank alfalah H/o</t>
  </si>
  <si>
    <t>cash to Jahangeer for salary adv for august -16</t>
  </si>
  <si>
    <t>cash for pipe nipple at mckinsey</t>
  </si>
  <si>
    <t>cash for CP for elfy &amp; spray</t>
  </si>
  <si>
    <t>Rec from Nadeem Bhai</t>
  </si>
  <si>
    <t>cash for temp meter at nipa</t>
  </si>
  <si>
    <t>paid for color , welding rod, cutting disc, brushes, carpen oil at Mckinsey</t>
  </si>
  <si>
    <t>sabzi, tea bag milk, sugar</t>
  </si>
  <si>
    <t>cash for drawings at JPMC</t>
  </si>
  <si>
    <t>for misc charges</t>
  </si>
  <si>
    <t>Naveed Malik</t>
  </si>
  <si>
    <t>cash for M fold guage</t>
  </si>
  <si>
    <t>7" rhodius rod 5 Nos for allied</t>
  </si>
  <si>
    <t>biskuit for season master</t>
  </si>
  <si>
    <t>for bilty</t>
  </si>
  <si>
    <t>cash for lunch for Danish Keytees</t>
  </si>
  <si>
    <t>cash for travel, lunch misc fuel at BAF H/O</t>
  </si>
  <si>
    <t>Islamuddin insulation to efu Fare</t>
  </si>
  <si>
    <t>rikshaw fare to tariq from off to efu for glue</t>
  </si>
  <si>
    <t>cash for EFU</t>
  </si>
  <si>
    <t>purchase glue at FTC 8th floor</t>
  </si>
  <si>
    <t>photocopy for khaadi islamabad</t>
  </si>
  <si>
    <t>cash for FTC 8th floor</t>
  </si>
  <si>
    <t>Haris</t>
  </si>
  <si>
    <t>rikshaw fare for material of allied &amp; chase  up multan</t>
  </si>
  <si>
    <t>cash to salahuddin for salary adv for august 16</t>
  </si>
  <si>
    <t>max bar soup &amp; photocopy</t>
  </si>
  <si>
    <t>TAriq</t>
  </si>
  <si>
    <t>purchased inchi tape at efu</t>
  </si>
  <si>
    <t>cash for injection for sir rehman</t>
  </si>
  <si>
    <t>mobilink bills for sir rehman</t>
  </si>
  <si>
    <t>cash easypaisa to iftikhar at chase up multan</t>
  </si>
  <si>
    <t>cash for misc exp at allied Engg</t>
  </si>
  <si>
    <t xml:space="preserve">photocopy </t>
  </si>
  <si>
    <t>Shakeel</t>
  </si>
  <si>
    <t>AHUs repairing at allied engineering</t>
  </si>
  <si>
    <t>photocopies &amp; burger</t>
  </si>
  <si>
    <t>two days pending salary approved by nadeem bhai</t>
  </si>
  <si>
    <t>salary adv to kamran ele for aug 2016</t>
  </si>
  <si>
    <t>cash for air freshner</t>
  </si>
  <si>
    <t>rikshaw fare from shershah to office 2 times</t>
  </si>
  <si>
    <t>cash for lunch for sir rehman &amp; his damaad</t>
  </si>
  <si>
    <t>salary adv to ishaq for august 2016</t>
  </si>
  <si>
    <t>cash to sir rehman for Haji store</t>
  </si>
  <si>
    <t>cash for Sunday lunch &amp; misc</t>
  </si>
  <si>
    <t>Cash withdrw from DIB #  1287350</t>
  </si>
  <si>
    <t>cash for ladder, light,  &amp; misc material</t>
  </si>
  <si>
    <t>cash for riksha fare n/malik to off</t>
  </si>
  <si>
    <t>paid ufone bill of nadeem bhai</t>
  </si>
  <si>
    <t>cash for milk powder , sugre tea</t>
  </si>
  <si>
    <t>Jamia</t>
  </si>
  <si>
    <t>rikshaw fare from off to jamia</t>
  </si>
  <si>
    <t xml:space="preserve">pay for AHUs repairing at allied </t>
  </si>
  <si>
    <t>cash for cables from fast</t>
  </si>
  <si>
    <t>adv to riaz driver for august 16</t>
  </si>
  <si>
    <t>adv to sajjad at ftc driver for august 16</t>
  </si>
  <si>
    <t>cash retuned by huzaifa</t>
  </si>
  <si>
    <t>cash to mehmood for sal adv for august 16</t>
  </si>
  <si>
    <t>mobi cash to iftikhar + charges</t>
  </si>
  <si>
    <t>Ramzan</t>
  </si>
  <si>
    <t xml:space="preserve">fund tranfer to ramzan 50000 + bank charges 800 + fuel and mobile balance 250 to imran office </t>
  </si>
  <si>
    <t>mobicash to mubarak + charges</t>
  </si>
  <si>
    <t>pay for haji store</t>
  </si>
  <si>
    <t>cash for network cable for office CCTV</t>
  </si>
  <si>
    <t>newspaper for home</t>
  </si>
  <si>
    <t>cash for office genator fuel</t>
  </si>
  <si>
    <t>cash for LT fare for office work</t>
  </si>
  <si>
    <t>tea at ftc</t>
  </si>
  <si>
    <t>cash by khalid</t>
  </si>
  <si>
    <t>cash for elbow purchase at ftc</t>
  </si>
  <si>
    <t xml:space="preserve">cash paid </t>
  </si>
  <si>
    <t>Bilal</t>
  </si>
  <si>
    <t>sal adv to huzaifa for august 16</t>
  </si>
  <si>
    <t>pay for engine oil &amp; filter</t>
  </si>
  <si>
    <t>purchase pipe 1 1/4 citting dics &amp; welding rod at efu</t>
  </si>
  <si>
    <t>rikshaw fare from kaytess to offce areflex sheet for ebm</t>
  </si>
  <si>
    <t>CASH</t>
  </si>
  <si>
    <t>Shahid painter</t>
  </si>
  <si>
    <t>cash for drawings for EFU</t>
  </si>
  <si>
    <t>mortein for office</t>
  </si>
  <si>
    <t>Cash withdrw from DIB #  1287356</t>
  </si>
  <si>
    <t>cash for earyday powder milk</t>
  </si>
  <si>
    <t>Rags for allied</t>
  </si>
  <si>
    <t>purchased 3 writable cds for Indus tener</t>
  </si>
  <si>
    <t>fuel for Rehan bike</t>
  </si>
  <si>
    <t>photocopy for indus hospital tender</t>
  </si>
  <si>
    <t>lassi &amp; soup</t>
  </si>
  <si>
    <t>Wicky</t>
  </si>
  <si>
    <t>repaired insulation works at chaseup multan</t>
  </si>
  <si>
    <t>Cash withdrw from DIB #  '01287370</t>
  </si>
  <si>
    <t>cash to imran engg for sal adv for august 16</t>
  </si>
  <si>
    <t>easypaisa by imran off</t>
  </si>
  <si>
    <t>Taxi fare from metrovill to Mckinsey</t>
  </si>
  <si>
    <t>cash for photocopy for miqdaad</t>
  </si>
  <si>
    <t>cash  for wire</t>
  </si>
  <si>
    <t>cash from Rehman sahab</t>
  </si>
  <si>
    <t>Cash withdrw from DIB #  '01287375</t>
  </si>
  <si>
    <t>cash for huzaifa petty cash</t>
  </si>
  <si>
    <t>photocopy for philip morris</t>
  </si>
  <si>
    <t>cash by bilal bhai</t>
  </si>
  <si>
    <t xml:space="preserve">labour paid at philip morris for pipe &amp; duct shifting </t>
  </si>
  <si>
    <t>mineral water for sir rehman</t>
  </si>
  <si>
    <t>cash for sugar, tea bags &amp; milk powder</t>
  </si>
  <si>
    <t>cash for toyotta prius side mirror, bumper repair labour &amp; back door repair</t>
  </si>
  <si>
    <t>cash for full n final payment</t>
  </si>
  <si>
    <t>photocopy 15 + 19</t>
  </si>
  <si>
    <t>cash sent by ali khalid</t>
  </si>
  <si>
    <t>spiral binding for khaadi islamabad</t>
  </si>
  <si>
    <t xml:space="preserve">cash for laptop purchased 2 Nos (HP &amp; Dell) </t>
  </si>
  <si>
    <t>cash to riaz for salary advance for august 16</t>
  </si>
  <si>
    <t>cash for cooling tower fan guard</t>
  </si>
  <si>
    <t>Y.H Consultant</t>
  </si>
  <si>
    <t>paid to Y.H Mr. Aleem for BAF FTC work</t>
  </si>
  <si>
    <t>cash for efu sent by azeem</t>
  </si>
  <si>
    <t xml:space="preserve">cash for home mobile balance </t>
  </si>
  <si>
    <t>cash for cultus car repair, maintenance &amp; services</t>
  </si>
  <si>
    <t xml:space="preserve">rikshaw fare from off </t>
  </si>
  <si>
    <t>purchase cutting disc for allied</t>
  </si>
  <si>
    <t>photocpy for khaadi isb &amp; fuel for arts council</t>
  </si>
  <si>
    <t>paid for masonery works at allied engg</t>
  </si>
  <si>
    <t>paid for cultus car plug &amp; fuel</t>
  </si>
  <si>
    <t>cash for petty</t>
  </si>
  <si>
    <t>purchased shoppr</t>
  </si>
  <si>
    <t>easypaisa</t>
  </si>
  <si>
    <t>Rs 400 suzuki fare from off to saddar for bilty to multanRs 500 for rikshaw fare from off to saddar as it was raining Rs 300 lunch for food to Imran &amp; jahangeer Rs 100 for jahangeer Fuel Rs 100 for mobile balance.</t>
  </si>
  <si>
    <t>rikshaw fare from off to efu for insultaion &amp; glue</t>
  </si>
  <si>
    <t>cash for photocopy &amp; pepsi for Major Jalal</t>
  </si>
  <si>
    <t>cash for corrier cheque for zohaib raza income tax</t>
  </si>
  <si>
    <t>cash for ftc 8th floor for tea sugar &amp; milk</t>
  </si>
  <si>
    <t>cash for misc expense at efu allied &amp; ftc</t>
  </si>
  <si>
    <t>Cash withdrw from DIB #  '01287376</t>
  </si>
  <si>
    <t>Ali khalid</t>
  </si>
  <si>
    <t>cash for welding rod 12mm</t>
  </si>
  <si>
    <t>cash sent by zulfiquar</t>
  </si>
  <si>
    <t>paid for material purchased for AHUs repairing at Allied</t>
  </si>
  <si>
    <t>Cash withdrw from DIB #  '01287389</t>
  </si>
  <si>
    <t>cash for rawal bolts</t>
  </si>
  <si>
    <t>cash to khalid for salary adv for august 16</t>
  </si>
  <si>
    <t>cash for phoptocopy for national food</t>
  </si>
  <si>
    <t>everyday milk powder</t>
  </si>
  <si>
    <t>Shabbir brothers</t>
  </si>
  <si>
    <t>piad to shabbir bros tariq road for efu</t>
  </si>
  <si>
    <t>fuel to ikram mughal off for khadi isb</t>
  </si>
  <si>
    <t>rikshaw fare from off to SMR 2 times</t>
  </si>
  <si>
    <t>mobicash by imran off</t>
  </si>
  <si>
    <t>purchased USB</t>
  </si>
  <si>
    <t>suzuki fare from ocean mall to office</t>
  </si>
  <si>
    <t>lunch KFC</t>
  </si>
  <si>
    <t>haji store, fuel, &amp; medicines</t>
  </si>
  <si>
    <t>cheque send through corries islamuddin &amp; fateh steel</t>
  </si>
  <si>
    <t>bilty from multan to karachi</t>
  </si>
  <si>
    <t>cash for misc expenses incurred by imran off</t>
  </si>
  <si>
    <t>Bilal habib</t>
  </si>
  <si>
    <t>cash for jazz balance</t>
  </si>
  <si>
    <t>Cash retunrd by ebad bhai</t>
  </si>
  <si>
    <t>paid for fan guard repair at BAF H/O</t>
  </si>
  <si>
    <t>purchased mineral water</t>
  </si>
  <si>
    <t>purchasd enrgy saver for washroom</t>
  </si>
  <si>
    <t>cash by shahayra in absence of hassan abbas</t>
  </si>
  <si>
    <t>cash for CP nipples</t>
  </si>
  <si>
    <t>cash for Ashare Pak for habib ur rehman rehman ebad &amp; huzaifa</t>
  </si>
  <si>
    <t>cash for philip morris</t>
  </si>
  <si>
    <t>CASH for wire</t>
  </si>
  <si>
    <t>paid to kamran for bike maintenance order by imran</t>
  </si>
  <si>
    <t>cash for milk poweder teabags sugar</t>
  </si>
  <si>
    <t>salary adv to ali for september</t>
  </si>
  <si>
    <t>cash paid at Allied Engg by azeem</t>
  </si>
  <si>
    <t>Cash withdrw from DIB #  '01287399</t>
  </si>
  <si>
    <t>tea &amp; lunch for bilal bhai guest</t>
  </si>
  <si>
    <t>riksha fare from office to allied (fishar, rod, nut bolts disc)</t>
  </si>
  <si>
    <t>cash fror utilities bills</t>
  </si>
  <si>
    <t>cash for wire</t>
  </si>
  <si>
    <t>cash for naveed malik</t>
  </si>
  <si>
    <t>bilal bhai</t>
  </si>
  <si>
    <t>purchase tissue for office</t>
  </si>
  <si>
    <t>paid to bilal bhai</t>
  </si>
  <si>
    <t>paid for fan guard for bank al-falah head office</t>
  </si>
  <si>
    <t>Cash withdrw from DIB #  '01287405</t>
  </si>
  <si>
    <t xml:space="preserve">lassi for ali extreme + food for sir rehman </t>
  </si>
  <si>
    <t>Imran D/W</t>
  </si>
  <si>
    <t>cash tranfer to mr ramzan + bank charges</t>
  </si>
  <si>
    <t xml:space="preserve">cash for efu tip top </t>
  </si>
  <si>
    <t>zeeshan</t>
  </si>
  <si>
    <t>cash for increase in salary fir august 16</t>
  </si>
  <si>
    <t>paid to imran salary for august 16 at efu</t>
  </si>
  <si>
    <t>ramzan</t>
  </si>
  <si>
    <t>paid fare for roca basin shift at mckinsey site</t>
  </si>
  <si>
    <t>paid for increase in Asif &amp; imran salary at tabba heart</t>
  </si>
  <si>
    <t>paid chase up multan salaries Mr. Asif Rao 26650 &amp; Mr. Shoukat Rs. 45100 + easypaisa service charges + fuel to  imran office</t>
  </si>
  <si>
    <t>fund transfer to ramzan by imran off + service charges + fuel and balance of imran office</t>
  </si>
  <si>
    <t>mobicash to iftikhar by imran off + sevice charges</t>
  </si>
  <si>
    <t>Cash withdrw from DIB #  '01287410</t>
  </si>
  <si>
    <t>omnicash transfer by riaz driver</t>
  </si>
  <si>
    <t>cash for chiller repair at Chase up nipa</t>
  </si>
  <si>
    <t>purchased everyday milk powder</t>
  </si>
  <si>
    <t>cash for zodium rod and benson cirgatee for bilal</t>
  </si>
  <si>
    <t>sal adv to asif for sept 16 sent by kamran jamia</t>
  </si>
  <si>
    <t>purchased welding rod at allied engg</t>
  </si>
  <si>
    <t xml:space="preserve">cash paid to sajid </t>
  </si>
  <si>
    <t>Amjad</t>
  </si>
  <si>
    <t>Kamran off</t>
  </si>
  <si>
    <t>for mobile balance at home sent by huzaifa</t>
  </si>
  <si>
    <t>Cash withdrw from DIB #  '01287425</t>
  </si>
  <si>
    <t>cash  for centre point</t>
  </si>
  <si>
    <t>cash for material sent by zohaib</t>
  </si>
  <si>
    <t>for fuel / haji store &amp; misc</t>
  </si>
  <si>
    <t>salary adv to mehmood for septmeber 16</t>
  </si>
  <si>
    <t>making Choori at mckinsey</t>
  </si>
  <si>
    <t>duct dealant for indus hospital</t>
  </si>
  <si>
    <t>lunch by ebad bhai</t>
  </si>
  <si>
    <t>misc expenses inurred by imran off</t>
  </si>
  <si>
    <t>salary adv to abbas plumber for septmeber 16</t>
  </si>
  <si>
    <t>Faizan</t>
  </si>
  <si>
    <t>cash paid TPL 25th floor</t>
  </si>
  <si>
    <t>Cash paid</t>
  </si>
  <si>
    <t>CASH PAID</t>
  </si>
  <si>
    <t>CASH For haji store</t>
  </si>
  <si>
    <t>salary adv to ghaffar for september 16</t>
  </si>
  <si>
    <t>cash paid for suzuki fare to kaytees for insulation at efu</t>
  </si>
  <si>
    <t>ghaffar</t>
  </si>
  <si>
    <t>cash for moile balance</t>
  </si>
  <si>
    <t>Owaid</t>
  </si>
  <si>
    <t>cash for nut bolts &amp; gaskets</t>
  </si>
  <si>
    <t>cash for abbaa jee</t>
  </si>
  <si>
    <t>Owais from EBM returned cash</t>
  </si>
  <si>
    <t>Salary for september 16</t>
  </si>
  <si>
    <t>cash paid sent by azeem</t>
  </si>
  <si>
    <t>purchased fernayl. Soup,</t>
  </si>
  <si>
    <t>suzuki fare from islamuddin to efu</t>
  </si>
  <si>
    <t>Cash received from nadeem bhai Chase up SMR</t>
  </si>
  <si>
    <t>paid cash + bank charges</t>
  </si>
  <si>
    <t>Salaries adv huzaifa &amp; ebad</t>
  </si>
  <si>
    <t>paid zahid &amp; amir for split ac installed at philips morris</t>
  </si>
  <si>
    <t>paid for ladder at efu</t>
  </si>
  <si>
    <t>chicken paties &amp; biscuits</t>
  </si>
  <si>
    <t>fund transfer by nadeem bhai</t>
  </si>
  <si>
    <t>cash for red oxide</t>
  </si>
  <si>
    <t>loan to mossi</t>
  </si>
  <si>
    <t>purchsed milk, suger tea bags</t>
  </si>
  <si>
    <t>cash for cp</t>
  </si>
  <si>
    <t>salary adv to haris for september 16</t>
  </si>
  <si>
    <t>cash for eye doxtor consultant</t>
  </si>
  <si>
    <t>rikshaw fare from off to allied light house to ftc</t>
  </si>
  <si>
    <t>cash for holdtite</t>
  </si>
  <si>
    <t>fuel for jpmc submittal</t>
  </si>
  <si>
    <t>Utilieis bills</t>
  </si>
  <si>
    <t>cash for brome jhaaroo</t>
  </si>
  <si>
    <t>mobile balance to Rehmana rehman</t>
  </si>
  <si>
    <t>fuel for off to indus to islanuddin to NBCL</t>
  </si>
  <si>
    <t>cash for wheel for folding at indus</t>
  </si>
  <si>
    <t>cash for fuel at jpmc</t>
  </si>
  <si>
    <t>easy paisa to iftikhar by imran off</t>
  </si>
  <si>
    <t>cash for ms socket at indus &amp; elbow</t>
  </si>
  <si>
    <t>cash grease WT 40</t>
  </si>
  <si>
    <t>cash easy paisa by imran off</t>
  </si>
  <si>
    <t>cash for bank alfalah H/o</t>
  </si>
  <si>
    <t>cash paid at efu</t>
  </si>
  <si>
    <t>cash for plotting paper &amp; drawings copy for khaadi &amp; indus</t>
  </si>
  <si>
    <t>cash for milk * sugar</t>
  </si>
  <si>
    <t>insulation built to multan</t>
  </si>
  <si>
    <t>cash to shahyar for salry adv for septr 16</t>
  </si>
  <si>
    <t>Abid</t>
  </si>
  <si>
    <t>Zeeshan from Efu returned cash</t>
  </si>
  <si>
    <t>cash for truck fare &amp; suzuki fare from  nasir colony to ftc 13th floor fuel 150, challan 170, children charity at  nasir colony 170</t>
  </si>
  <si>
    <t>fare at nasir colony to allied</t>
  </si>
  <si>
    <t>cash for haji store, eye consultant fee &amp; car repaitring</t>
  </si>
  <si>
    <t>cash paid against invoice</t>
  </si>
  <si>
    <t>cash paid for nadeem bhai salary</t>
  </si>
  <si>
    <t>cash for labour paid at bank alfalah</t>
  </si>
  <si>
    <t>cash for fuel for jpmc</t>
  </si>
  <si>
    <t>cash for A4 paper bundle purchased by imran for office</t>
  </si>
  <si>
    <t>cash paid by easy paisa by imran</t>
  </si>
  <si>
    <t>mobile balance</t>
  </si>
  <si>
    <t>cash for pipe nipple, color redoxide &amp; karosine oil at mckinsey</t>
  </si>
  <si>
    <t>purchased ms R/ree ms elbow &amp; fuel</t>
  </si>
  <si>
    <t>cash sent by sami</t>
  </si>
  <si>
    <t>fuel at tabba heart</t>
  </si>
  <si>
    <t>cash for tea</t>
  </si>
  <si>
    <t xml:space="preserve">cash sent by ali </t>
  </si>
  <si>
    <t>cash for aluminium delux paint &amp; lunch at islamabad</t>
  </si>
  <si>
    <t>cash for photocopy indus &amp; khaadi isl</t>
  </si>
  <si>
    <t>sherkhan car washman</t>
  </si>
  <si>
    <t>paid for car wash</t>
  </si>
  <si>
    <t>for biscuits for guest</t>
  </si>
  <si>
    <t>cash for misc expenses at khaadi isl</t>
  </si>
  <si>
    <t>for angle iron indus</t>
  </si>
  <si>
    <t>ssgc bill paid for september 16</t>
  </si>
  <si>
    <t>cash for fuel to azeem for insulation for islamuddin</t>
  </si>
  <si>
    <t>paid for builty for khaadi isb for fittings from ibrahim</t>
  </si>
  <si>
    <t>Cash withdrw from DIB #  '01358829</t>
  </si>
  <si>
    <t>salaries tranfer charges Rs 1100 on 33,300 + 100 fuel given to imran for Y.h office for bilal saab</t>
  </si>
  <si>
    <t>cash for LCD</t>
  </si>
  <si>
    <t>cash for nut bolt at indus hospital</t>
  </si>
  <si>
    <t>cash for milk powder , sugre tea bag</t>
  </si>
  <si>
    <t>for welding rod grinder &amp; cutting disc</t>
  </si>
  <si>
    <t>cash received from Bilal Bhai</t>
  </si>
  <si>
    <t>Rehan Mobile balance for package of zong</t>
  </si>
  <si>
    <t>easy paisa 30,000 + 2000 charges, +150 fuel + 100 mobile card</t>
  </si>
  <si>
    <t>drwings indus khaadi phipip morris</t>
  </si>
  <si>
    <t>green tea</t>
  </si>
  <si>
    <t>paid ebad for conveyance home to offce</t>
  </si>
  <si>
    <t>paid at mckinsey</t>
  </si>
  <si>
    <t>cash paid for fuel at jpmc</t>
  </si>
  <si>
    <t>cash for indus</t>
  </si>
  <si>
    <t>cold drink for office</t>
  </si>
  <si>
    <t>paid to ramzan at multan</t>
  </si>
  <si>
    <t>????</t>
  </si>
  <si>
    <t>cash for spiral binding to ebad</t>
  </si>
  <si>
    <t>cash for malik naveed</t>
  </si>
  <si>
    <t>cable tie</t>
  </si>
  <si>
    <t>riksaw fare from off to efu</t>
  </si>
  <si>
    <t>lunch for office &amp; sir rehman</t>
  </si>
  <si>
    <t>paid for welding at indus hospital</t>
  </si>
  <si>
    <t>paid for material</t>
  </si>
  <si>
    <t>cash for fuel parking travelling &amp; misc expense</t>
  </si>
  <si>
    <t>khaadi islamabd</t>
  </si>
  <si>
    <t>built to khaaadi isl</t>
  </si>
  <si>
    <t>cash for PABX system repair</t>
  </si>
  <si>
    <t>zeeshan tabba</t>
  </si>
  <si>
    <t>Cash withdrw from DIB #  '01358849</t>
  </si>
  <si>
    <t>Cash withdrw from DIB #  '01358852</t>
  </si>
  <si>
    <t>zeeshan tabba deduct 3000</t>
  </si>
  <si>
    <t>cash paid 52000 chq amount 50000 cash = 2000</t>
  </si>
  <si>
    <t>indus hospital</t>
  </si>
  <si>
    <t>paid for wooden saddle for indus</t>
  </si>
  <si>
    <t>jpmc</t>
  </si>
  <si>
    <t>photocopy for jpmc</t>
  </si>
  <si>
    <t>Y.H</t>
  </si>
  <si>
    <t>paid for tender collect from yh National foods</t>
  </si>
  <si>
    <t>paif for nadeem bha car servies oil change fuel &amp; filter change</t>
  </si>
  <si>
    <t>paid zsuzuki fare from sasa to efu for fans</t>
  </si>
  <si>
    <t>chase up multan</t>
  </si>
  <si>
    <t>cash for suzuki fare from off to cannt saddar</t>
  </si>
  <si>
    <t>paid for wye consultant</t>
  </si>
  <si>
    <t>paid by imran Iftikhar 6000</t>
  </si>
  <si>
    <t>paid suzuki fare from office to jpmc for table shifting</t>
  </si>
  <si>
    <t>cash for photocopy for jpmc by huzaifa</t>
  </si>
  <si>
    <t>cash for warid card for tariq at jpmc</t>
  </si>
  <si>
    <t>cash for shopper purchased</t>
  </si>
  <si>
    <t>tissue papers + mineral water + shopper</t>
  </si>
  <si>
    <t>photocopy of submittals</t>
  </si>
  <si>
    <t>cash for easha nadeem fee bill sent by huzaifa</t>
  </si>
  <si>
    <t>fuel for jpmc</t>
  </si>
  <si>
    <t>fruits fro bilal bhai</t>
  </si>
  <si>
    <t>milk powder &amp; tea bags</t>
  </si>
  <si>
    <t>cash for photocopy indus</t>
  </si>
  <si>
    <t>cash for rikshaw fare off to CP, oil for threading machine</t>
  </si>
  <si>
    <t>PURCHASED EMPTY burni for khaadi isb</t>
  </si>
  <si>
    <t>marib for oct 16</t>
  </si>
  <si>
    <t>cash for fruit for bilal bhai</t>
  </si>
  <si>
    <t>cash paid chase up multan</t>
  </si>
  <si>
    <t>mohsin</t>
  </si>
  <si>
    <t>cash foe elbow</t>
  </si>
  <si>
    <t>cash for nipple at CP</t>
  </si>
  <si>
    <t>prucahse file forlder for offie</t>
  </si>
  <si>
    <t>Cash withdrw from DIB #  '01358856</t>
  </si>
  <si>
    <t>Cash withdrw from DIB #  '01358854</t>
  </si>
  <si>
    <t>cash for BMS wiring for his personal</t>
  </si>
  <si>
    <t>cash for BMS wiring at efu 50,000 chq &amp; 4,000 cash</t>
  </si>
  <si>
    <t>fruit for office</t>
  </si>
  <si>
    <t>mobile balance paid indus hospital</t>
  </si>
  <si>
    <t>mobile balance paid tpl 25th floor</t>
  </si>
  <si>
    <t>cash for fuel &amp; car parts</t>
  </si>
  <si>
    <t>cash for fuel to tariq</t>
  </si>
  <si>
    <t>towels cleaned for office</t>
  </si>
  <si>
    <t>cash sent by kamran ele</t>
  </si>
  <si>
    <t>fruit for bilal bhai</t>
  </si>
  <si>
    <t>salahuddin for oct 16</t>
  </si>
  <si>
    <t>Zulfiquar for oct 16</t>
  </si>
  <si>
    <t>cash for abid tickets Rs 4174 500 for extra paid Rs 25 Balance Rs 100 for fuel</t>
  </si>
  <si>
    <t>cash for Ramzan balance</t>
  </si>
  <si>
    <t>cash for purchased files Rs 175/file * 4 = 700   &amp; fuel to imran off for Y.h for documents colect</t>
  </si>
  <si>
    <t>for builty to isl imran + fuel + Food + Easy paisa charges to iftikhar</t>
  </si>
  <si>
    <t>amir raza medical treatment</t>
  </si>
  <si>
    <t>Ali khalid for oct 16</t>
  </si>
  <si>
    <t>cash for dinner &amp; tea at CP</t>
  </si>
  <si>
    <t>cash for everyday + fruit</t>
  </si>
  <si>
    <t>suzuki fare from off to nasir</t>
  </si>
  <si>
    <t>bilal bhai fruit</t>
  </si>
  <si>
    <t>cash from ebad bhai</t>
  </si>
  <si>
    <t>cash by kamran ele</t>
  </si>
  <si>
    <t>cash by azeem</t>
  </si>
  <si>
    <t>cash for angal for indus hosiptal</t>
  </si>
  <si>
    <t>Cash withdrw from DIB #  '01358868</t>
  </si>
  <si>
    <t>Cash withdrw from DIB #  '01358863</t>
  </si>
  <si>
    <t>cash to bilal bhai for charity</t>
  </si>
  <si>
    <t>cash for hilti &amp; other item pershased at khhadi isb</t>
  </si>
  <si>
    <t>Cash Returned By Azeem (remaining cash from angle at indus</t>
  </si>
  <si>
    <t>cash fro efy</t>
  </si>
  <si>
    <t>cash for rikshaw fare from office to tpl 25th</t>
  </si>
  <si>
    <t>cash for worker paid</t>
  </si>
  <si>
    <t>cash for buity &amp; material</t>
  </si>
  <si>
    <t>cash to mossi for her medicine</t>
  </si>
  <si>
    <t>purchased spray for mckinsey</t>
  </si>
  <si>
    <t>cash sent by salahuddin</t>
  </si>
  <si>
    <t>cash for wall primer picaso mixing oil</t>
  </si>
  <si>
    <t>paid for photocopy for indus hosiptal</t>
  </si>
  <si>
    <t>photocopy for indus hospital</t>
  </si>
  <si>
    <t>cash for photocoy</t>
  </si>
  <si>
    <t>cash sent by amir raza</t>
  </si>
  <si>
    <t xml:space="preserve">cash for glue ftc 8th floor </t>
  </si>
  <si>
    <t>suzuki fare from ftc for scrap shifting 9th &amp; 10th floor</t>
  </si>
  <si>
    <t>cash for phoyocopy &amp; cd</t>
  </si>
  <si>
    <t>cash for photocopy for indus</t>
  </si>
  <si>
    <t>for fruit for bilal bhai</t>
  </si>
  <si>
    <t>cash  for allied</t>
  </si>
  <si>
    <t>taxi fare for y.h consultant + cold drink</t>
  </si>
  <si>
    <t>purchased power cable for printer Rs 250 &amp; repair printer Rs 100</t>
  </si>
  <si>
    <t>tea bag every day sugar soup</t>
  </si>
  <si>
    <t>mujahid cylinder</t>
  </si>
  <si>
    <t>Cash withdrw from DIB #  '01358873</t>
  </si>
  <si>
    <t>Cash withdrw from DIB #  '01358879</t>
  </si>
  <si>
    <t>cash for mughal iron</t>
  </si>
  <si>
    <t>kamran auto for oct 16</t>
  </si>
  <si>
    <t>nadeem bhai ufone balance paid</t>
  </si>
  <si>
    <t>fruit for bilal bhai &amp; lasssi for imran saeed aaa</t>
  </si>
  <si>
    <t>cash for photcopy</t>
  </si>
  <si>
    <t>cash for green tea + soup</t>
  </si>
  <si>
    <t>photocopy Rs 40 + Cigratte Rs 150</t>
  </si>
  <si>
    <t xml:space="preserve">cash for bilal bhai susraal for purchasing </t>
  </si>
  <si>
    <t>Cash withdrw from DIB #  '01358891</t>
  </si>
  <si>
    <t>cash sent by easy paisa by imran</t>
  </si>
  <si>
    <t>cash paid at indus hospital for oxygen cylinder</t>
  </si>
  <si>
    <t>Hyper star</t>
  </si>
  <si>
    <t>photocoy by kamran  auto</t>
  </si>
  <si>
    <t>cash for fruit for bilal bhai + cigrette</t>
  </si>
  <si>
    <t>cash for material for allied</t>
  </si>
  <si>
    <t>cash for A3 paper</t>
  </si>
  <si>
    <t>cash for lassi + fruit for bilal bhai</t>
  </si>
  <si>
    <t>cash for milk powder &amp; tea bags</t>
  </si>
  <si>
    <t>cash for material</t>
  </si>
  <si>
    <t>cash for mahana magazine charges</t>
  </si>
  <si>
    <t>casble fees for oct 16</t>
  </si>
  <si>
    <t>paid office mossi salary for oct 16</t>
  </si>
  <si>
    <t xml:space="preserve">FTc </t>
  </si>
  <si>
    <t>paid Ishaq salary</t>
  </si>
  <si>
    <t>paid by mobicash by omar</t>
  </si>
  <si>
    <t>harpic + jhaaroo for office</t>
  </si>
  <si>
    <t>cash for zong mob bal</t>
  </si>
  <si>
    <t>cash for tape at ftc</t>
  </si>
  <si>
    <t>cash given by imran office</t>
  </si>
  <si>
    <t>cash for fynile</t>
  </si>
  <si>
    <t>cash for every day and suger tea bags</t>
  </si>
  <si>
    <t>cash for fruit 60 + photocopy</t>
  </si>
  <si>
    <t>cash for fuit</t>
  </si>
  <si>
    <t>for photocoy by irfan autocad</t>
  </si>
  <si>
    <t>cash for color photo copy of bilal bhai passport</t>
  </si>
  <si>
    <t>cash paid by imran</t>
  </si>
  <si>
    <t>Rashid Ac contractor</t>
  </si>
  <si>
    <t>paid at indus hospital</t>
  </si>
  <si>
    <t>Cash withdrw from DIB #  '013588907</t>
  </si>
  <si>
    <t>photocopy indus &amp; khhadi</t>
  </si>
  <si>
    <t>Cash withdrw from DIB #  '013588905</t>
  </si>
  <si>
    <t>cash for choori for sprinkler</t>
  </si>
  <si>
    <t>suzuki fare from islamuddin to allied eng and labour paid</t>
  </si>
  <si>
    <t>paid shahryar salary</t>
  </si>
  <si>
    <t>biscuits for hyper star guest</t>
  </si>
  <si>
    <t xml:space="preserve">newspaper at home mhr </t>
  </si>
  <si>
    <t>paid for Income tax for Rehmana rehman personal</t>
  </si>
  <si>
    <t>Rehana Rehman</t>
  </si>
  <si>
    <t>cash for builty to islamabad labour for pipe cutting fuel tea</t>
  </si>
  <si>
    <t>cash for tea for outside driver paid by huzaifa</t>
  </si>
  <si>
    <t>Cash withdrw from DIB #  '013588909</t>
  </si>
  <si>
    <t>laboratory test for pipe &amp; sheet and fuel</t>
  </si>
  <si>
    <t>cash for card</t>
  </si>
  <si>
    <t>rikshaw fare form bohra pir to indus to offie</t>
  </si>
  <si>
    <t>cash for iftikhar salary tranfer</t>
  </si>
  <si>
    <t>photocopy for indus and jpmc</t>
  </si>
  <si>
    <t xml:space="preserve">duplicate key, ebad lunch </t>
  </si>
  <si>
    <t>cash for photocoy jpmc main project</t>
  </si>
  <si>
    <t>Cash withdrw from MCB #  '1610479901</t>
  </si>
  <si>
    <t>babu cloth</t>
  </si>
  <si>
    <t>paid to babu cloth for cloth ftc 13 th floor</t>
  </si>
  <si>
    <t>Cash taken from Huzaifa</t>
  </si>
  <si>
    <t>cash for nasir colony</t>
  </si>
  <si>
    <t>Rehan</t>
  </si>
  <si>
    <t>cash paid to wilson for UTE for matarial</t>
  </si>
  <si>
    <t>kamran auto for nov 16</t>
  </si>
  <si>
    <t>cash for photocopy jpmc</t>
  </si>
  <si>
    <t>chicken roll for bilal bhai by umar</t>
  </si>
  <si>
    <t>every day &amp; tea bag</t>
  </si>
  <si>
    <t>cash for corrier for cheque of hypermarket</t>
  </si>
  <si>
    <t>fuel for naveed malik</t>
  </si>
  <si>
    <t>cash to bilal bahi for fuel</t>
  </si>
  <si>
    <t xml:space="preserve">fuel for tariq </t>
  </si>
  <si>
    <t>paid for glue 3 drums at indus hospital</t>
  </si>
  <si>
    <t>coopex powder</t>
  </si>
  <si>
    <t>rikshaw fare from kohri garden to ftc then office</t>
  </si>
  <si>
    <t>imran tabba</t>
  </si>
  <si>
    <t>cash to rehan</t>
  </si>
  <si>
    <t>mobile card &amp; fuel</t>
  </si>
  <si>
    <t>aunty rehana rehman mobile ufone super card</t>
  </si>
  <si>
    <t>umar purchased cigratte for bilal bhai</t>
  </si>
  <si>
    <t>cash for picnic expense</t>
  </si>
  <si>
    <t>cash for misc expense buity conduit &amp; others</t>
  </si>
  <si>
    <t>MCB</t>
  </si>
  <si>
    <t>Pioneer Engineering Services</t>
  </si>
  <si>
    <t>cash to imran off</t>
  </si>
  <si>
    <t>give to nadeem bhai for labourer</t>
  </si>
  <si>
    <t>cash for umar</t>
  </si>
  <si>
    <t>cash for purchase mineral water</t>
  </si>
  <si>
    <t>cash for photocopy drawings Mckinsey</t>
  </si>
  <si>
    <t>roti &amp; kabab</t>
  </si>
  <si>
    <t>sent corrier to pindi to Riaz driver NIC</t>
  </si>
  <si>
    <t>shopper &amp; cell for clock</t>
  </si>
  <si>
    <t>purchase blower 400 watt</t>
  </si>
  <si>
    <t>allied for welding rod</t>
  </si>
  <si>
    <t>cash sent by irfan</t>
  </si>
  <si>
    <t>to kamran nov 16</t>
  </si>
  <si>
    <t>balance for bilal bhai ufone mobile for Dubai</t>
  </si>
  <si>
    <t>archi cream purchase for jpmc</t>
  </si>
  <si>
    <t>plumbing item</t>
  </si>
  <si>
    <t xml:space="preserve">rikshaw fare </t>
  </si>
  <si>
    <t>tea for labourere</t>
  </si>
  <si>
    <t>lunch at efu on Sunday on 20-11-16</t>
  </si>
  <si>
    <t>purchase tissue paper</t>
  </si>
  <si>
    <t>Returned by ebad</t>
  </si>
  <si>
    <t>cash for mckinsey for bush</t>
  </si>
  <si>
    <t>cash sent by ali</t>
  </si>
  <si>
    <t>jpmc photocopy</t>
  </si>
  <si>
    <t>cash for ftc 8th floor</t>
  </si>
  <si>
    <t>cash petty</t>
  </si>
  <si>
    <t>cyliner at indus</t>
  </si>
  <si>
    <t>cash for rikshaw fare form office to indus</t>
  </si>
  <si>
    <t>cash for pipe cutting remaining balance fuel 300 for huzaifa jpmc fuel to imran 100</t>
  </si>
  <si>
    <t>iftkhar salary adv for nov 16</t>
  </si>
  <si>
    <t xml:space="preserve">roti &amp; photo copy by umar </t>
  </si>
  <si>
    <t>purchased glue drum for indus</t>
  </si>
  <si>
    <t>PAID FOR BILAL BHAI mobile balance</t>
  </si>
  <si>
    <t>Cash withdrw from MCB #  '1610479929</t>
  </si>
  <si>
    <t>Malfa steel</t>
  </si>
  <si>
    <t>paid by mcb 2 chqs of 50000 &amp; cash Rs 4500</t>
  </si>
  <si>
    <t>split unit shifting from saddar to indus suzuki fare</t>
  </si>
  <si>
    <t>Riaz sahab</t>
  </si>
  <si>
    <t>paid to riaz sahb for material</t>
  </si>
  <si>
    <t>mehmood for nov 16</t>
  </si>
  <si>
    <t>Jpmc</t>
  </si>
  <si>
    <t>cash at EFU</t>
  </si>
  <si>
    <t>sugar tea bags milk powder</t>
  </si>
  <si>
    <t>photocoy for JPMC main project</t>
  </si>
  <si>
    <t>tea rs 25 by umar</t>
  </si>
  <si>
    <t>burger Rs 140</t>
  </si>
  <si>
    <t>rikhasa fare for shifting glue to indus</t>
  </si>
  <si>
    <t>cd + print of schedule for efu</t>
  </si>
  <si>
    <t>fuel + Card</t>
  </si>
  <si>
    <t>Rana afzal</t>
  </si>
  <si>
    <t>Adam</t>
  </si>
  <si>
    <t>paid mobilink bill at Jazz Rehman sahb</t>
  </si>
  <si>
    <t>purchased at indus hospital</t>
  </si>
  <si>
    <t>Facet Emporium</t>
  </si>
  <si>
    <t>paid for b/mixes gr muslim and other items purchased by imran engg chq Rs 100,000 cash</t>
  </si>
  <si>
    <t>burger for bilal bhai &amp; Ebad</t>
  </si>
  <si>
    <t>Cash withdrw from DIB #  ' 01403681</t>
  </si>
  <si>
    <t>Cash withdrw from DIB #  ' 01403677</t>
  </si>
  <si>
    <t>Cash withdrw from DIB #  ' 01403678</t>
  </si>
  <si>
    <t>cash to umar for roti &amp; pencil sharpner</t>
  </si>
  <si>
    <t>jazz mobile balance paid at khaadi &amp; indus</t>
  </si>
  <si>
    <t>Paid at hyper star for cement and other items</t>
  </si>
  <si>
    <t>Paid at nasir colony for cement</t>
  </si>
  <si>
    <t>biscuits for bilal bhai guest</t>
  </si>
  <si>
    <t xml:space="preserve">fuel Gree purchased </t>
  </si>
  <si>
    <t>purchase pocha for safai &amp; chmical for cockroch at office</t>
  </si>
  <si>
    <t>paid fare for cloth at babu cloth</t>
  </si>
  <si>
    <t>pencil cell purchased by nadeem bhai</t>
  </si>
  <si>
    <t>ebad lunch</t>
  </si>
  <si>
    <t>burger for bilal bhai by umar</t>
  </si>
  <si>
    <t>fruit for bilal bhai + cigraate</t>
  </si>
  <si>
    <t xml:space="preserve">rikshaw fare form off to allied </t>
  </si>
  <si>
    <t>kamran auto printer repair , refilling, drum &amp; plate change fuel + puncture + parking</t>
  </si>
  <si>
    <t>Cash withdrw from DIB #  ' 01403695</t>
  </si>
  <si>
    <t>Cash remainded from salary</t>
  </si>
  <si>
    <t>umar salary increased</t>
  </si>
  <si>
    <t>sugar &amp; every day</t>
  </si>
  <si>
    <t>tea bags</t>
  </si>
  <si>
    <t>paid deliver on 03-12-16</t>
  </si>
  <si>
    <t>paid for tanki fare for efu cash 250  chq # 01403698</t>
  </si>
  <si>
    <t>paid for blower &amp; thermos at ebm required by owais ordered by imran engg</t>
  </si>
  <si>
    <t>spray for tanki at efu</t>
  </si>
  <si>
    <t>tanki fare from office to efu</t>
  </si>
  <si>
    <t>abbas</t>
  </si>
  <si>
    <t xml:space="preserve">paid for glue </t>
  </si>
  <si>
    <t>delivery charges of leopard for fateh chq</t>
  </si>
  <si>
    <t>riksahew fare from off to indus for anti fungas paint</t>
  </si>
  <si>
    <t>cash sent by abdullah</t>
  </si>
  <si>
    <t>Cash withdrw from DIB #  ' 01403701</t>
  </si>
  <si>
    <t>mobile warid balance</t>
  </si>
  <si>
    <t>corrier fateh cheque</t>
  </si>
  <si>
    <t>lunch at office by umar</t>
  </si>
  <si>
    <t>fare of rikshaw fare threding rod from saim bhai</t>
  </si>
  <si>
    <t>tea for bilal bhai</t>
  </si>
  <si>
    <t>for buity for islamabad suzuki fare fuel and loader</t>
  </si>
  <si>
    <t>burger for bilal bhai</t>
  </si>
  <si>
    <t>office files &amp; correction pen</t>
  </si>
  <si>
    <t>core cutting at jpmc</t>
  </si>
  <si>
    <t>M. Ali</t>
  </si>
  <si>
    <t>Ashraf civil contractor</t>
  </si>
  <si>
    <t>cash 5000, 6000 &amp; 5000</t>
  </si>
  <si>
    <t>cash for comode shower</t>
  </si>
  <si>
    <t>fuel at jpmc</t>
  </si>
  <si>
    <t>bilal bhai burger +</t>
  </si>
  <si>
    <t>bilal bhai burger 70 + cirgrett 150+ soup for office 140</t>
  </si>
  <si>
    <t>Cash withdrw from DIB #  ' 01403721</t>
  </si>
  <si>
    <t>Cash withdrw from DIB #  ' 01403707</t>
  </si>
  <si>
    <t>fuel for tender submit (jamia tender)</t>
  </si>
  <si>
    <t>to abid sent by khalid</t>
  </si>
  <si>
    <t>cash for jpmc fuel &amp; mobile card</t>
  </si>
  <si>
    <t>cash for faqeer charity</t>
  </si>
  <si>
    <t>cash for buity at isb 7070 + fuel 100</t>
  </si>
  <si>
    <t xml:space="preserve">buity isb </t>
  </si>
  <si>
    <t>mobile card for month</t>
  </si>
  <si>
    <t>rikshaw fare from kaytees to indus</t>
  </si>
  <si>
    <t>fuel for sst submit and bank 4 times</t>
  </si>
  <si>
    <t>fuel for buity at isb</t>
  </si>
  <si>
    <t>fare expense</t>
  </si>
  <si>
    <t>fare expense from off to allied flang &amp; cloth</t>
  </si>
  <si>
    <t>roti for office</t>
  </si>
  <si>
    <t>suger tea bag milk powder</t>
  </si>
  <si>
    <t>paid at allied</t>
  </si>
  <si>
    <t>corrier SST file to zohaib raza tax wala</t>
  </si>
  <si>
    <t>paid by bilal bhai</t>
  </si>
  <si>
    <t xml:space="preserve">cash for fuel at jpmc </t>
  </si>
  <si>
    <t>cash for cutting disc</t>
  </si>
  <si>
    <t>cash for nov tea</t>
  </si>
  <si>
    <t>rikshae fare form off to allied  8 tapes and 1 roll insulation</t>
  </si>
  <si>
    <t>gas cylinder indus</t>
  </si>
  <si>
    <t>salary ad for ghaffar sahb</t>
  </si>
  <si>
    <t>basit</t>
  </si>
  <si>
    <t>shaharyar</t>
  </si>
  <si>
    <t>photocopy + file for chase up warranty</t>
  </si>
  <si>
    <t>company profile</t>
  </si>
  <si>
    <t>cash for hyper</t>
  </si>
  <si>
    <t>Cash taken from Imran office imran took this cash from bilal bhai</t>
  </si>
  <si>
    <t>Cash withdrw from DIB #  ' 01403731</t>
  </si>
  <si>
    <t>fare fro kaytees to indus for insulation</t>
  </si>
  <si>
    <t>fuel for bike</t>
  </si>
  <si>
    <t>rikshar fare from kaytees to office (insulation) and fuel for imran</t>
  </si>
  <si>
    <t>misc expense</t>
  </si>
  <si>
    <t>Mhr personal</t>
  </si>
  <si>
    <t>ufone super card to rehana aunty</t>
  </si>
  <si>
    <t xml:space="preserve">cash for lassi for bilal bhai guest </t>
  </si>
  <si>
    <t>khaadi isl photcopy</t>
  </si>
  <si>
    <t>paid at hyper</t>
  </si>
  <si>
    <t>mobile balance mobilink</t>
  </si>
  <si>
    <t>Owais</t>
  </si>
  <si>
    <t>fuel at ebm</t>
  </si>
  <si>
    <t>Tariq Insulatin</t>
  </si>
  <si>
    <t>khalid bhai</t>
  </si>
  <si>
    <t>cash returned by shahid painter</t>
  </si>
  <si>
    <t>milk powder &amp; tissue papers 2 nos</t>
  </si>
  <si>
    <t>cash given to ebad for bilal bhai home</t>
  </si>
  <si>
    <t>corrier 1st R/bill to hypar star lahore</t>
  </si>
  <si>
    <t>purchsd cement&amp; lock at hyper star invoice amount 6330 rec from nadeem bhai 4000</t>
  </si>
  <si>
    <t xml:space="preserve">bilal bhai give this cash to imran office no record </t>
  </si>
  <si>
    <t>haris</t>
  </si>
  <si>
    <t>fuel  from allied to office then banglow to office then to FTC</t>
  </si>
  <si>
    <t>Cash withdrw from DIB #  ' 01403737</t>
  </si>
  <si>
    <t>sabiztian salary adv</t>
  </si>
  <si>
    <t>rashid indus</t>
  </si>
  <si>
    <t>photocopy submittal indus hospital + 2 roti by umar</t>
  </si>
  <si>
    <t>cash taken from Nasir Bhai</t>
  </si>
  <si>
    <t>paid final payment at efu wilson labour</t>
  </si>
  <si>
    <t>paid a4 bundle for office</t>
  </si>
  <si>
    <t>I give Rs 3500 to nadeem bhai from shop rent when there is no cash in office</t>
  </si>
  <si>
    <t>I give Rs 13000 to nadeem bhai from shop rent when there is no cash in office</t>
  </si>
  <si>
    <t>Shop rent</t>
  </si>
  <si>
    <t>tea bags sugar &amp; bisciuts + empty DVD</t>
  </si>
  <si>
    <t xml:space="preserve">marib </t>
  </si>
  <si>
    <t>suzuki fare from off to hyper insulation roll</t>
  </si>
  <si>
    <t>cash for copy ebm &amp; indus</t>
  </si>
  <si>
    <t>cash for fuel  at hyperstar</t>
  </si>
  <si>
    <t>cash for copy at jpmc</t>
  </si>
  <si>
    <t>paid utilities bill (office Rs/ 17574    MHR Rs. 9441)</t>
  </si>
  <si>
    <t>for wire at faizan</t>
  </si>
  <si>
    <t>roti by umar</t>
  </si>
  <si>
    <t>paid suzuki fare from off to CP grills</t>
  </si>
  <si>
    <t>Rehan's computer ram , cell &amp; mouse</t>
  </si>
  <si>
    <t xml:space="preserve">Asif </t>
  </si>
  <si>
    <t>paid at c32 swimming pool</t>
  </si>
  <si>
    <t>cash transfer</t>
  </si>
  <si>
    <t>purchased cloth for cleaning purpose for office</t>
  </si>
  <si>
    <t>purchased 50 kg glue for khaadi isb from tip top</t>
  </si>
  <si>
    <t>marib by imran engg</t>
  </si>
  <si>
    <t>cash for buity 4600 fuel 100, 300 for rikshw fare form off to saddar</t>
  </si>
  <si>
    <t>petty cash</t>
  </si>
  <si>
    <t>cash for duct ribets</t>
  </si>
  <si>
    <t>paid for electric work at hyper</t>
  </si>
  <si>
    <t>purchased wire fixer for office</t>
  </si>
  <si>
    <t>cash taken from shop rent, this cash paid to nadeem bhai</t>
  </si>
  <si>
    <t>cash paid for cement at nasir colony</t>
  </si>
  <si>
    <t>cash paid at hyper star chq amount 100,000 + 20,000 cash (This chq is of Nasir bhai -Efu Payment)</t>
  </si>
  <si>
    <t>lunch for Ali extreme and nadeem bhai</t>
  </si>
  <si>
    <t>Amjad bhai</t>
  </si>
  <si>
    <t>paid electric work at hyper star</t>
  </si>
  <si>
    <t xml:space="preserve">Allied </t>
  </si>
  <si>
    <t>suzuki fare from fateh to allied (allied sheet)</t>
  </si>
  <si>
    <t>Jahanzaib</t>
  </si>
  <si>
    <t>Purhcased driver for chiller at bank al-falah Head Office</t>
  </si>
  <si>
    <t>Riaz electric service</t>
  </si>
  <si>
    <t>paid for swimming pool motor water seal  service</t>
  </si>
  <si>
    <t>car repair</t>
  </si>
  <si>
    <t>Areeb</t>
  </si>
  <si>
    <t>for website domain</t>
  </si>
  <si>
    <t>Ali duct</t>
  </si>
  <si>
    <t>wooden sadle</t>
  </si>
  <si>
    <t>purchased wooden saddle for indus</t>
  </si>
  <si>
    <t>tea n biscuits for nadeem bhai guest Umar was absent on that day</t>
  </si>
  <si>
    <t>huzaifa riksahw fare from home to offie</t>
  </si>
  <si>
    <t>Fuel</t>
  </si>
  <si>
    <t>utilities bills</t>
  </si>
  <si>
    <t>shopper, jhaaroo, fynyle</t>
  </si>
  <si>
    <t>purchased items at hyperstar</t>
  </si>
  <si>
    <t xml:space="preserve">cash for mixer, tee cock , bowl sink, waste pipe, </t>
  </si>
  <si>
    <t>Rehan's printer refill</t>
  </si>
  <si>
    <t>go for drawings at abdullah shah ghazi (ebad car's cng, and fuel for imran for different places at ptcl exchange)</t>
  </si>
  <si>
    <t>buiscuit for bilal bhai guest season master</t>
  </si>
  <si>
    <t>buity at isl 2000, fuel 100, bilal bhai home fuel 50 rikshaw fare 250 bank charges for tranfer cash Rs 50,000 to majid at khaadi isb site</t>
  </si>
  <si>
    <t>everyday. Sugar, tea bags, soup, and sir rehman mineral water</t>
  </si>
  <si>
    <t>Asif C-32</t>
  </si>
  <si>
    <t xml:space="preserve">jahangeer </t>
  </si>
  <si>
    <t>dec 8 days salary</t>
  </si>
  <si>
    <t>Noman</t>
  </si>
  <si>
    <t>dec salary remaining</t>
  </si>
  <si>
    <t>remaining salary mossi off for dec 16</t>
  </si>
  <si>
    <t>cash for drawings copy efu</t>
  </si>
  <si>
    <t>drawings copy indus</t>
  </si>
  <si>
    <t>fuel 3 times bank , and tender collect from AH construction</t>
  </si>
  <si>
    <t>bilal bhai medicine ourchsed by imnra</t>
  </si>
  <si>
    <t>cash Rs 5000 hold with imran for split AC purchased at indus</t>
  </si>
  <si>
    <t>Paid adv for window at hyper</t>
  </si>
  <si>
    <t xml:space="preserve">Ali </t>
  </si>
  <si>
    <t>purchased chemical at hyper n fuel for different sites</t>
  </si>
  <si>
    <t>Cash withdrw from DIB #  ' 01403754</t>
  </si>
  <si>
    <t>Cash withdrw from DIB #  ' 01403749</t>
  </si>
  <si>
    <t>paid 50,000 chq and 2000 cash</t>
  </si>
  <si>
    <t>motor pool water seal at kumail</t>
  </si>
  <si>
    <t>paid for car washman 3 cars</t>
  </si>
  <si>
    <t>paid for window</t>
  </si>
  <si>
    <t>cash paid to air guide</t>
  </si>
  <si>
    <t>cigratte 140 fruit 70 photo copy 15</t>
  </si>
  <si>
    <t>lunch for sir rehman 50, joshanda 20</t>
  </si>
  <si>
    <t>atm transfer charges claim by imran for majid isb salary of dec 16 tranfered in his account in islamabad</t>
  </si>
  <si>
    <t>cash for stationery</t>
  </si>
  <si>
    <t>purhcased stamp paper for shop aggrement renewal</t>
  </si>
  <si>
    <t>fuel claim by imran for three times went to DIB bank on 9/1/16 and 1 time went to bank and to purchase stamp paper for 3rd floor agreement renewal on 10-01-17</t>
  </si>
  <si>
    <t>claim fuel for drop ghaffar shb salary to imran at indus</t>
  </si>
  <si>
    <t>purchased glue 1 kg allied</t>
  </si>
  <si>
    <t>rikshae fare form off to jpmc</t>
  </si>
  <si>
    <t>purhcased milk powder</t>
  </si>
  <si>
    <t xml:space="preserve">cigrate for bilal bhai </t>
  </si>
  <si>
    <t>green tea packet + cooler toti</t>
  </si>
  <si>
    <t>mobile balance jpmc</t>
  </si>
  <si>
    <t xml:space="preserve">paid for mineral water </t>
  </si>
  <si>
    <t>imran for change the note from state bank</t>
  </si>
  <si>
    <t>Cash withdrw from DIB #  ' 01403766</t>
  </si>
  <si>
    <t>sir rehman mobile balance 1500, rehana aunty mobile balance 1500</t>
  </si>
  <si>
    <t>driver weekly lunch expense</t>
  </si>
  <si>
    <t>driver</t>
  </si>
  <si>
    <t>cash 2nd time by ebad</t>
  </si>
  <si>
    <t>tea bags, tissue, and suger</t>
  </si>
  <si>
    <t>burger for bilal bhai + dahi for sir rehman by umar</t>
  </si>
  <si>
    <t>mobile balance ufone super card rehana aunty</t>
  </si>
  <si>
    <t>Cash withdrw from DIB #  ' 014037</t>
  </si>
  <si>
    <t>Ghaffar sahab</t>
  </si>
  <si>
    <t>paid in majid account</t>
  </si>
  <si>
    <t>cash for misc exp</t>
  </si>
  <si>
    <t>sir rehman car work</t>
  </si>
  <si>
    <t>cash for misc exp at different sites buity islamabad drawing copy jb saeed rehan computer Ram bilal bhai friend lunch and misc</t>
  </si>
  <si>
    <t xml:space="preserve">bank charges claim by imran for Rs 25,000/- transfer to majid acc </t>
  </si>
  <si>
    <t>for tender of HBL emarald tower from YH associates</t>
  </si>
  <si>
    <t>fuel &amp; water tanker at home</t>
  </si>
  <si>
    <t>kamran sprinkler</t>
  </si>
  <si>
    <t>for sprinkler plates khaadi DMC chq amount 10,000</t>
  </si>
  <si>
    <t>paid uptodate 6,29000/-</t>
  </si>
  <si>
    <t>Cash withdrw from DIB #  ' 01403768</t>
  </si>
  <si>
    <t>cirgrate for bilal bhai 140 tul malanga 60 photo copy 35  chapati 15</t>
  </si>
  <si>
    <t>zeeshan efu</t>
  </si>
  <si>
    <t>photocopy 720 elfy 20 and fuel rs 30</t>
  </si>
  <si>
    <t>Cash withdrw from MCB #  '1626390918</t>
  </si>
  <si>
    <t>Ateeq salary</t>
  </si>
  <si>
    <t>9 days Ateeq salary transfer to peshawar he worked in hyper star, by order nadeem + 250 mobicash charges</t>
  </si>
  <si>
    <t>iftikhar salary adv january17</t>
  </si>
  <si>
    <t>cash given on 16-01-17</t>
  </si>
  <si>
    <t>fuel efu 2500 and kamal bakers 1630</t>
  </si>
  <si>
    <t>paid suzuki fare from off to UTE korangi (threaded rod)</t>
  </si>
  <si>
    <t>Cash withdrw from MCB #  '16263909</t>
  </si>
  <si>
    <t>cash gave to bilal bhai at the time of death of imran engg father</t>
  </si>
  <si>
    <t>cash for stool</t>
  </si>
  <si>
    <t>marib salary adv jan 17</t>
  </si>
  <si>
    <t xml:space="preserve">nito taoe 25, 2 pencil cells 30, </t>
  </si>
  <si>
    <t>cigrate for bilal bhai 140, photocpy 45, photocopy 10</t>
  </si>
  <si>
    <t>paid to saeed lala for weekily lunch</t>
  </si>
  <si>
    <t>cash for red oxide and glue</t>
  </si>
  <si>
    <t>cash for utilities bill, given to mr farhan</t>
  </si>
  <si>
    <t>paid for labourer at hyper site order by bilal bhai</t>
  </si>
  <si>
    <t>cash for ftc</t>
  </si>
  <si>
    <t>cash for mobile balance at jpmc</t>
  </si>
  <si>
    <t>cash water milk powder 350, mineral water 100, coffe 100, ispaghol 50, duplicate key making rs 70, biskuit for mjor jalal 45</t>
  </si>
  <si>
    <t xml:space="preserve">milk powder, 350, coffee </t>
  </si>
  <si>
    <t>shahid painter salary adv of month jan 17</t>
  </si>
  <si>
    <t>cash 3000 given by nadeem bhai</t>
  </si>
  <si>
    <t>paid  uptodate 653,000</t>
  </si>
  <si>
    <t>fuel for different site by order ebad</t>
  </si>
  <si>
    <t>cash for blocks ast hyper</t>
  </si>
  <si>
    <t xml:space="preserve"> lunch 764 &amp; cold drink for bilal bhai guest 90, and tea 75 towel wash 100</t>
  </si>
  <si>
    <t>printer cable for imran computer</t>
  </si>
  <si>
    <t>umar for off exp</t>
  </si>
  <si>
    <t>purchased brushes for the site efu</t>
  </si>
  <si>
    <t>buity  6000, adda charges 300, labour 400 suzuki fare  900 fuel 100 nashta 50</t>
  </si>
  <si>
    <t>mobile monthly card 500, fuel three times bank 1 time cheq rec from baloch coloy freom zaherr shb and 1 time tender submit HBL emerald tower</t>
  </si>
  <si>
    <t>this cash paid by bilal bhai for misc work done by imran at indus</t>
  </si>
  <si>
    <t>car work repair 5000, leveler laser purchased at jpmc and mithai 1000 for ftc</t>
  </si>
  <si>
    <t>cash for sika</t>
  </si>
  <si>
    <t>haris salary advance</t>
  </si>
  <si>
    <t>Cash withdrw from MCB #  "01450480</t>
  </si>
  <si>
    <t>Cash withdrw from DIB #  ' 014050485</t>
  </si>
  <si>
    <t>Adil Duct</t>
  </si>
  <si>
    <t>paid to adil duct 25000 + charges 418</t>
  </si>
  <si>
    <t>cash for fisher n other material</t>
  </si>
  <si>
    <t>owais for pen n register &amp; cotton</t>
  </si>
  <si>
    <t>yasrab engg</t>
  </si>
  <si>
    <t>kamran jamia slary adv</t>
  </si>
  <si>
    <t>shehryar slary adv</t>
  </si>
  <si>
    <t>Cash withdrw from DIB #  ' 01405</t>
  </si>
  <si>
    <t>asif</t>
  </si>
  <si>
    <t>paid for fiber glass at c32</t>
  </si>
  <si>
    <t>umar c/o nadeem</t>
  </si>
  <si>
    <t>paid (shahid)</t>
  </si>
  <si>
    <t>Saeed Lala</t>
  </si>
  <si>
    <t>Cash withdrw from DIB #  ' 014050489 this chq amount is 38400/- (Rs 35000 in huzaifa acc and 3400 in office pett</t>
  </si>
  <si>
    <t>paid for weekly lunch expenses</t>
  </si>
  <si>
    <t>cash khalid bhai</t>
  </si>
  <si>
    <t>cash for imtiaz and other</t>
  </si>
  <si>
    <t>drwings for  jb saeed 850 tpl 255 jpmc 85 + 10</t>
  </si>
  <si>
    <t>stapler and pins, red oxide paint and brush and hassan abbas mobile card rs 600</t>
  </si>
  <si>
    <t>suzuki fare from iqbal sons to office for flexible duct at khaadu dmc</t>
  </si>
  <si>
    <t>fuel at efu</t>
  </si>
  <si>
    <t xml:space="preserve">fateh ali chq corrier 90, samosay for bilal bhai mamu 140, tea 50, photocopy 45, atco boq copy 20, nec artistic photocopy 10, lunch for umar 40,  </t>
  </si>
  <si>
    <t>shahbaz jpmc salary adv</t>
  </si>
  <si>
    <t>fuel at indus</t>
  </si>
  <si>
    <t>cash adv</t>
  </si>
  <si>
    <t>ahu maintenane sheet copy 500 nos</t>
  </si>
  <si>
    <t>mobile balance by imran office when bilal bhai in USA</t>
  </si>
  <si>
    <t>milk poweder 420, cell 20, kabab and roti 70,  photocopy 66</t>
  </si>
  <si>
    <t>purchased gate valve and other matrial from from shabbir brothers</t>
  </si>
  <si>
    <t>Asif fiber</t>
  </si>
  <si>
    <t>paid at c-32</t>
  </si>
  <si>
    <t>zahabia</t>
  </si>
  <si>
    <t>purchased xahabia paint at hyper purhcased by kamran autocad</t>
  </si>
  <si>
    <t>gas bill paid for mhr</t>
  </si>
  <si>
    <t>cash returned by kamran jamia against mot valve from shabbir brothers</t>
  </si>
  <si>
    <t>fuel 1 time for cock sheet purhcase and 1 time for retuned motorized valve</t>
  </si>
  <si>
    <t>cash for bit at efu</t>
  </si>
  <si>
    <t>purchased milk powder</t>
  </si>
  <si>
    <t>omar salary for the month january 17</t>
  </si>
  <si>
    <t>car wash 2 cars january 16</t>
  </si>
  <si>
    <t>kabab and roti</t>
  </si>
  <si>
    <t>Rs 140 hold with omar at the time of leave from the job</t>
  </si>
  <si>
    <t>electricity bill paid (Abrar salehan Zia colony) by order nadeem bhai</t>
  </si>
  <si>
    <t>haji store pharmacy</t>
  </si>
  <si>
    <t>purhcased cock sheet at indus ordered by imran engg</t>
  </si>
  <si>
    <t>ali khalid salary adv fopr jan 17</t>
  </si>
  <si>
    <t>utiliteis bills paid (nadeem bhai home)</t>
  </si>
  <si>
    <t>purhcased welding rod &amp; cutting disc 4" from hussain abad rikshaw fare Rs 500</t>
  </si>
  <si>
    <t>tissue paper &amp; soup</t>
  </si>
  <si>
    <t>mortien</t>
  </si>
  <si>
    <t>cash for disc ute towel</t>
  </si>
  <si>
    <t>monthly lunch expense</t>
  </si>
  <si>
    <t>greentea</t>
  </si>
  <si>
    <t>cash for plastic sheet</t>
  </si>
  <si>
    <t>cash for colour paint and other items</t>
  </si>
  <si>
    <t>fuel to kamran auto ar indus</t>
  </si>
  <si>
    <t>cash for roti</t>
  </si>
  <si>
    <t>cash att efu by order nadeem bhai</t>
  </si>
  <si>
    <t>cash for fuel at movenpick</t>
  </si>
  <si>
    <t>cash for jamia c-32 for pipe</t>
  </si>
  <si>
    <t>ebad salary jan17</t>
  </si>
  <si>
    <t>nadeem bhai salary jan 17</t>
  </si>
  <si>
    <t>cash for materail purhcased at bank al falah</t>
  </si>
  <si>
    <t>ahu sheets photocopy 50 Nos by hassan abbas</t>
  </si>
  <si>
    <t>cash for traffice challan</t>
  </si>
  <si>
    <t>tea bags and suger roti</t>
  </si>
  <si>
    <t>cash for pipe at hbl</t>
  </si>
  <si>
    <t>bus fare</t>
  </si>
  <si>
    <t>mobile balance at jpmc</t>
  </si>
  <si>
    <t>cash to wilson for reduser</t>
  </si>
  <si>
    <t>photocopy + cophy</t>
  </si>
  <si>
    <t>mobile card</t>
  </si>
  <si>
    <t>hbl emeral tower photocopy</t>
  </si>
  <si>
    <t xml:space="preserve">Ebad </t>
  </si>
  <si>
    <t>brome (jhaaroo) for office</t>
  </si>
  <si>
    <t>paid at efu</t>
  </si>
  <si>
    <t>Imran office</t>
  </si>
  <si>
    <t>cultus car service by ebad</t>
  </si>
  <si>
    <t>materail rawal bolt, nut bolt, skurt for indus and hbl</t>
  </si>
  <si>
    <t>cash material glue buity nut washer paper roll tape cloth rikhsha rent food parking fuel</t>
  </si>
  <si>
    <t>grinder brush for bank al-falah</t>
  </si>
  <si>
    <t>cash for emergency when he was heart attack</t>
  </si>
  <si>
    <t>cash for hbl emerald tower</t>
  </si>
  <si>
    <t>bhakhtiar</t>
  </si>
  <si>
    <t>purhcased elbow plung 3" at ATCO</t>
  </si>
  <si>
    <t>cash for efu schedule print from saddar print + fuel 100</t>
  </si>
  <si>
    <t>photocopy print khhadi isb</t>
  </si>
  <si>
    <t>Saaed lala driver</t>
  </si>
  <si>
    <t>salary for the month jan 17 for 22 days/ 16000/month</t>
  </si>
  <si>
    <t>photocopy khhadi isl</t>
  </si>
  <si>
    <t>for roti for lunch</t>
  </si>
  <si>
    <t>to bakhti for bilal bhai friend umar refreshment</t>
  </si>
  <si>
    <t>riksha fare from efu to office</t>
  </si>
  <si>
    <t>suzuki fare from off to hyper</t>
  </si>
  <si>
    <t>fuel for office to ute korangi for fiitings shifting</t>
  </si>
  <si>
    <t>suzuki fare from office to nasir col then JB saeed fro shifting for thresded rod, insulation and fittings</t>
  </si>
  <si>
    <t>cash sent by amjad ustaad</t>
  </si>
  <si>
    <t>2 lassi for zara engg fattukh 120 , tea 50, office tea and sugar, imran comp mouse photocopy 80 and 32 nad biskuits</t>
  </si>
  <si>
    <t>cash for SST</t>
  </si>
  <si>
    <t>sir rehman mobile balance paid</t>
  </si>
  <si>
    <t>Bakhtiar</t>
  </si>
  <si>
    <t>card doori + card print</t>
  </si>
  <si>
    <t>purhcased spring for ducting for khaadi isb</t>
  </si>
  <si>
    <t>paid abid oct and nov 16 salary</t>
  </si>
  <si>
    <t>Cash taken from naveed malik payment</t>
  </si>
  <si>
    <t>paid final payment at hyper</t>
  </si>
  <si>
    <t>rikshar fare for welding plant shifting from bank alfalah to jpmc</t>
  </si>
  <si>
    <t>ticket for islamabad 4 nos chq # 01450527 amount 15000 and cash 1000</t>
  </si>
  <si>
    <t>Cash withdrw from DIB #  ' 014050528</t>
  </si>
  <si>
    <t>cash for material for MHR</t>
  </si>
  <si>
    <t>mobile balances Mrs bilal 500,  Aunty Rehana 500</t>
  </si>
  <si>
    <t>cash for manual lift at hbl emerald tower</t>
  </si>
  <si>
    <t>suzuki carriage plate form lift crane, haji stoe and fuel</t>
  </si>
  <si>
    <t>cash for material sent by irfan</t>
  </si>
  <si>
    <t>Cash withdrw from DIB #  ' 0140505</t>
  </si>
  <si>
    <t>cash for elbow sent by gulfam</t>
  </si>
  <si>
    <t>pay kamran at hbl for token</t>
  </si>
  <si>
    <t>photocopy indus taaj mcc submital</t>
  </si>
  <si>
    <t>for material tape and cloth at banlk al-falah h/o</t>
  </si>
  <si>
    <t>cash for fiber tank waste cleaning</t>
  </si>
  <si>
    <t>purhcased shopper and fernayal bottle</t>
  </si>
  <si>
    <t>paid for EV driver at bank al-falah H/O</t>
  </si>
  <si>
    <t>purhcased raiti bajri at hyper</t>
  </si>
  <si>
    <t>paid by sir rehman</t>
  </si>
  <si>
    <t>truck fare paid for 40 Nos AC</t>
  </si>
  <si>
    <t>iftikhar salary</t>
  </si>
  <si>
    <t xml:space="preserve">salary for the month jan 17 </t>
  </si>
  <si>
    <t xml:space="preserve">28 kg  steel sheet purhcased by abid at hyperstar  by order nadeem </t>
  </si>
  <si>
    <t>sal adv amjad</t>
  </si>
  <si>
    <t>Remained cash from the DIB #  ' 0140539</t>
  </si>
  <si>
    <t>paid for duct cutting labour</t>
  </si>
  <si>
    <t>cash at the time of going to islamabad</t>
  </si>
  <si>
    <t>mehmood for feb 17</t>
  </si>
  <si>
    <t>purchased brushes, dhaaga and labour for pipe choori cutting at hyper</t>
  </si>
  <si>
    <t>kamran off feb 17</t>
  </si>
  <si>
    <t>adam riger</t>
  </si>
  <si>
    <t>paid for un-loading of AHUs at insua hospital</t>
  </si>
  <si>
    <t>sir rehman paid for lunch at indus hospital</t>
  </si>
  <si>
    <t>paid for newspaper at mhr home</t>
  </si>
  <si>
    <t xml:space="preserve">photocopy, tea Rs 100, biskuits, lunch for office, towel wash 150, tea by bilal bhai </t>
  </si>
  <si>
    <t>cash for material indus hospital</t>
  </si>
  <si>
    <t>elbow at hyper star</t>
  </si>
  <si>
    <t>purhcased armaflex at hyperstar</t>
  </si>
  <si>
    <t>cash for ahu unloading at indus</t>
  </si>
  <si>
    <t>feroz sahab feb 17 salary adv</t>
  </si>
  <si>
    <t>cash for panaflex printing</t>
  </si>
  <si>
    <t>mobile balance bilal bhai 600, rehana rehman aunty mobile bal 1500</t>
  </si>
  <si>
    <t xml:space="preserve">ebad </t>
  </si>
  <si>
    <t>paid for core cutting at TRg</t>
  </si>
  <si>
    <t>cash for cutting disc at jb saeed</t>
  </si>
  <si>
    <t>Amjad elec</t>
  </si>
  <si>
    <t>cash by amjad by sir rehman</t>
  </si>
  <si>
    <t>mossi loan</t>
  </si>
  <si>
    <t>cash for print</t>
  </si>
  <si>
    <t>paid KCCI membership renewal fee 2017</t>
  </si>
  <si>
    <t>paid at UTE korangi site</t>
  </si>
  <si>
    <t>cash for copper wire 4 core at TRG mg tower</t>
  </si>
  <si>
    <t>jahangeer for feb 17</t>
  </si>
  <si>
    <t>haris for feb 17</t>
  </si>
  <si>
    <t>purhcased nut bolt for indus, fittingss for jpmc and JB saaed, craft paper for indus</t>
  </si>
  <si>
    <t>adnan Tile fixture</t>
  </si>
  <si>
    <t>sharyar for the month feb 17</t>
  </si>
  <si>
    <t>rashid</t>
  </si>
  <si>
    <t>paid for gas</t>
  </si>
  <si>
    <t>fuel for bank working and go for submitting KCCI fee</t>
  </si>
  <si>
    <t>drwings copy for hbl emerald tower</t>
  </si>
  <si>
    <t xml:space="preserve">purchased lock for roof 200, coffee 70, tea bag380 tissue paper 100, mineral water for sir rehman 100, </t>
  </si>
  <si>
    <t>fuel at indus for material shifting</t>
  </si>
  <si>
    <t>cash tranfer 15000 service charges 600</t>
  </si>
  <si>
    <t>cash for bike maintenance</t>
  </si>
  <si>
    <t>tea and lunch exp at jb saeed claim by ebad</t>
  </si>
  <si>
    <t>purchased stamp paper for 1st and 2nd floor</t>
  </si>
  <si>
    <t>purchased tape, ms nipple, fuel rikshaw rent parking 50 food 50</t>
  </si>
  <si>
    <t>Farrukh Orient</t>
  </si>
  <si>
    <t>cash given for JB saeed FCU</t>
  </si>
  <si>
    <t>corrier submit hyper lahore boq</t>
  </si>
  <si>
    <t>drwsing copy</t>
  </si>
  <si>
    <t>paid to CHOORI wala (jpmc)</t>
  </si>
  <si>
    <t>hashim distributer</t>
  </si>
  <si>
    <t>paid thro MCB chq # 1626390927   cash Rs 1000 for cable 3 core purchased</t>
  </si>
  <si>
    <t>paid for angle 1 1/4" @ 75  20 kg with cutting and rikshaw fare</t>
  </si>
  <si>
    <t>drwaing copy</t>
  </si>
  <si>
    <t>suzuki fare hyperstar and hbl emrelad tower for rods</t>
  </si>
  <si>
    <t>cash by bilal</t>
  </si>
  <si>
    <t>materail purhcased at indus</t>
  </si>
  <si>
    <t>two times bank working</t>
  </si>
  <si>
    <t>fuel claim for bilal bhai work and 60parking</t>
  </si>
  <si>
    <t>cash for indus material indus and JB saeed</t>
  </si>
  <si>
    <t>feroz shb</t>
  </si>
  <si>
    <t>rikhsh fare for indus</t>
  </si>
  <si>
    <t>Khalil chawkidar</t>
  </si>
  <si>
    <t xml:space="preserve">salary feb 2017 at MHR </t>
  </si>
  <si>
    <t>Khalid Core</t>
  </si>
  <si>
    <t>misc expenses incurred at khaadi islamabd chq # chq # 01450542 chq amount 200,000/-  cash 6000</t>
  </si>
  <si>
    <t>corrier fateh chq</t>
  </si>
  <si>
    <t>photocopy 20, biskuit 70, milk powerd 350, hyper lahore BOQ corrier 190,  green tea 105, photo copy 54, , photo copy zara engg hbl emerald submittal, 84, mineral water 50, lunch for sir rehman 70, biskuit for bilal bhai 30, biskut 20  phot copy jpmc daikin split submittal 54</t>
  </si>
  <si>
    <t>cigratte for bilal bhai by kamran auto</t>
  </si>
  <si>
    <t>Mossi salary</t>
  </si>
  <si>
    <t>salary for feb 17</t>
  </si>
  <si>
    <t>purhcase tee, ruduserm bend, fuel, 100, rikshaw 300 , parking and food 50 at JB saeed and fitting at indus material</t>
  </si>
  <si>
    <t>fuel claimed for two times SMC office and for parking</t>
  </si>
  <si>
    <t>suzuki rent efu</t>
  </si>
  <si>
    <t>suzuki rent disc, blade,  stool. Rikshaw etc</t>
  </si>
  <si>
    <t>adv paid for SS pc</t>
  </si>
  <si>
    <t>final payment paid for SS 1 pc</t>
  </si>
  <si>
    <t>cash for paints at banl a;falah h/o</t>
  </si>
  <si>
    <t>fuel at indus for zahabia paint shifting</t>
  </si>
  <si>
    <t>shahbaz jpmc salary adv march 17</t>
  </si>
  <si>
    <t>material purhcased at hyper</t>
  </si>
  <si>
    <t>monthly lunch expenses to saeed lala</t>
  </si>
  <si>
    <t>for kitchen stuff and pan purchasd for home</t>
  </si>
  <si>
    <t>paid shahzor fare and labour for 16 outers and 6 inners at TRG MG Tower</t>
  </si>
  <si>
    <t>chowkidar salary 3000 his salary is 15000</t>
  </si>
  <si>
    <t>mineral water for sir rehman 50, tea for bilal bhai 80, lunch for sir rehman 40, roti 8, sabzi for sir rehman 165,  spiral binding 20</t>
  </si>
  <si>
    <t>company profile print</t>
  </si>
  <si>
    <t>company profile spiral binding</t>
  </si>
  <si>
    <t>paid to bakhtiar for 3 cars wash</t>
  </si>
  <si>
    <t>paid to SMC for zeelaf munir tender purchase + fuel 50</t>
  </si>
  <si>
    <t>purchased materail for JB saeed</t>
  </si>
  <si>
    <t>purchased materail for indus</t>
  </si>
  <si>
    <t>cash for tea exp for feb 17</t>
  </si>
  <si>
    <t>PAID FOR PIPE and tape at trg mg tower</t>
  </si>
  <si>
    <t>fuel claimed for ebm to office many times</t>
  </si>
  <si>
    <t>jamc drawing copy</t>
  </si>
  <si>
    <t>jomc drawing copy</t>
  </si>
  <si>
    <t>drawings copy jpmc</t>
  </si>
  <si>
    <t>cash for material jpmc and jb saeed</t>
  </si>
  <si>
    <t>materail purcahsed for jmpc</t>
  </si>
  <si>
    <t>materail purcahsed for hml emerald</t>
  </si>
  <si>
    <t>mujahid gas</t>
  </si>
  <si>
    <t>gas cylinder at bank -al falah h/o</t>
  </si>
  <si>
    <t>gas cyliner at indus</t>
  </si>
  <si>
    <t>khalid shb</t>
  </si>
  <si>
    <t>paid for lunch and tea expenses at JB saeed</t>
  </si>
  <si>
    <t>Khaadi louver</t>
  </si>
  <si>
    <t>paid for khaadi louver</t>
  </si>
  <si>
    <t>Danish tiles</t>
  </si>
  <si>
    <t>paid for 2 paks of tiles at hyper star</t>
  </si>
  <si>
    <t>biskuits for nadeem bhai</t>
  </si>
  <si>
    <t>shareed glass</t>
  </si>
  <si>
    <t>purchased 78 glass clips</t>
  </si>
  <si>
    <t xml:space="preserve">cash taken from JPMC Advance payment </t>
  </si>
  <si>
    <t>for elbow and connector 60 V</t>
  </si>
  <si>
    <t>purcahse 3 DVDs windows 7, Office 2013, and antivirus</t>
  </si>
  <si>
    <t>paid thru chq MCB # 1626390932 and cash 4360</t>
  </si>
  <si>
    <t>paid colour for bank al-falah head office</t>
  </si>
  <si>
    <t>rat killer</t>
  </si>
  <si>
    <t>load</t>
  </si>
  <si>
    <t>purchased by mossi</t>
  </si>
  <si>
    <t>for bahria golf course tender purhcase</t>
  </si>
  <si>
    <t>surf 130,  zeelaf munir BOQ photocopy 70,  choclate for bilal bhai 60, dahi phulki for sir rehman 60, lunch for bilal bhai 170, biskuit for bilal bhai 20, roti for office 40</t>
  </si>
  <si>
    <t>jahangeer for mar 17</t>
  </si>
  <si>
    <t>purchased jhaaro, phocha</t>
  </si>
  <si>
    <t>rehana rehman aunty mobile super card</t>
  </si>
  <si>
    <t xml:space="preserve">abbas </t>
  </si>
  <si>
    <t>sahbaz</t>
  </si>
  <si>
    <t>cash to rashid for trg electric wire</t>
  </si>
  <si>
    <t>cash for materail at indus JB saeed, JPMC</t>
  </si>
  <si>
    <t>for tickets at islamabad with charges with fuel Rs 50</t>
  </si>
  <si>
    <t>materail purchased at indus</t>
  </si>
  <si>
    <t>Cash remained from MCB PS chq # 1626390934 (paid to reshid)</t>
  </si>
  <si>
    <t>paid to suzuki fare, labour and loader at TRG</t>
  </si>
  <si>
    <t>paid by imran off</t>
  </si>
  <si>
    <t>fuel claim for sarria shifting fro office to HBL</t>
  </si>
  <si>
    <t>ALI</t>
  </si>
  <si>
    <t>Cash withdrw from MCB PES #  ' 016</t>
  </si>
  <si>
    <t>1/2" copper socket purchasd fuel claim 150, juince, 30, parking  40</t>
  </si>
  <si>
    <t>cutting disc for JPMC</t>
  </si>
  <si>
    <t>Salary adv</t>
  </si>
  <si>
    <t>amjad bhai sal adv for mar 17</t>
  </si>
  <si>
    <t>marib for mar 17</t>
  </si>
  <si>
    <t>rikshaw fare for insulation roll</t>
  </si>
  <si>
    <t>kamran auto for mar 17</t>
  </si>
  <si>
    <t>purchased material at indus</t>
  </si>
  <si>
    <t>purchased material at JB saeed</t>
  </si>
  <si>
    <t>shahbaz salary adv for march 17</t>
  </si>
  <si>
    <t>purchased solution box,elbow, socket, pipe for gul ahmed for smell in tea bar drain pipe issue</t>
  </si>
  <si>
    <t>bakhti</t>
  </si>
  <si>
    <t>bahria golf course tender copy</t>
  </si>
  <si>
    <t>green tea for office</t>
  </si>
  <si>
    <t>sir rehman lunch</t>
  </si>
  <si>
    <t>Salaries adv</t>
  </si>
  <si>
    <t>haris for march 17</t>
  </si>
  <si>
    <t>tea bags and I kg sugar and photo copy hbl tender copy for 1st running bill</t>
  </si>
  <si>
    <t>cash for fuel at the time of going to meeting for Khaadi lahore gulberg with nadeem bhai</t>
  </si>
  <si>
    <t>Rehana rehman aunty mobile balance</t>
  </si>
  <si>
    <t>nic and photograph of abdullah and wilson staff sent to lahore for hyperstar</t>
  </si>
  <si>
    <t>cash for office exp</t>
  </si>
  <si>
    <t>purchased material for indus, trg mg, efu</t>
  </si>
  <si>
    <t>imran claim fuel 100 and parking 25 for SMC tender submit (zeelaf munir)</t>
  </si>
  <si>
    <t>misc expenses incurred at indus hospital</t>
  </si>
  <si>
    <t>Purchased angle 3 kg for trg mg tower</t>
  </si>
  <si>
    <t>holsa drill bit and misc item purchased at indus by rashid  RS 200 remaining</t>
  </si>
  <si>
    <t>medicine purchasd at indus hospital</t>
  </si>
  <si>
    <t>drwings copy for jpmc</t>
  </si>
  <si>
    <t>abid 62 hours remaining overtime</t>
  </si>
  <si>
    <t>abbas for mar 17</t>
  </si>
  <si>
    <t xml:space="preserve">office toilet soup 100,  photocopy and rubber band packet 35, cigratte for bilal bhai 140, </t>
  </si>
  <si>
    <t>dahi phuli for sir rehman 120, biskuit for nadeem bhai 35, lunch for sir rehman 170</t>
  </si>
  <si>
    <t>club sandwich for bilal bhai friends 440, and ciggrate for bilal bhai 140 switch board for office AC 350, tea 100, tea bag 100</t>
  </si>
  <si>
    <t>Cheq # 01450575 (chq 1/11)</t>
  </si>
  <si>
    <t>Cheq # 01450575 (chq 2/11)</t>
  </si>
  <si>
    <t>Cheq # 01450575 (chq 3/11)</t>
  </si>
  <si>
    <t>Cheq # 01450575 (chq 4/11)</t>
  </si>
  <si>
    <t>cash paid 2000 for tickets and 3000 for adv</t>
  </si>
  <si>
    <t>final ppayment at bank al-falah</t>
  </si>
  <si>
    <t>Zahid electrician cash</t>
  </si>
  <si>
    <t>paid at indus</t>
  </si>
  <si>
    <t>nadeem bhai ufone bill paid</t>
  </si>
  <si>
    <t>paid for khaadi lahore</t>
  </si>
  <si>
    <t>cash for jb saaed site exp</t>
  </si>
  <si>
    <t>khalid bhai for mar 17</t>
  </si>
  <si>
    <t>mini ball valce at naveed mali</t>
  </si>
  <si>
    <t>welding rod and fittings at dhanak shop</t>
  </si>
  <si>
    <t>drawings copy hbl</t>
  </si>
  <si>
    <t>drawings copy khaadi packages</t>
  </si>
  <si>
    <t>hbl materail</t>
  </si>
  <si>
    <t>materail purchased from eastern at indus CHQ amount 58000 chq # 1626390943  Cash 19,000</t>
  </si>
  <si>
    <t>purchaed halsaw, claim fuel and paid to police bhatta</t>
  </si>
  <si>
    <t>cash taken from MCB PS CHQ # 1626390944</t>
  </si>
  <si>
    <t>sebastiant</t>
  </si>
  <si>
    <t>rikshaw fare from off to efu for dissuser</t>
  </si>
  <si>
    <t>Lateef wooden saddle</t>
  </si>
  <si>
    <t>cash paid at indus site for sooden saddle</t>
  </si>
  <si>
    <t>SSGC bill paid 5 months pending bill</t>
  </si>
  <si>
    <t>petrol for paint at hbl site</t>
  </si>
  <si>
    <t>indus extra AC work purchased wire, channel patti, elbow, socket</t>
  </si>
  <si>
    <t>adv at hbl</t>
  </si>
  <si>
    <t>efu two new staff id card colour copy print</t>
  </si>
  <si>
    <t>nadeem bhai utilies bills paid memom group</t>
  </si>
  <si>
    <t xml:space="preserve">cash taken from MCB PS CHQ # </t>
  </si>
  <si>
    <t xml:space="preserve">salary </t>
  </si>
  <si>
    <t>mossi salary for march 17</t>
  </si>
  <si>
    <t>generator lock and chain 300, tea 100, lunch for office 160</t>
  </si>
  <si>
    <t>office lunch</t>
  </si>
  <si>
    <t>naveed malik bill receiving</t>
  </si>
  <si>
    <t>cash paid sent thru kamran elec</t>
  </si>
  <si>
    <t>paid to imran ducting</t>
  </si>
  <si>
    <t>paid for khaadi lohore house rent</t>
  </si>
  <si>
    <t>for hilti for hbl emerald tower</t>
  </si>
  <si>
    <t>cash taken from nadeem nhai</t>
  </si>
  <si>
    <t>cigratee</t>
  </si>
  <si>
    <t>riksahw fare from office to ute korangi</t>
  </si>
  <si>
    <t>purchased material at hbl site</t>
  </si>
  <si>
    <t>for testing at jpmc</t>
  </si>
  <si>
    <t>ebad bhai for biscuit</t>
  </si>
  <si>
    <t>cash for chowkidar salary at mhr home 14000 and Rs 2000 for remaining salary of saeed lala driver</t>
  </si>
  <si>
    <t>gulfam</t>
  </si>
  <si>
    <t>cash taken for hbl site tea and misc exp</t>
  </si>
  <si>
    <t>cash taken</t>
  </si>
  <si>
    <t xml:space="preserve">cash taken </t>
  </si>
  <si>
    <t>salary increased Rs 1000 from march 17</t>
  </si>
  <si>
    <t>amjad ustad salary adv for april 2017</t>
  </si>
  <si>
    <t>cash remained after salaries paid ( march 17 )</t>
  </si>
  <si>
    <t>drawing copy khaadi pacakes and indus</t>
  </si>
  <si>
    <t>Cheq # 01450575 (chq 5/11)</t>
  </si>
  <si>
    <t>mhr personal water tanker</t>
  </si>
  <si>
    <t>burger for ebad 100, cigeratte for bilal bhai 150</t>
  </si>
  <si>
    <t>cash taken for 3 car wash</t>
  </si>
  <si>
    <t>cash taken for mhr personal chicken purchased</t>
  </si>
  <si>
    <t>shaheryar</t>
  </si>
  <si>
    <t>welding rod, disc, tester, welding holder, carbon</t>
  </si>
  <si>
    <t>haneef at jpmc remaining salary of amrch 17</t>
  </si>
  <si>
    <t>majid 5 days salary</t>
  </si>
  <si>
    <t>repaired n maintain office generotor oil changed with chowk chang</t>
  </si>
  <si>
    <t>photocopy KIDCL tender for total construction</t>
  </si>
  <si>
    <t>purchaaed materail for indus, butterfly valve, tap valve, nut bolts</t>
  </si>
  <si>
    <t>buity islamabd, rikshaw rent, suzuki fare for exhaust fan from adda to office, arif shah for submittal item drop</t>
  </si>
  <si>
    <t>fuel claimed for two times bank work, gul ahmed bill submit, and azal office two times</t>
  </si>
  <si>
    <t>fuel clamimed for fittings purchawd from abbas for dhanak shop</t>
  </si>
  <si>
    <t>fuel claimed for  arif shah collect submittal, shafqat office for bill submit, fnd and two times bank</t>
  </si>
  <si>
    <t>fittings purchaed for dhanak</t>
  </si>
  <si>
    <t>black tape, and cutting disc for dhanak</t>
  </si>
  <si>
    <t>nut bolt for trg</t>
  </si>
  <si>
    <t>bilal bhai cash taken for office sadka</t>
  </si>
  <si>
    <t>cash paid for close his account</t>
  </si>
  <si>
    <t>cigrate for bilal bhai</t>
  </si>
  <si>
    <t>shopper purchased 240, photocoy 20 cigrate for bilal bhai</t>
  </si>
  <si>
    <t>mineral water for huzaifa 50, biskuit ebad bhai 35</t>
  </si>
  <si>
    <t>tea bags 380 green tea and suger 160 photo copy 10</t>
  </si>
  <si>
    <t>paid to driver for gyser transfer at naveed malik villa</t>
  </si>
  <si>
    <t xml:space="preserve">cash for efu </t>
  </si>
  <si>
    <t>rikshaw fare forwelding rod, threaded rod 2 packet fittings</t>
  </si>
  <si>
    <t>cash for fuel for collect of cheque from dhank shop</t>
  </si>
  <si>
    <t>Cheq # 014</t>
  </si>
  <si>
    <t>cash for water dispenser</t>
  </si>
  <si>
    <t>fuel for generator</t>
  </si>
  <si>
    <t>lunch for ali extreme bilal bha and nadeem bhai</t>
  </si>
  <si>
    <t>leemo paani and water</t>
  </si>
  <si>
    <t>photocopy n biskuits for nadeem bhai</t>
  </si>
  <si>
    <t>cash sent thru kamran CAD</t>
  </si>
  <si>
    <t>stapler pins and cable tie</t>
  </si>
  <si>
    <t>cash for test</t>
  </si>
  <si>
    <t>cash for hbl emerald paint</t>
  </si>
  <si>
    <t>cash for khalid core cuttings</t>
  </si>
  <si>
    <t>cash for paint and pertol hbl site</t>
  </si>
  <si>
    <t>Received from khaadi Dhanak Shop 2nd advance payment</t>
  </si>
  <si>
    <t>irfan jpmc</t>
  </si>
  <si>
    <t>for looking glass at indus</t>
  </si>
  <si>
    <t>drwings copy at jpmc</t>
  </si>
  <si>
    <t xml:space="preserve">cash for material </t>
  </si>
  <si>
    <t>cash for ticket to lahore</t>
  </si>
  <si>
    <t>bukhari travel</t>
  </si>
  <si>
    <t>bilal.</t>
  </si>
  <si>
    <t>paid for digging at jpmc by order huzaifa</t>
  </si>
  <si>
    <t>suger 70, scotch bright 35 dishwash soup 10,  lassi for season master mustafa, lunch for ebad 100, biskuit for bilal bhai 30, lighter for bilal bhai 20, fateh corrier chq 90</t>
  </si>
  <si>
    <t>teab bag, cigrate for bilal bhai 140, tea for bilal bhai 25</t>
  </si>
  <si>
    <t>cash taken from shop rent</t>
  </si>
  <si>
    <t>suzuki fare indus hospital</t>
  </si>
  <si>
    <t>cash for drwings copy khaadi packages</t>
  </si>
  <si>
    <t>purchasd welding rod, gloves, cutting disc holder at jb saeed</t>
  </si>
  <si>
    <t>cash for april 17 tea exp</t>
  </si>
  <si>
    <t>purcahsed lectric items at indus</t>
  </si>
  <si>
    <t>cash for hbl exp</t>
  </si>
  <si>
    <t>salary for amir jpmc for mar 17</t>
  </si>
  <si>
    <t>salary adv for amir jpmc for april 17</t>
  </si>
  <si>
    <t>Cheq # 01476018</t>
  </si>
  <si>
    <t>cash for salary march 17</t>
  </si>
  <si>
    <t>cash for remaining salary march17</t>
  </si>
  <si>
    <t>cash at jb saeed</t>
  </si>
  <si>
    <t>Taken cash from Chase up multan receiving</t>
  </si>
  <si>
    <t>adv</t>
  </si>
  <si>
    <t>for material at radiology</t>
  </si>
  <si>
    <t>cash paid for cylinder at bhl</t>
  </si>
  <si>
    <t>return cash from above chq # 01476013</t>
  </si>
  <si>
    <t>imran threading</t>
  </si>
  <si>
    <t>cash for rubber hose pipe for efu</t>
  </si>
  <si>
    <t>grinder and karchar pump purchased at indus</t>
  </si>
  <si>
    <t>zulfiqaur</t>
  </si>
  <si>
    <t>purchased buraf for office</t>
  </si>
  <si>
    <t>claimed fuel at hbl site</t>
  </si>
  <si>
    <t>cash for petrol and brush at hbl</t>
  </si>
  <si>
    <t>fuel claim for indus to matrix matriz to  miqdad, to office then matriz</t>
  </si>
  <si>
    <t>glass bracket purhcased for mhr home</t>
  </si>
  <si>
    <t>mobile balance at khaadi packased</t>
  </si>
  <si>
    <t>rehana aunty</t>
  </si>
  <si>
    <t>paid for rikshaw fare from off to hbl emerald</t>
  </si>
  <si>
    <t>cash adv at trg installtion</t>
  </si>
  <si>
    <t>Mrs bilal</t>
  </si>
  <si>
    <t>fuel at home during rehman shb on UMRA</t>
  </si>
  <si>
    <t xml:space="preserve">iftikhar </t>
  </si>
  <si>
    <t>for ticket for multan</t>
  </si>
  <si>
    <t>Cheq # 01476024</t>
  </si>
  <si>
    <t>fuel claimed</t>
  </si>
  <si>
    <t>cash sent thru bakhti</t>
  </si>
  <si>
    <t>tissue for sir rehman 95, photocopy and id card cover for employee 410</t>
  </si>
  <si>
    <t>dahi and roti for sir rehman</t>
  </si>
  <si>
    <t>biscuits for bilal bhai</t>
  </si>
  <si>
    <t>pertol for generator</t>
  </si>
  <si>
    <t xml:space="preserve">roti for office </t>
  </si>
  <si>
    <t>haneef at hbl</t>
  </si>
  <si>
    <t>photocopy equipment for efu</t>
  </si>
  <si>
    <t xml:space="preserve">office </t>
  </si>
  <si>
    <t>custurd for office</t>
  </si>
  <si>
    <t>cash for office stationery</t>
  </si>
  <si>
    <t>drwaing copy efu as built</t>
  </si>
  <si>
    <t xml:space="preserve">cash for indus material </t>
  </si>
  <si>
    <t>cash for welding rod  and other items for hbl invoice amount is 5185</t>
  </si>
  <si>
    <t xml:space="preserve">cash paid wilson </t>
  </si>
  <si>
    <t>Cheq # 01476029</t>
  </si>
  <si>
    <t xml:space="preserve">purchased water glaas for office </t>
  </si>
  <si>
    <t>4 glass lassi order by sir rehman</t>
  </si>
  <si>
    <t>burger for ebad 50, mineral water for sir rehman 10</t>
  </si>
  <si>
    <t>lunch for rehman sabhh kabab and roti biscuit for nadeem shb</t>
  </si>
  <si>
    <t>purhcased holdtie, colour and karosine oil at hbl site</t>
  </si>
  <si>
    <t>cash taken for hbl site</t>
  </si>
  <si>
    <t>cash taken for mineral water for 20 bottle Rs 70/each</t>
  </si>
  <si>
    <t>cash for drawings khaadi packagees</t>
  </si>
  <si>
    <t>kamran auto sakary adv for april 17</t>
  </si>
  <si>
    <t>paid for newspaper bill april</t>
  </si>
  <si>
    <t>Cheq # 01476031</t>
  </si>
  <si>
    <t>amir raza for april 17</t>
  </si>
  <si>
    <t xml:space="preserve">Iftikhar </t>
  </si>
  <si>
    <t>cash paid at chase up multan</t>
  </si>
  <si>
    <t>marib for april 17</t>
  </si>
  <si>
    <t>cash sent thru kamran elec</t>
  </si>
  <si>
    <t>tea bag, 390, suger 70, green tea 100, everyday powder 350, lunch for sir rehman 110, lassi for sir rehman 180</t>
  </si>
  <si>
    <t>mobile balance jazz</t>
  </si>
  <si>
    <t>purcahsed head phone for computer</t>
  </si>
  <si>
    <t>cash taken for hbl emerald tower</t>
  </si>
  <si>
    <t>G.I Socket, 1 1/2  at hbl</t>
  </si>
  <si>
    <t>cash taken for hbl</t>
  </si>
  <si>
    <t>cash for photocpy</t>
  </si>
  <si>
    <t>cash taken from jahangerr</t>
  </si>
  <si>
    <t>AC repairing charges</t>
  </si>
  <si>
    <t>cash for drawings at jpmc</t>
  </si>
  <si>
    <t>cigrate for bilal bha 140, chola chart for bilal bhai n nadeem 160, biskuits 50</t>
  </si>
  <si>
    <t xml:space="preserve">dhadi phulki for sir rehman 70, offcei sabzi 90, </t>
  </si>
  <si>
    <t>lunch for nadeem bhai, ali extreme and office</t>
  </si>
  <si>
    <t>cash received from naveed malik</t>
  </si>
  <si>
    <t>cash paid at hyperstar ac</t>
  </si>
  <si>
    <t>shakeel</t>
  </si>
  <si>
    <t>zulfiquar salary adv for april 17</t>
  </si>
  <si>
    <t>suzuki fare from islamuddin to office</t>
  </si>
  <si>
    <t>cash for indus radiology drw</t>
  </si>
  <si>
    <t>photocopy + biskuits for nadeem bhai</t>
  </si>
  <si>
    <t>cigrate for bilal bhai 140 + mineral water for sir rehamn 50</t>
  </si>
  <si>
    <t>MCB Cheq # 1633650689</t>
  </si>
  <si>
    <t>shahbaz</t>
  </si>
  <si>
    <t>radiology draings</t>
  </si>
  <si>
    <t xml:space="preserve">cash for utilities bills </t>
  </si>
  <si>
    <t>cash for material at hbl site</t>
  </si>
  <si>
    <t>cash for multan buity fuel and rikhshaw fare</t>
  </si>
  <si>
    <t>mortein spray, soup,  tissue packs</t>
  </si>
  <si>
    <t>lassi for zia ghani fakhri and bilal bha and ebad</t>
  </si>
  <si>
    <t>khaadi packages</t>
  </si>
  <si>
    <t>cash tranfer to mudassir ac + bank charges 418</t>
  </si>
  <si>
    <t>cash tranfer to shahid pipe a/c + bank charges 113</t>
  </si>
  <si>
    <t>drawings copy indus radiology</t>
  </si>
  <si>
    <t xml:space="preserve">drwaing copy </t>
  </si>
  <si>
    <t>aprroved bill  copy hbl</t>
  </si>
  <si>
    <t>cash for fuel, medicine</t>
  </si>
  <si>
    <t>rafiq blocck works</t>
  </si>
  <si>
    <t>chq # 01476045 amount 50,000 and cash 6000</t>
  </si>
  <si>
    <t>jhaaroo 100, furnayel 200</t>
  </si>
  <si>
    <t>Cheq # 0147</t>
  </si>
  <si>
    <t>fuel claim from indus to jpmc to miqdad to office to indus</t>
  </si>
  <si>
    <t>mossi salary for april 17</t>
  </si>
  <si>
    <t>cash for trg material</t>
  </si>
  <si>
    <t>cash for material nozel and copper rod</t>
  </si>
  <si>
    <t>cash for hbl material at hbl site wire 1.5 core</t>
  </si>
  <si>
    <t>sir rehman plot document file copy 2 sets</t>
  </si>
  <si>
    <t>mineral water, green tea, buiskits photocopy scotch tape, and staplet pins</t>
  </si>
  <si>
    <t>petrol for generator</t>
  </si>
  <si>
    <t xml:space="preserve">chola chaat for ali, bilal n nadeem </t>
  </si>
  <si>
    <t>cash remained from from salaries for the month april 17</t>
  </si>
  <si>
    <t>saeed lala monthly lunch exp</t>
  </si>
  <si>
    <t>purchased paint at hyper star site</t>
  </si>
  <si>
    <t>showcase trolly repaired by saeed lala</t>
  </si>
  <si>
    <t>welding rod at ute korangi site</t>
  </si>
  <si>
    <t>suyfan</t>
  </si>
  <si>
    <t>jpmc drawings copy by amir jpmc</t>
  </si>
  <si>
    <t>cash for wire, elfy SS rod and other items at efu</t>
  </si>
  <si>
    <t>ahsan cable</t>
  </si>
  <si>
    <t>paid for jb saeed and dhanak cable</t>
  </si>
  <si>
    <t>paid for site exp at TRG</t>
  </si>
  <si>
    <t>paid for sprinkler plate at site khaadi DMC</t>
  </si>
  <si>
    <t>Shahjee</t>
  </si>
  <si>
    <t>bank chrges for tranferinf Rs 150,000 to shahjee for electric work at HBL site</t>
  </si>
  <si>
    <t>cash claimed for jpmc fuel</t>
  </si>
  <si>
    <t>hussain salary adv for may 17</t>
  </si>
  <si>
    <t xml:space="preserve">zeeshan </t>
  </si>
  <si>
    <t>2 days zeeshan salary</t>
  </si>
  <si>
    <t>cash returned for shop rent which I took for office expense by order bilal bhai</t>
  </si>
  <si>
    <t>misc expenses at mhr home for fan and other items cash sent thru saeed lala</t>
  </si>
  <si>
    <t>karman auto for may 17</t>
  </si>
  <si>
    <t>cash at hyperstar</t>
  </si>
  <si>
    <t>shahid painter salary increased 2000</t>
  </si>
  <si>
    <t>doulat</t>
  </si>
  <si>
    <t>towel wash</t>
  </si>
  <si>
    <t>suger and biskuits office + cigratte for bilal bhai</t>
  </si>
  <si>
    <t>chola chaat for nadeem bhai + mineral water for sir rehman</t>
  </si>
  <si>
    <t>cash for car wash 3 cars</t>
  </si>
  <si>
    <t>salary for april 17 (Rs 20,000 paid thru chq this chq given to mr farhan)</t>
  </si>
  <si>
    <t>Tahir zubair</t>
  </si>
  <si>
    <t>transfer cash to tahir zubiar lahore acc for khaadi packages</t>
  </si>
  <si>
    <t>misc expenses vouchers</t>
  </si>
  <si>
    <t>indus zulfiquar salary</t>
  </si>
  <si>
    <t>nadeem bhai car oil and filter</t>
  </si>
  <si>
    <t>cash for units at trg</t>
  </si>
  <si>
    <t>kamran auto for may 17</t>
  </si>
  <si>
    <t>cash for drawings</t>
  </si>
  <si>
    <t>jpmc printer drum and printer refill</t>
  </si>
  <si>
    <t>mobile balance ufone super card</t>
  </si>
  <si>
    <t>cash for colour powder at lucky one mall</t>
  </si>
  <si>
    <t>cash for fittings at jpmc</t>
  </si>
  <si>
    <t>miqdad and zainab shabbir verified bill copy 10 sets, bike lifter, parkng , fuel, juice, rikshaw fare</t>
  </si>
  <si>
    <t>fuel claimed for rafaqat chq received bufferzone</t>
  </si>
  <si>
    <t>fuel claimed for cash tranfre rs 10,000 to tahir zubair and 3 times DIB bank work</t>
  </si>
  <si>
    <t>jb saeed purchasing 17" cable, silver tape, glue, fuel, rikshaw fare,</t>
  </si>
  <si>
    <t>ebad mobile balance</t>
  </si>
  <si>
    <t>generato pertrol + mineral water 50</t>
  </si>
  <si>
    <t>gulab chaman for sir rehman</t>
  </si>
  <si>
    <t>jai namaz wash 2 nos</t>
  </si>
  <si>
    <t>tabba verified bill copy</t>
  </si>
  <si>
    <t xml:space="preserve">suzuki fare for generator from indus to office + mehmood bus fare   </t>
  </si>
  <si>
    <t>suzuki fare for conduit pipe, crane, ladder, pvc pipe from TRG to jpmc then jpmc to TRG,</t>
  </si>
  <si>
    <t>daccan travel</t>
  </si>
  <si>
    <t>abid ticket from kar to isl</t>
  </si>
  <si>
    <t>pump repair for naveed malik</t>
  </si>
  <si>
    <t>cash sent thru abdulla</t>
  </si>
  <si>
    <t>register purchased for office 280 + shopper for office 220</t>
  </si>
  <si>
    <t>lunch for ebad, nadeem</t>
  </si>
  <si>
    <t>lunch for ebad</t>
  </si>
  <si>
    <t>2 Nos I at office 1) at nadeem bhai home generator carbrator service and gas kit installed 4000 generator oil 450</t>
  </si>
  <si>
    <t>jahangeer for may 17</t>
  </si>
  <si>
    <t>Zahid cash received</t>
  </si>
  <si>
    <t>rhodius dic 4" 12 pcs at jpmc site</t>
  </si>
  <si>
    <t>purchased panas for khaadi isl</t>
  </si>
  <si>
    <t>nadeem chiiler opt adv for may 17</t>
  </si>
  <si>
    <t>drw for jpmc</t>
  </si>
  <si>
    <t>drw copy jpmc</t>
  </si>
  <si>
    <t>drw copy khaadi isb</t>
  </si>
  <si>
    <t>drw copy indus radiology</t>
  </si>
  <si>
    <t>cash sent thru azaad</t>
  </si>
  <si>
    <t>claimed fuel at ebm site</t>
  </si>
  <si>
    <t>cash paid at insu and hbl</t>
  </si>
  <si>
    <t>efu photocpy</t>
  </si>
  <si>
    <t>photocopy for nadeem bhai cars file vits + ebad mobile balance</t>
  </si>
  <si>
    <t>lassi for nadeem bhai + gulab jaman for rehman sahb 180 + lunch for sir rehman and ebad 80</t>
  </si>
  <si>
    <t>roti for office 40  + shpper 20 + mineral water for sir rehman 50</t>
  </si>
  <si>
    <t>lunch for sir rehman and ebad</t>
  </si>
  <si>
    <t>tea bags, every day, soup, scotch bright, gree tea + clok cell</t>
  </si>
  <si>
    <t>purchased desk diary for sir rehman by imran office</t>
  </si>
  <si>
    <t>cash at trg</t>
  </si>
  <si>
    <t>cash for c-32 site</t>
  </si>
  <si>
    <t>suzuki fare</t>
  </si>
  <si>
    <t>suzuki fare from jpmc for debrages shifting and pipe shiftings 4 trips</t>
  </si>
  <si>
    <t>kamran auto claim fuel for bilal bhai's children fee submitt</t>
  </si>
  <si>
    <t>purchased pipe and nipple at UTE korangi</t>
  </si>
  <si>
    <t>cash  sent by kamran auto</t>
  </si>
  <si>
    <t xml:space="preserve">purchased water shiled  zahabiya 20 kg for indus by imran off order by ebad </t>
  </si>
  <si>
    <t>may salary in advance</t>
  </si>
  <si>
    <t>haneef at jpmc for may 17</t>
  </si>
  <si>
    <t>Ali for may 2017</t>
  </si>
  <si>
    <t>mineral water and kitchen stuff</t>
  </si>
  <si>
    <t>lunch for nadeem bhai, and all off staff</t>
  </si>
  <si>
    <t>corrier hyper bill to shahyar lahore</t>
  </si>
  <si>
    <t>biskuit + tea for zara engg and mehran engg guest</t>
  </si>
  <si>
    <t>Cheq # MCB PS CHQ # 1633650708</t>
  </si>
  <si>
    <t>purchaed ms conduit saddle 3/4" fuel and parking claimed</t>
  </si>
  <si>
    <t>Rs 1000 hold with Azeem or Imran</t>
  </si>
  <si>
    <t>lassi for bilal bhai friend umar + biskuit</t>
  </si>
  <si>
    <t>lunch for zarak engg at hbl</t>
  </si>
  <si>
    <t>Charity</t>
  </si>
  <si>
    <t>paid for charity sadka at hbl emerald tower</t>
  </si>
  <si>
    <t>paid to plumber for office roof pipe work</t>
  </si>
  <si>
    <t>purchased mouse for office CCTV by imran off</t>
  </si>
  <si>
    <t>mosssi for extra work cleaning work</t>
  </si>
  <si>
    <t>cash for hbl site for unit installatio npaid to siraj bhai</t>
  </si>
  <si>
    <t>cash at hbl site deal done 32000</t>
  </si>
  <si>
    <t>cash sent by faheem</t>
  </si>
  <si>
    <t>cash sent by wilson</t>
  </si>
  <si>
    <t>cash sent to mudassir acc for duct material</t>
  </si>
  <si>
    <t>faheem salary adv for may 17</t>
  </si>
  <si>
    <t>marib salary adv may 17</t>
  </si>
  <si>
    <t>Cheq # 01476060</t>
  </si>
  <si>
    <t>Cheq # 01476056</t>
  </si>
  <si>
    <t>kamran CAD for may 17</t>
  </si>
  <si>
    <t>imran office for may 17</t>
  </si>
  <si>
    <t xml:space="preserve">salary adv </t>
  </si>
  <si>
    <t>sajjad for may 17</t>
  </si>
  <si>
    <t>faheem for may 17`</t>
  </si>
  <si>
    <t>caas sent thru kamran auto</t>
  </si>
  <si>
    <t>laasi 2 ns for major jalal</t>
  </si>
  <si>
    <t>roti</t>
  </si>
  <si>
    <t>tea for office + roti</t>
  </si>
  <si>
    <t xml:space="preserve"> tea bag</t>
  </si>
  <si>
    <t>suger</t>
  </si>
  <si>
    <t>photocopy for miqdad and zainab verified bill copy and PES employee id card copy</t>
  </si>
  <si>
    <t>PES employee id card copy</t>
  </si>
  <si>
    <t>material purchased for JB and dhanak site</t>
  </si>
  <si>
    <t>wooden pieces and cutting charges and fuel Rs 50</t>
  </si>
  <si>
    <t>misc expenses at hbl</t>
  </si>
  <si>
    <t>claimed fel 100 for chq receivg for UTE korangi</t>
  </si>
  <si>
    <t>cash return by nadeem bhai</t>
  </si>
  <si>
    <t>haneef</t>
  </si>
  <si>
    <t>cash to haris for may 17</t>
  </si>
  <si>
    <t>cash for water tanker and chairs repair</t>
  </si>
  <si>
    <t>cash for bike maintenance for last 3 months total paid 3000/= now pay Rs 1400</t>
  </si>
  <si>
    <t>cash for baf ftc 10th floor in against of additional duffuser installlation</t>
  </si>
  <si>
    <t>cash for A rehman s/o nadeem bhai for ball &amp; tape for playing</t>
  </si>
  <si>
    <t>purchasd wire coil for indus radiology</t>
  </si>
  <si>
    <t>drawings copy al-karam</t>
  </si>
  <si>
    <t>cash for material for naveed malik banglow</t>
  </si>
  <si>
    <t>3 lassi, 1 cigrate, gulab jaman, mineral water, roti</t>
  </si>
  <si>
    <t>fuel for sir rehman</t>
  </si>
  <si>
    <t>roti for office 12 nos + potato kabab and dahai</t>
  </si>
  <si>
    <t>mehmood for may 17</t>
  </si>
  <si>
    <t>cash for chain for muslim shower from KTM at ebm  site</t>
  </si>
  <si>
    <t>MCB Cheq # 0147</t>
  </si>
  <si>
    <t>photocpy smc file</t>
  </si>
  <si>
    <t>ufone super mini card</t>
  </si>
  <si>
    <t>ebad for may 17</t>
  </si>
  <si>
    <t>material for indus</t>
  </si>
  <si>
    <t xml:space="preserve">mehmood for may 17 </t>
  </si>
  <si>
    <t>material for total cons (guage) and for naveed malik</t>
  </si>
  <si>
    <t>cash taken (off=7,000/-  Rehan=3,000/-  Nadeem=10,000</t>
  </si>
  <si>
    <t>DIB Cheq # 0147</t>
  </si>
  <si>
    <t>purchased  jiska patti at hyper</t>
  </si>
  <si>
    <t>purchased gas at trg</t>
  </si>
  <si>
    <t>Mudassir</t>
  </si>
  <si>
    <t>cash transfer Rs 116500 to mudassir acc Rs 418 service charges</t>
  </si>
  <si>
    <t>cash for material black oxile 40 gram</t>
  </si>
  <si>
    <t>cash rashid advance c/o nadeem iqbal</t>
  </si>
  <si>
    <t>cash by sir rehman</t>
  </si>
  <si>
    <t>cash for materaul cable at indus</t>
  </si>
  <si>
    <t>cash for imran mob</t>
  </si>
  <si>
    <t>cash for mhr generator, office shurter and misc</t>
  </si>
  <si>
    <t>paid ssgc bill for mhr home</t>
  </si>
  <si>
    <t>cash for site UTE korangi purchased tape</t>
  </si>
  <si>
    <t>paid for office lunch for 20 tiffen</t>
  </si>
  <si>
    <t xml:space="preserve">abid </t>
  </si>
  <si>
    <t>cash tranfer to abid at islamabad</t>
  </si>
  <si>
    <t>shakir</t>
  </si>
  <si>
    <t>claim fuel</t>
  </si>
  <si>
    <t>salary advance retuned by jahangeer</t>
  </si>
  <si>
    <t>rikshaw fare for fire system from office to hbl and return hbl to office</t>
  </si>
  <si>
    <t>materail purcjasd for farhan sah home</t>
  </si>
  <si>
    <t>waris salary for may 17</t>
  </si>
  <si>
    <t>materail purchased for farhan sah home</t>
  </si>
  <si>
    <t>mango paiti for zaid house</t>
  </si>
  <si>
    <t>photo copy and office shopper</t>
  </si>
  <si>
    <t>bakhtair car wash men</t>
  </si>
  <si>
    <t>material &amp; cable purchased at indus hospital + fuel abnd rikshaw fare</t>
  </si>
  <si>
    <t>glue purchased at indus hospital</t>
  </si>
  <si>
    <t>builty to  khaadi pacakges</t>
  </si>
  <si>
    <t>cash sent thru wilson</t>
  </si>
  <si>
    <t>tissue paper spaler pins sqaush tape soap safe guard, and CP as built drw cd</t>
  </si>
  <si>
    <t>hussain salaey adv for the month june</t>
  </si>
  <si>
    <t>kamran elec sal adv for june</t>
  </si>
  <si>
    <t>fuel claimed for jpmc, trg, CP. Miqdad, jpmc for various work</t>
  </si>
  <si>
    <t>abid salary adv for june</t>
  </si>
  <si>
    <t>mineral watre for kamran and 50 balance</t>
  </si>
  <si>
    <t>claimed fuel for material purchased</t>
  </si>
  <si>
    <t>misc expenses at mhr home</t>
  </si>
  <si>
    <t>purchased tender from NBCL</t>
  </si>
  <si>
    <t>mehmood salary adv for june</t>
  </si>
  <si>
    <t>cash retuned by nadeem iqbal</t>
  </si>
  <si>
    <t>cash remained after salaries paid (may 2017)</t>
  </si>
  <si>
    <t>paid adv</t>
  </si>
  <si>
    <t>claimed fuel for mhr home</t>
  </si>
  <si>
    <t>bank chrges for tranferinf Rs 50,000 to shahjee for electric work at HBL site</t>
  </si>
  <si>
    <t>nadeem chiller oprt 3 days salary</t>
  </si>
  <si>
    <t>cash sent rhru kamran auto</t>
  </si>
  <si>
    <t>purchased muslim showe for EBM</t>
  </si>
  <si>
    <t>materail purchased for farhan sahb home</t>
  </si>
  <si>
    <t>his salary increased from 15000 to 17000</t>
  </si>
  <si>
    <t>purchased misc items at tpl 25th floor</t>
  </si>
  <si>
    <t>to bakhti for ebad car wash</t>
  </si>
  <si>
    <t>cash sent thru kamran auto</t>
  </si>
  <si>
    <t>antibacterial paint submittal copy</t>
  </si>
  <si>
    <t xml:space="preserve">purchased tape for efu ordered by kamran </t>
  </si>
  <si>
    <t>zarak</t>
  </si>
  <si>
    <t>mobile balance at hbl site</t>
  </si>
  <si>
    <t>flang, bend tape, nut bolt rikshaw fare, and fuel for site indus hospital</t>
  </si>
  <si>
    <t>bend, nipple,  and hold tite</t>
  </si>
  <si>
    <t>mobile card for monthly calling</t>
  </si>
  <si>
    <t>fuel claimed by imran for various sites</t>
  </si>
  <si>
    <t>lap top chrger purchased ny imran by order ebad</t>
  </si>
  <si>
    <t>imran paid for nadeem bhai glasses</t>
  </si>
  <si>
    <t>cables purchased for hbl site</t>
  </si>
  <si>
    <t>fuel claimed at jpmc site</t>
  </si>
  <si>
    <t>cash clained for fuel</t>
  </si>
  <si>
    <t>cash sent by umar</t>
  </si>
  <si>
    <t>DIB Cheq # 01521364</t>
  </si>
  <si>
    <t>for computer rapair</t>
  </si>
  <si>
    <t>cash 1st time</t>
  </si>
  <si>
    <t>cash 2nd time</t>
  </si>
  <si>
    <t>fuel claimed at indus hospital</t>
  </si>
  <si>
    <t>cash claim fuel</t>
  </si>
  <si>
    <t>corrier zohaib cheq</t>
  </si>
  <si>
    <t>boq summit bank copy colored</t>
  </si>
  <si>
    <t>cash for hold tile and elbow</t>
  </si>
  <si>
    <t>cash for lift operator paid to zarak</t>
  </si>
  <si>
    <t>cash for lift operator paid to jahangeer</t>
  </si>
  <si>
    <t>cash for misc items</t>
  </si>
  <si>
    <t>tender purchased for spar super mart</t>
  </si>
  <si>
    <t>cash rs 50,000 tranfer to mudassir charges 418</t>
  </si>
  <si>
    <t>cash hold</t>
  </si>
  <si>
    <t>cash paid at TRG 2000</t>
  </si>
  <si>
    <t>cash paid at naveed malik</t>
  </si>
  <si>
    <t>materail purchased indus hospital</t>
  </si>
  <si>
    <t>fuel claimed for hbl and trg sitwe</t>
  </si>
  <si>
    <t>mobile card at jpmc</t>
  </si>
  <si>
    <t xml:space="preserve">Azad </t>
  </si>
  <si>
    <t>paid for duct work advance</t>
  </si>
  <si>
    <t>hussain for june 2017</t>
  </si>
  <si>
    <t>suzuki fare for hbl</t>
  </si>
  <si>
    <t>cash for tape for jb saeed and ute korangi</t>
  </si>
  <si>
    <t>tender purchased for darul sehat</t>
  </si>
  <si>
    <t>bonus to all pioneer staff</t>
  </si>
  <si>
    <t>Bonus paid</t>
  </si>
  <si>
    <t>misc items</t>
  </si>
  <si>
    <t>umar for july 17</t>
  </si>
  <si>
    <t>khalid shb for july 17</t>
  </si>
  <si>
    <t>abbas plumber for july 17</t>
  </si>
  <si>
    <t>tender copy</t>
  </si>
  <si>
    <t>spar twin tower photocopy</t>
  </si>
  <si>
    <t>cash for KESE bill</t>
  </si>
  <si>
    <t>cash taken frm chase multan receiving Rs 1000,000 Rs 300,000 hold with sir rehman and 100,000 hold with nadeem bhai</t>
  </si>
  <si>
    <t>cash taken for chllan at air port, puncture for car, and hook at mhr home</t>
  </si>
  <si>
    <t>super shell oil for corolla BFH-339</t>
  </si>
  <si>
    <t>zubair for july 17</t>
  </si>
  <si>
    <t>shahbaz sunny for july 17</t>
  </si>
  <si>
    <t>DIB Cheq # 01521366</t>
  </si>
  <si>
    <t>sufyan</t>
  </si>
  <si>
    <t>karman elec salary adv for july 17</t>
  </si>
  <si>
    <t>sufyan loan</t>
  </si>
  <si>
    <t>tariq insulation</t>
  </si>
  <si>
    <t>feroz salary adv for july 17</t>
  </si>
  <si>
    <t>core cutting</t>
  </si>
  <si>
    <t>kashif salary adv for july 17</t>
  </si>
  <si>
    <t>iftikhar salary adv for july 17</t>
  </si>
  <si>
    <t>amjad for july 17</t>
  </si>
  <si>
    <t>mehmood salary adv for july</t>
  </si>
  <si>
    <t>sebestian for july 17</t>
  </si>
  <si>
    <t>naeem salary at al-karam packages mall sent to abid num</t>
  </si>
  <si>
    <t>zarak engineer return his cash salary for may, his salary paid thru dib chq # 01521372</t>
  </si>
  <si>
    <t>paid for welder eidi at hbl</t>
  </si>
  <si>
    <t>cash taken from bilal bhai</t>
  </si>
  <si>
    <t>rasheed</t>
  </si>
  <si>
    <t>cash paid for bilal bhai car repairing</t>
  </si>
  <si>
    <t>drw copy for jpmc</t>
  </si>
  <si>
    <t>umar salary for june 17</t>
  </si>
  <si>
    <t>cash claimed for services charges rs 418 transfer to mudassir acc Rs 200,000</t>
  </si>
  <si>
    <t>nadeem chiller oprt salary adv for july 17</t>
  </si>
  <si>
    <t>gas, anglem filter, rod copper rod etc purchased at hbl site</t>
  </si>
  <si>
    <t>paid for news papers bill april 17</t>
  </si>
  <si>
    <t>shahid painter for july 17</t>
  </si>
  <si>
    <t>salahuddin for july 17</t>
  </si>
  <si>
    <t>ali extreme</t>
  </si>
  <si>
    <t>paid for FCU delivered at efu</t>
  </si>
  <si>
    <t>paid utilities bill for mhr = 33,625 and office 12773</t>
  </si>
  <si>
    <t>nadeem bhai salary for june 17 adv took</t>
  </si>
  <si>
    <t>khurram salary adv for july 17</t>
  </si>
  <si>
    <t>paid 3 emplyee eidi</t>
  </si>
  <si>
    <t>cash received naveed malik bill</t>
  </si>
  <si>
    <t>ali khalid for july 17</t>
  </si>
  <si>
    <t>shaheryar for july 17</t>
  </si>
  <si>
    <t>cash given to two policemen by bilal bhai</t>
  </si>
  <si>
    <t>masood autotech</t>
  </si>
  <si>
    <t>bakhtiar salary adv for july 17</t>
  </si>
  <si>
    <t>surf purchased for office</t>
  </si>
  <si>
    <t>cash taken bilal bhai and rehan aslam for sadqa</t>
  </si>
  <si>
    <t>mineral water for sir rehman 50</t>
  </si>
  <si>
    <t>office mineral water</t>
  </si>
  <si>
    <t>cell for AC remote and 1 office stationery file</t>
  </si>
  <si>
    <t>purchased ink bottle for stamp</t>
  </si>
  <si>
    <t>claimend fuel</t>
  </si>
  <si>
    <t>cash for torch emergency light sent thru waqas</t>
  </si>
  <si>
    <t>zulfiquar chller</t>
  </si>
  <si>
    <t>claimed fuel</t>
  </si>
  <si>
    <t>photo copy 24 biskuit 50</t>
  </si>
  <si>
    <t>cash taken from Khaadi DMC receiving</t>
  </si>
  <si>
    <t>DIB Cheq # 01521375</t>
  </si>
  <si>
    <t>paid for lift operator at hbl site</t>
  </si>
  <si>
    <t>salary for the month for may 17</t>
  </si>
  <si>
    <t>cash sent thru umar</t>
  </si>
  <si>
    <t xml:space="preserve">cash given by nadeem bhai on site </t>
  </si>
  <si>
    <t>salary for june 17</t>
  </si>
  <si>
    <t>paid for 3 car wash</t>
  </si>
  <si>
    <t>cash by order nadeem bhai</t>
  </si>
  <si>
    <t>purchased whito and white tape</t>
  </si>
  <si>
    <t>kamran auto claimed fuel</t>
  </si>
  <si>
    <t>cash for hbl fm 200 batteries installation and stuff</t>
  </si>
  <si>
    <t>cash for samosa 165 and lassi 240</t>
  </si>
  <si>
    <t>mossi june salary</t>
  </si>
  <si>
    <t>cash sent thru ali khalid</t>
  </si>
  <si>
    <t>photo copy + every day + biskuits + juice and cholclate for bilal bhai geust son + bilal bhai cigratte + ebad choclate 20</t>
  </si>
  <si>
    <t>cash 100 hold with photo copier</t>
  </si>
  <si>
    <t>ptcl bills submitted</t>
  </si>
  <si>
    <t>paid deposit for office mineral water bottle Rs 1000 and paid for mineral wate 1600</t>
  </si>
  <si>
    <t>khalid shb for june 17</t>
  </si>
  <si>
    <t>marib for june 17</t>
  </si>
  <si>
    <t>copy tbm reports for efu, purchased elfy for hbl site and cell for meter</t>
  </si>
  <si>
    <t>cash for purchased for chemical at mhr garden invoice 1180 paid 1200</t>
  </si>
  <si>
    <t>car services and washing oiling for al-karam</t>
  </si>
  <si>
    <t>saqib for june 17</t>
  </si>
  <si>
    <t>ayyan engg</t>
  </si>
  <si>
    <t>paid cash for bah h/o</t>
  </si>
  <si>
    <t>cash paid he will return cash</t>
  </si>
  <si>
    <t>claimed bank charges by imran office for cash tranfer to bilal bhai relative Rs 50,000</t>
  </si>
  <si>
    <t>office lunch 312 and mineral water purchased 270</t>
  </si>
  <si>
    <t>purchased harpic, bleach and dettol mob and jhaaro for office</t>
  </si>
  <si>
    <t>purchased ms nipple and bend for UTE korangi</t>
  </si>
  <si>
    <t>cash closed his register</t>
  </si>
  <si>
    <t>purchased Wt 40 at UTE site</t>
  </si>
  <si>
    <t>claimed car puncture for UTE site</t>
  </si>
  <si>
    <t>claimed fuel for ebm to office to zamzama then office then ebm ebm to gizri and then ebm</t>
  </si>
  <si>
    <t>vicky</t>
  </si>
  <si>
    <t>claimed fuel for dead, elbow purchased for hbl site</t>
  </si>
  <si>
    <t>SST</t>
  </si>
  <si>
    <t>ssgc bill</t>
  </si>
  <si>
    <t>paid mhr home ssgc bill</t>
  </si>
  <si>
    <t>CNG  claimed for khaadi dmc</t>
  </si>
  <si>
    <t>paid SSt tax ftc maintenance from feb to april 17 Rs  38880 and trg mg tower 1st r bill Rs 50700</t>
  </si>
  <si>
    <t>8" socket purchasd for jpmc site</t>
  </si>
  <si>
    <t>fakhri brothers</t>
  </si>
  <si>
    <t>paid cheque and cash Rs 9140 to fakhri brothers</t>
  </si>
  <si>
    <t>claimed monthly mobile card</t>
  </si>
  <si>
    <t>monthly fuel claimed</t>
  </si>
  <si>
    <t>claimed rikshaw fare for khaadi packagse mall pump  (Agrico) shifting from II chundriger road to office</t>
  </si>
  <si>
    <t>claimed fuel and puncture charges for collection of drawings for the alkaram packagse mall</t>
  </si>
  <si>
    <t>claimed fuel for ikram mughal office and hbl wasiq office and 2 times bank work</t>
  </si>
  <si>
    <t>purchased conduit for indus hospital cch</t>
  </si>
  <si>
    <t>kamran auto for july 17</t>
  </si>
  <si>
    <t>cash for buity from islamabad labour rs 40 and Rs 20/day charges 20 days hold in cargo area = rs 240 and feul Rs 200 and parking 20 claimed by imran off</t>
  </si>
  <si>
    <t>2 bar BQ sandwich for noman furniture wala, bilal bhai and nadeem bhai</t>
  </si>
  <si>
    <t>office lunch 500, ebad mobile bal 100, kamran lassi 60, sabzi 50, suger 65, tape 50, office files 7, tea, tissue, and nadeem bhai nus 140, indus electric boq photocopy 36</t>
  </si>
  <si>
    <t>claimed fuel at ftc site</t>
  </si>
  <si>
    <t>cash paid by order nadeem bhai</t>
  </si>
  <si>
    <t>lunch for office lai extreme , soap</t>
  </si>
  <si>
    <t>perwwaz salary adv for july 17</t>
  </si>
  <si>
    <t>for purchased of office cleaning cloth</t>
  </si>
  <si>
    <t>office mossi july salary adv</t>
  </si>
  <si>
    <t>employee cards cover and rop</t>
  </si>
  <si>
    <t>rehana aunty mobile super card</t>
  </si>
  <si>
    <t>bilal bhai cigratte + lighter</t>
  </si>
  <si>
    <t>fuel claimed by order nadeem bhai</t>
  </si>
  <si>
    <t>marfani steel</t>
  </si>
  <si>
    <t>payment remaining balance</t>
  </si>
  <si>
    <t>green tea + buskuits</t>
  </si>
  <si>
    <t>office A4 rim paper</t>
  </si>
  <si>
    <t>DIB Cheq #</t>
  </si>
  <si>
    <t>kamran ele</t>
  </si>
  <si>
    <t xml:space="preserve">ashraf suzuki </t>
  </si>
  <si>
    <t>suzuki fare from hbl to office</t>
  </si>
  <si>
    <t>shaheryar for july 2017</t>
  </si>
  <si>
    <t>material hbl, chase up fuel , khaadi dmc</t>
  </si>
  <si>
    <t>socket 1/2" 12 Nos</t>
  </si>
  <si>
    <t>cash for efu by order nadeem iqbal</t>
  </si>
  <si>
    <t>ufine super card at jpmc site</t>
  </si>
  <si>
    <t>cash for materal at indus hospital CCH + rediology</t>
  </si>
  <si>
    <t>cash for indus material from gizri</t>
  </si>
  <si>
    <t>imran engg</t>
  </si>
  <si>
    <t>roti, dahi, evrday milk and tea bags</t>
  </si>
  <si>
    <t>cigrate and lighter for bilal bhai</t>
  </si>
  <si>
    <t>writable cd</t>
  </si>
  <si>
    <t>cash sent thru haneef</t>
  </si>
  <si>
    <t>cash received from huzaifa for container cash remaining</t>
  </si>
  <si>
    <t>purchased huawei mobile set for abid invoice 7800</t>
  </si>
  <si>
    <t>omar</t>
  </si>
  <si>
    <t>claimed fuel for purchased screw at efu</t>
  </si>
  <si>
    <t>suzuki fare for insulation from islamuddin to office at UTE korangi</t>
  </si>
  <si>
    <t>cash for tanker unload</t>
  </si>
  <si>
    <t>claimed fuel for pipe nipple drop to UTE korangi</t>
  </si>
  <si>
    <t>tissue, biskuits, lunch, sugar, bilal bhai cigratte</t>
  </si>
  <si>
    <t>nadeem bhai purchased sabzi for office</t>
  </si>
  <si>
    <t>claimed fuel for thermostat at Jb saeed</t>
  </si>
  <si>
    <t>roti, 30, biskuits 30</t>
  </si>
  <si>
    <t>ebad salary for july 17</t>
  </si>
  <si>
    <t xml:space="preserve">claimed fuel </t>
  </si>
  <si>
    <t>cash for ute material</t>
  </si>
  <si>
    <t>material purcahsed indus radiology and hbl</t>
  </si>
  <si>
    <t>cash for efu channel supports</t>
  </si>
  <si>
    <t>purchased welding rod and cutting disc for efu site invoice 490</t>
  </si>
  <si>
    <t>cash returned by nadeem bhai</t>
  </si>
  <si>
    <t>sanaullah fuel tank</t>
  </si>
  <si>
    <t>paid for fuel tank 400 ltr at efu site with suzuki fare contact # 0321-2499143   03003502367</t>
  </si>
  <si>
    <t>lassi roti, tissue</t>
  </si>
  <si>
    <t>huzaifa easy load</t>
  </si>
  <si>
    <t>MCB Cheq #</t>
  </si>
  <si>
    <t>paid by bilal bhai of extra working</t>
  </si>
  <si>
    <t>indus radiology</t>
  </si>
  <si>
    <t>indus radiology adv</t>
  </si>
  <si>
    <t>home fridge repairing</t>
  </si>
  <si>
    <t>misc expenses</t>
  </si>
  <si>
    <t>lunch + biskuits, + cigratte</t>
  </si>
  <si>
    <t>claimed fuel for gizri and sem office</t>
  </si>
  <si>
    <t>drw copy at efu</t>
  </si>
  <si>
    <t xml:space="preserve">tea for office , shahid painter, khalid, abbas plumber </t>
  </si>
  <si>
    <t>purchased gray tape abro 1300 fuel claimed 50</t>
  </si>
  <si>
    <t>cash for fuel tank thinner and plug</t>
  </si>
  <si>
    <t>cash fro bank al-falah</t>
  </si>
  <si>
    <t>office 14502 mhr home 36389</t>
  </si>
  <si>
    <t>mudassir</t>
  </si>
  <si>
    <t>cash (sent thru kamran elec)</t>
  </si>
  <si>
    <t>cash for 2.5 core yellow wire for indus invoice 3250    1750 wil be back soon</t>
  </si>
  <si>
    <t>cash sent to mudassir account + bank charges thru huzaifa</t>
  </si>
  <si>
    <t>claimed fuel for misc working</t>
  </si>
  <si>
    <t>claimed fuel for purchased wt 40 from gizri</t>
  </si>
  <si>
    <t>carpenter</t>
  </si>
  <si>
    <t>paid to carpenter for making for paiti for dissufer buity to lahore for the site khadai pack mall</t>
  </si>
  <si>
    <t>salary adv shahid painter for july 17</t>
  </si>
  <si>
    <t>mehmood july 17</t>
  </si>
  <si>
    <t>abbas plumber july 17</t>
  </si>
  <si>
    <t>purcahsed bubbler for ebm</t>
  </si>
  <si>
    <t>hussain july 17</t>
  </si>
  <si>
    <t>khaadi packages buity</t>
  </si>
  <si>
    <t>paid for buity diffuser and grillss</t>
  </si>
  <si>
    <t>purchased grinding brush 3" 3 pcs for fuel tank at efu site and brush 5" 2 pc</t>
  </si>
  <si>
    <t>lunch cigratee lighter coffee ebad suit lassi</t>
  </si>
  <si>
    <t>lunch , lassi for late night working for indus hospital</t>
  </si>
  <si>
    <t>amir jpmc</t>
  </si>
  <si>
    <t>cash for fare for khaadi pack</t>
  </si>
  <si>
    <t>cash for ute korangi material</t>
  </si>
  <si>
    <t>gul sher for july 17</t>
  </si>
  <si>
    <t>amjad elec</t>
  </si>
  <si>
    <t>silicon purchased</t>
  </si>
  <si>
    <t>shopper purhcased for dust bin + mhr home news paper bill</t>
  </si>
  <si>
    <t>cash received from bilal bhai</t>
  </si>
  <si>
    <t>claimed fuel for departure of ebad</t>
  </si>
  <si>
    <t>cash given at the time of depart</t>
  </si>
  <si>
    <t>cash for diesel tank barel nipple for efu</t>
  </si>
  <si>
    <t>ticket from karachi to lahre for al-karam pack</t>
  </si>
  <si>
    <t>purcahsed mithai for nadeem bhai</t>
  </si>
  <si>
    <t>ufone bill paid</t>
  </si>
  <si>
    <t>khaadi maripur</t>
  </si>
  <si>
    <t>sheeraz</t>
  </si>
  <si>
    <t>paid for maripur site</t>
  </si>
  <si>
    <t>anees salary for july 2017 at C-32 site</t>
  </si>
  <si>
    <t>Rikshaw fare</t>
  </si>
  <si>
    <t>paid rikshaw fare from c32 to office</t>
  </si>
  <si>
    <t>anees</t>
  </si>
  <si>
    <t>bike maintenance for Spar twin tower</t>
  </si>
  <si>
    <t>purchased cheque plate and angle for efu</t>
  </si>
  <si>
    <t>cash returned by jahangeer</t>
  </si>
  <si>
    <t>every day,  soup, mortien spray, cigrate, kheeray lunch</t>
  </si>
  <si>
    <t>bun for nadeem bhai, lunch, fruit, biskuit</t>
  </si>
  <si>
    <t>sugar, lunch, + chalk</t>
  </si>
  <si>
    <t>claimed rikshaw fare for office to indus for shifting craft paper tape , fittings and glue</t>
  </si>
  <si>
    <t>dick</t>
  </si>
  <si>
    <t>cash sent thru zulfiquar</t>
  </si>
  <si>
    <t>draiwngs for al-karam and spar twin tower</t>
  </si>
  <si>
    <t>purchased material for indus radiology and</t>
  </si>
  <si>
    <t>claimed for bilal bhai car punture</t>
  </si>
  <si>
    <t>claimed fule for going misc sites</t>
  </si>
  <si>
    <t>mughal steel</t>
  </si>
  <si>
    <t xml:space="preserve">purchased pipe rod for office </t>
  </si>
  <si>
    <t>purchased gray tape, pipe nipple, elbow socket, union. Welding rod, inchi tape</t>
  </si>
  <si>
    <t>cash received from asfand</t>
  </si>
  <si>
    <t>return ticket from lahore</t>
  </si>
  <si>
    <t>saqib salary adv for july 17</t>
  </si>
  <si>
    <t>glue 2 burni, rikshaw fare , lunch bottle fuel for indus radiology department</t>
  </si>
  <si>
    <t xml:space="preserve">lunch for two days, tea bags, cigratte </t>
  </si>
  <si>
    <t>lunch for Ali, sufyan, jahangeer, khalid, omar, and office worker</t>
  </si>
  <si>
    <t>fuel claimed for spar draw submission</t>
  </si>
  <si>
    <t>make as buit cd for efu</t>
  </si>
  <si>
    <t>rapaired office PABX system</t>
  </si>
  <si>
    <t>tabba final verified bill copy</t>
  </si>
  <si>
    <t>milk powder</t>
  </si>
  <si>
    <t>disc for office</t>
  </si>
  <si>
    <t>office renovation</t>
  </si>
  <si>
    <t>paid for labouring</t>
  </si>
  <si>
    <t>cash fro fuel for spar site</t>
  </si>
  <si>
    <t>cash to ali</t>
  </si>
  <si>
    <t>advacen for august 17</t>
  </si>
  <si>
    <t>mossi salary for july 17</t>
  </si>
  <si>
    <t>cash for indus radiology material</t>
  </si>
  <si>
    <t>tea for zulfiqaur associates, shakeel fakhri</t>
  </si>
  <si>
    <t>paid for tanki 800 gallon at nasir colony</t>
  </si>
  <si>
    <t>paid main severage line at nasir colony</t>
  </si>
  <si>
    <t>claimed fuel at MHR</t>
  </si>
  <si>
    <t>bakhtiar 2 car wash</t>
  </si>
  <si>
    <t>returned cash from kamran elec</t>
  </si>
  <si>
    <t>salary increased from 20,000 to 22,000</t>
  </si>
  <si>
    <t>cash tranfer in his bank</t>
  </si>
  <si>
    <t>SST tax</t>
  </si>
  <si>
    <t>paid sst tax for FTC 13 th bill, ftc mainternance may and june 17 bill and jamia annualy bill</t>
  </si>
  <si>
    <t>cash for isolator sent thru haneed</t>
  </si>
  <si>
    <t>purchsaed paper rim a4</t>
  </si>
  <si>
    <t>iftikhar for august 17</t>
  </si>
  <si>
    <t>shahbaz duct</t>
  </si>
  <si>
    <t>salary adv for azeem at hbl</t>
  </si>
  <si>
    <t>lumch at office, jahangeer, ali, abid and all office staff</t>
  </si>
  <si>
    <t>cash for abro gray tape at indus</t>
  </si>
  <si>
    <t>paid for his labour for various sites</t>
  </si>
  <si>
    <t>tea, roti 50, 120, fruit</t>
  </si>
  <si>
    <t>green tea, 100, bisjuit 50</t>
  </si>
  <si>
    <t>photo copy</t>
  </si>
  <si>
    <t>furuit 120, biskuit, 30, sugar 70 biskuit 20 tissue 200</t>
  </si>
  <si>
    <t>cable tray purchased for office</t>
  </si>
  <si>
    <t>sajjad for augustt 17</t>
  </si>
  <si>
    <t>nadeem painter salary incresese</t>
  </si>
  <si>
    <t>purchased cementax solution for office</t>
  </si>
  <si>
    <t>mobile card ufoce</t>
  </si>
  <si>
    <t>every days 370, roti, 80, kabab biskuit, daal</t>
  </si>
  <si>
    <t>thermostat for dhanak shop</t>
  </si>
  <si>
    <t>for indus radiology department</t>
  </si>
  <si>
    <t>claimed fuel for dhaak shop</t>
  </si>
  <si>
    <t>rawal bolt</t>
  </si>
  <si>
    <t>paid for generator repairing (gas start) and fuel cock changed</t>
  </si>
  <si>
    <t xml:space="preserve">purchased material for indus radiology </t>
  </si>
  <si>
    <t>purcahsed blade for 1st floor by sufyan</t>
  </si>
  <si>
    <t xml:space="preserve">cash paid for drawings edu, spar, indus CCH, indus radiology, JPMC, </t>
  </si>
  <si>
    <t xml:space="preserve">MHr </t>
  </si>
  <si>
    <t>paid for fuel</t>
  </si>
  <si>
    <t>Azeeem at HBL emerald salary remained</t>
  </si>
  <si>
    <t>COLD DRINK, daal chawal roti, fruit, biskuit, joshanda</t>
  </si>
  <si>
    <t>rikshaw fare from landhi to office VFD and motor damper</t>
  </si>
  <si>
    <t>dori and red oxide and bus conveyance charges for 3 days</t>
  </si>
  <si>
    <t>bilal bhai cinyenace tickets khaadi packages mall</t>
  </si>
  <si>
    <t>bakhti salary for august 1 in advance</t>
  </si>
  <si>
    <t>drawing copy spar</t>
  </si>
  <si>
    <t>drawing copy HBL</t>
  </si>
  <si>
    <t>drawing copy al-kakram</t>
  </si>
  <si>
    <t>rikshaw fare from jpmc to office welding plant and grinder</t>
  </si>
  <si>
    <t>sufyan for august 17</t>
  </si>
  <si>
    <t>paid for indus radiology LED lights, 200,000 chq and cash 4550</t>
  </si>
  <si>
    <t>tea bags, mineral water and photocopy fruit for bilal bhai</t>
  </si>
  <si>
    <t>ebm</t>
  </si>
  <si>
    <t>rikshaw fare</t>
  </si>
  <si>
    <t>shahid painter for august 17</t>
  </si>
  <si>
    <t>mobile balance mhr</t>
  </si>
  <si>
    <t>mobile balance khaadi packasgea</t>
  </si>
  <si>
    <t>cash received from amjad bhai</t>
  </si>
  <si>
    <t>cash paid to javaid shb for pump repairing at bank al-falah head officed</t>
  </si>
  <si>
    <t>jahangeer for august 17</t>
  </si>
  <si>
    <t>mineral water 2 bottle security paid</t>
  </si>
  <si>
    <t>reshid boy claimed fuel for going kaytees for purchased insulation for indus</t>
  </si>
  <si>
    <t>cash sent thru zeeshan rashid boy</t>
  </si>
  <si>
    <t xml:space="preserve">khaadi packages </t>
  </si>
  <si>
    <t>return ticket for bilal bhai</t>
  </si>
  <si>
    <t>news paper bill for july 17</t>
  </si>
  <si>
    <t>mehmood for august 17</t>
  </si>
  <si>
    <t>purchased material for EBM 4th flooor</t>
  </si>
  <si>
    <t>rikshaw fare form offce to jpmc</t>
  </si>
  <si>
    <t>purchased difference vouchers</t>
  </si>
  <si>
    <t>fuel claimed at mhr p ersonal</t>
  </si>
  <si>
    <t>purcahsed  raig maal</t>
  </si>
  <si>
    <t>paid charity</t>
  </si>
  <si>
    <t>jhaaroo for office</t>
  </si>
  <si>
    <t>mineral water book purchased</t>
  </si>
  <si>
    <t>salman cladding</t>
  </si>
  <si>
    <t>cash paid at indus radiology</t>
  </si>
  <si>
    <t>paid for suzuki fare from office to jpmc</t>
  </si>
  <si>
    <t>office expenses for 3 days lunch. Biskuits, bilal bhai fruit, sink pipe, every day, green tea, mineral water for office.</t>
  </si>
  <si>
    <t>shopper and cleaning brush purchased</t>
  </si>
  <si>
    <t>khalid for august 2017</t>
  </si>
  <si>
    <t>cement and other items</t>
  </si>
  <si>
    <t>khan brothers</t>
  </si>
  <si>
    <t>paid to khan brothers by order bilal habib</t>
  </si>
  <si>
    <t>paid for pakistan engg council</t>
  </si>
  <si>
    <t>energy saver and holder for office kitchen</t>
  </si>
  <si>
    <t>cash for motor at malik sahb</t>
  </si>
  <si>
    <t>fitting, sanitary items , soloution, taflon tape for kumail younus</t>
  </si>
  <si>
    <t>office expenses for 2 days lunch. Biskuits, bilal bhai fruit,tea bags, sabzi tea, room spray medicine</t>
  </si>
  <si>
    <t>purcahed cloth for indus radiology, fuel parking and labour for cloth</t>
  </si>
  <si>
    <t>misc expenses/purchases for MHR home</t>
  </si>
  <si>
    <t>kamran auto for august ssalary adv</t>
  </si>
  <si>
    <t>two tender purchased from Y.H associates one for 15,000 and another 10,000</t>
  </si>
  <si>
    <t>main gate lock, mineral water, cell, lunch for sir rehman, office staff and 1st floor electric workers</t>
  </si>
  <si>
    <t>bilal bhai child Shaaf fees paid for august 17</t>
  </si>
  <si>
    <t>cement</t>
  </si>
  <si>
    <t>mark sheet plastic cooting (abdur rehman)</t>
  </si>
  <si>
    <t>tender photocopy falcon mall and johar buikding BOQ</t>
  </si>
  <si>
    <t>claimed fuel at EBM</t>
  </si>
  <si>
    <t>duplicate 60 key, chart for nadeem bhai 100, lassi 240, cigratte 150, sabzi for rehman sh 70</t>
  </si>
  <si>
    <t>karosine oil, brush, cotto, etc</t>
  </si>
  <si>
    <t>paid for misc expenses</t>
  </si>
  <si>
    <t>claimed misx expesnes at MHR home</t>
  </si>
  <si>
    <t>rehman sb and office lunch, soup</t>
  </si>
  <si>
    <t>rehman shb</t>
  </si>
  <si>
    <t>cash paid for misc expenses</t>
  </si>
  <si>
    <t>imran office for september 17</t>
  </si>
  <si>
    <t>cash for spar</t>
  </si>
  <si>
    <t>Gulfam</t>
  </si>
  <si>
    <t>for tahiri masjid</t>
  </si>
  <si>
    <t>every day, tea and mineral water</t>
  </si>
  <si>
    <t>easy paisa sent by sher lala</t>
  </si>
  <si>
    <t>for september 17</t>
  </si>
  <si>
    <t>lunch for two days for sir rehman and office boys,  fruit for bilal bhai</t>
  </si>
  <si>
    <t>cable tie and tax challans tcs</t>
  </si>
  <si>
    <t>photocopy tax challan and spar submittal and a4 rim</t>
  </si>
  <si>
    <t>cigratte for bilal bhai 150</t>
  </si>
  <si>
    <t>cash received from bilal</t>
  </si>
  <si>
    <t>surf, tea, biskuits</t>
  </si>
  <si>
    <t>misc office expenses by bakhti when I was in out of city</t>
  </si>
  <si>
    <t>Sir rehman</t>
  </si>
  <si>
    <t>mobile balance paid</t>
  </si>
  <si>
    <t>paid for khurpi</t>
  </si>
  <si>
    <t>purchased khurpi by omar</t>
  </si>
  <si>
    <t>claimed fuel for Y.H, SEM, Ak shamim, tube traders</t>
  </si>
  <si>
    <t>kamran for sept 17</t>
  </si>
  <si>
    <t>claimed fuel at burhani mehal</t>
  </si>
  <si>
    <t xml:space="preserve">lunch for two days 220, tissue papers, every day tea bags photocopy office files </t>
  </si>
  <si>
    <t>for khadi packages mall misc ep</t>
  </si>
  <si>
    <t>misc expenses at tahiri masjid</t>
  </si>
  <si>
    <t>for zilver items purchasing</t>
  </si>
  <si>
    <t>paid for tahri masjid</t>
  </si>
  <si>
    <t>cash to nadeem for salary adv</t>
  </si>
  <si>
    <t>rehan printer refills and drum change</t>
  </si>
  <si>
    <t xml:space="preserve">purcahsed material for efu </t>
  </si>
  <si>
    <t>sir rehman's driver 17 days salary paid</t>
  </si>
  <si>
    <t>ashraf suzuki</t>
  </si>
  <si>
    <t>paid for nasir colony trip</t>
  </si>
  <si>
    <t>azaad</t>
  </si>
  <si>
    <t>paid for misc expenses at jpmc</t>
  </si>
  <si>
    <t>Amir Pes</t>
  </si>
  <si>
    <t>cash paid for drawings copy and 50 fuel claimed JPMC</t>
  </si>
  <si>
    <t>lunch for three days, mineral water, biskuits, etc</t>
  </si>
  <si>
    <t>paid at gul ahmed 23d</t>
  </si>
  <si>
    <t>salary taken (Efu boy naeem)</t>
  </si>
  <si>
    <t>salary taken (JPMC boy shahbaz)</t>
  </si>
  <si>
    <t>for pipe and bend for electric work</t>
  </si>
  <si>
    <t>paid mhr 30161 and office bills 19181</t>
  </si>
  <si>
    <t>claimed fuel for invoice dropping invoice for al-karam</t>
  </si>
  <si>
    <t>purchased thermostat for tahiri mosque</t>
  </si>
  <si>
    <t>paid for rikshaw fare from islamuddin to center point for insulation</t>
  </si>
  <si>
    <t>misc exp</t>
  </si>
  <si>
    <t>cash paid for nasir colony</t>
  </si>
  <si>
    <t>Gulfam for september 17</t>
  </si>
  <si>
    <t>paid to ahmed for sabzi at mhr home by ordered rehana aunty</t>
  </si>
  <si>
    <t>cash for paint (red oxide + karosine oil)</t>
  </si>
  <si>
    <t>salaman cladding</t>
  </si>
  <si>
    <t>paid for silver tape at gul ahmad 23rd floor.</t>
  </si>
  <si>
    <t>purchased misc items at spar i.e: solution</t>
  </si>
  <si>
    <t>paid to close his account</t>
  </si>
  <si>
    <t>loan to office</t>
  </si>
  <si>
    <t>nadeem bhai salary advance</t>
  </si>
  <si>
    <t>nadeem painter salary advance</t>
  </si>
  <si>
    <t>purchased material from gizri for efu site</t>
  </si>
  <si>
    <t>abbas plumber salary adv</t>
  </si>
  <si>
    <t>kashif</t>
  </si>
  <si>
    <t>green tea, soup, lunch, tea, biskuit for two days</t>
  </si>
  <si>
    <t>mehmood for oct 17</t>
  </si>
  <si>
    <t>for september 17 tea exp</t>
  </si>
  <si>
    <t>paid for misc expenses at tahiri masjid</t>
  </si>
  <si>
    <t>received from huzaifa</t>
  </si>
  <si>
    <t>photocopy jpmc submittal</t>
  </si>
  <si>
    <t>purchased disc and tapes at efu</t>
  </si>
  <si>
    <t xml:space="preserve">mobile balance </t>
  </si>
  <si>
    <t>claimed mic vouchers</t>
  </si>
  <si>
    <t>paid ssgc biil for sept 17</t>
  </si>
  <si>
    <t>paid rashid by order nadeem bhai</t>
  </si>
  <si>
    <t>paid for misc purhcaeing at efu</t>
  </si>
  <si>
    <t>clamp purchased at efu</t>
  </si>
  <si>
    <t>material purcahsed at hyperstar</t>
  </si>
  <si>
    <t>sufyan for sept 17</t>
  </si>
  <si>
    <t>jahangeer for sept 17</t>
  </si>
  <si>
    <t>ticket for bilal bhai</t>
  </si>
  <si>
    <t>kashif for sept 17</t>
  </si>
  <si>
    <t>lunch, every day, biskuit, chaat, towel cleaning, mortein spray, for two days</t>
  </si>
  <si>
    <t>kamran auto salary adv for sept 17</t>
  </si>
  <si>
    <t>abbas for sept 17 paid by imran engg</t>
  </si>
  <si>
    <t>cash paid at tibbet sent cash sent thru omar</t>
  </si>
  <si>
    <t>memom group utilities bills paid</t>
  </si>
  <si>
    <t>paid mossi salary for sept 17</t>
  </si>
  <si>
    <t>for fire alarm remaining balance and wire at indua radiology</t>
  </si>
  <si>
    <t>for cement purchaed at 1st floor office renovaion</t>
  </si>
  <si>
    <t>biskuit and cigrate for major jalal</t>
  </si>
  <si>
    <t>bakhtiar salary for sept 17</t>
  </si>
  <si>
    <t>bakhriar 3 car wash for two months, huzaifa car, nadeem bhai car, rehman shb car, bilal bhai car</t>
  </si>
  <si>
    <t>rawal bolt for 1st floor</t>
  </si>
  <si>
    <t>disc</t>
  </si>
  <si>
    <t>office usb purchased by imran off</t>
  </si>
  <si>
    <t>photocopy indus radiology</t>
  </si>
  <si>
    <t>cash sent thru nadeem painter</t>
  </si>
  <si>
    <t>usb for huzaifa</t>
  </si>
  <si>
    <t>cash for uncle shamim</t>
  </si>
  <si>
    <t>cash rikshaw fare</t>
  </si>
  <si>
    <t>two days office exp including lunch, biskuit, tezab, every day and tea bags</t>
  </si>
  <si>
    <t>club sandwich nasir bhai</t>
  </si>
  <si>
    <t>umer claimed conveyance for nasir colony</t>
  </si>
  <si>
    <t>zinger burger and cold drink for farukh zara</t>
  </si>
  <si>
    <t>cash remained from salarles</t>
  </si>
  <si>
    <t>cash received from huzaifa huzaifa didn’t took his salary salary will review</t>
  </si>
  <si>
    <t>purcahsed tape for EFU</t>
  </si>
  <si>
    <t>Tahiri masjid</t>
  </si>
  <si>
    <t>paid charity to haneef's Boy which was died in road accident</t>
  </si>
  <si>
    <t>paid to salary adv to haneef boy 5000</t>
  </si>
  <si>
    <t>cash for profile print, spriral binding, chips, fuel puncture</t>
  </si>
  <si>
    <t>purchased pipe for 1st floor</t>
  </si>
  <si>
    <t>jpmc submital copy</t>
  </si>
  <si>
    <t>for electric item</t>
  </si>
  <si>
    <t>two days office exp including lunch, wash room sandle, soup, shopper</t>
  </si>
  <si>
    <t>misc purchasing at efu</t>
  </si>
  <si>
    <t>shaheryar for october 17</t>
  </si>
  <si>
    <t>cash for spar purchaseing</t>
  </si>
  <si>
    <t>cash for purchaseing</t>
  </si>
  <si>
    <t>DIB  #</t>
  </si>
  <si>
    <t>MCB chq #</t>
  </si>
  <si>
    <t>huzaifa ourchased dry bond and other items from gizri</t>
  </si>
  <si>
    <t>ufone super card</t>
  </si>
  <si>
    <t>cash for zaid factory</t>
  </si>
  <si>
    <t>kunna for bilal bhai</t>
  </si>
  <si>
    <t>WTC</t>
  </si>
  <si>
    <t>paid 2000 for maintenance</t>
  </si>
  <si>
    <t>for charity</t>
  </si>
  <si>
    <t>hussain for oct 17</t>
  </si>
  <si>
    <t>cash paid to his for settlement of his leaves</t>
  </si>
  <si>
    <t xml:space="preserve">used sop rent </t>
  </si>
  <si>
    <t>paid for mhr</t>
  </si>
  <si>
    <t>used waris salary</t>
  </si>
  <si>
    <t>cash for drawings print, khaadi, al-karam, indus, jpmc</t>
  </si>
  <si>
    <t>office 2 days expenses, lunch, tea, tissue, biskuit, A4 rim easy paisa, cell , shampoo, sandal</t>
  </si>
  <si>
    <t>Tiles boy</t>
  </si>
  <si>
    <t>dry bond 15 boxes + riksahw fare for 1st floor</t>
  </si>
  <si>
    <t>material for 1st floor</t>
  </si>
  <si>
    <t>purchased tiles</t>
  </si>
  <si>
    <t>to zulfiquar ftc oct 17</t>
  </si>
  <si>
    <t>misc expenses at spar</t>
  </si>
  <si>
    <t>office file, sugar, mineral water, green tea, lunch, and lunch for milton shampoo</t>
  </si>
  <si>
    <t>paid for suzuki fare for material shifting from office</t>
  </si>
  <si>
    <t>imran office computer windows 7 and other softwares intalled from hitech communication dha ph 2</t>
  </si>
  <si>
    <t>paid to suzuki fare for sifting of material from office to nasir colony</t>
  </si>
  <si>
    <t>paid to gulfam for october 2017 salary</t>
  </si>
  <si>
    <t>cash for conveyance from spar to us trader then office</t>
  </si>
  <si>
    <t>sufyan for october 17</t>
  </si>
  <si>
    <t>paid for material shifting from ZMV to office</t>
  </si>
  <si>
    <t>paid for 1st floor cleaning</t>
  </si>
  <si>
    <t xml:space="preserve">rikshaw fare and fuel claimed for allied engg, ikram mughal and bank </t>
  </si>
  <si>
    <t>3 days office expenses, lunch, every day, photocopy, lunch for habib shb guest, paid to mossi for 1sy floor cleaning etc ect</t>
  </si>
  <si>
    <t>paid for rikshaw fare for ladder shifting from indus to gizri.</t>
  </si>
  <si>
    <t>purchased light for indus radiology</t>
  </si>
  <si>
    <t>for channel patti</t>
  </si>
  <si>
    <t>iftikhar for salary adv for october 17</t>
  </si>
  <si>
    <t>for drawings copy</t>
  </si>
  <si>
    <t>given to rehana rehman for shop rent</t>
  </si>
  <si>
    <t>received from chase receiving</t>
  </si>
  <si>
    <t>paid for misc item haji store and others</t>
  </si>
  <si>
    <t>lunch for madam ghazala rehman, shb, bilal nadeem mustafa advance</t>
  </si>
  <si>
    <t>paid for zaid bashir villa</t>
  </si>
  <si>
    <t>mehmood salary adv for october 17</t>
  </si>
  <si>
    <t>kamran auto for oct</t>
  </si>
  <si>
    <t>lunch for noman engg</t>
  </si>
  <si>
    <t xml:space="preserve">suzuki fare from spar to office </t>
  </si>
  <si>
    <t>submiital shifting from YH to office, rikshaw fare 220, parking 40 fuel 140</t>
  </si>
  <si>
    <t>paid to tile boy at 1st floor</t>
  </si>
  <si>
    <t>cash for 1st floor fans and other materials</t>
  </si>
  <si>
    <t>umer office</t>
  </si>
  <si>
    <t>for office petty exp</t>
  </si>
  <si>
    <t>loan to moosi</t>
  </si>
  <si>
    <t>misc office expenses by bakhti in office e.g lunch, kitchen expenses, soap tea, photcopy etc etc</t>
  </si>
  <si>
    <t>rikshaw fare for submittal yh</t>
  </si>
  <si>
    <t>paid mhr 24303 &amp; office 16458</t>
  </si>
  <si>
    <t>children fees</t>
  </si>
  <si>
    <t>Two DIB  chq cash chq # 1   01548610    chq # 01548609</t>
  </si>
  <si>
    <t>file spacer and lunch</t>
  </si>
  <si>
    <t>purcahsed hilti bid for jpmc and claimed fuel for indus and jpmc</t>
  </si>
  <si>
    <t>paid at ebm 1000   nueplex 1500</t>
  </si>
  <si>
    <t>for office exp</t>
  </si>
  <si>
    <t>DIB  chq#   01548613</t>
  </si>
  <si>
    <t>cash paid to bilal for charity purpose</t>
  </si>
  <si>
    <t>paid for DSRA membership card</t>
  </si>
  <si>
    <t>cash for oil</t>
  </si>
  <si>
    <t xml:space="preserve">cash for indus radiology </t>
  </si>
  <si>
    <t>cash for material purchased</t>
  </si>
  <si>
    <t>purchased material for kumail shb site electric geyser</t>
  </si>
  <si>
    <t>misc office exp from 23 oct to 26 oct</t>
  </si>
  <si>
    <t>Noman Engg</t>
  </si>
  <si>
    <t>cash paid for generator oil and labour</t>
  </si>
  <si>
    <t>claimed conveyance charges for meeting attend several times and one super mobile ufone card worth 600/-</t>
  </si>
  <si>
    <t>for zahabia duct sealent</t>
  </si>
  <si>
    <t>petty cash for indus site (gasket and nut bolt)</t>
  </si>
  <si>
    <t>claimed fuel for bolten market (gasket)</t>
  </si>
  <si>
    <t>claimed fuel for Y.H for submittal, JPMC for material, Allied for recovery &amp; SMC for drawing</t>
  </si>
  <si>
    <t>Javaid pump</t>
  </si>
  <si>
    <t>cash to khalid for purchase for taflon tape, disc, rubber tube, rikshaw fare, cup and tea, and claimed fuel for misc site rs. 500</t>
  </si>
  <si>
    <t>rikshaw fare from indus to office</t>
  </si>
  <si>
    <t>Zaid bashir villa receiving</t>
  </si>
  <si>
    <t>petty cash for nasir colony by order nadeem bhai</t>
  </si>
  <si>
    <t>given to omar office for misc expenses will give invoices</t>
  </si>
  <si>
    <t>claimend fuel at FTC site</t>
  </si>
  <si>
    <t>tickets for lahore  (Abbas &amp; iftikhar)</t>
  </si>
  <si>
    <t>material for nue plex cinema</t>
  </si>
  <si>
    <t>childred foundation at abbasi shaheed tender</t>
  </si>
  <si>
    <t>cash for JPMC towel, rod, coat hook and other accessories will give invoices</t>
  </si>
  <si>
    <t>kashif for oct 17  by order imran engg</t>
  </si>
  <si>
    <t>shaheryar for oct 17 by order imran engg</t>
  </si>
  <si>
    <t>paid for bank al-falah pump repairing &amp; service balance remaining Rs 10,000</t>
  </si>
  <si>
    <t>paid for computers will give invoices</t>
  </si>
  <si>
    <t>cash sent thru ali khalid for cinema material purchasing will give on invoices</t>
  </si>
  <si>
    <t>petty cash for naveed villa by order nadeem bhai will give invoices</t>
  </si>
  <si>
    <t xml:space="preserve">paid for generator new battery and labour </t>
  </si>
  <si>
    <t>kamran autocad for oct-17</t>
  </si>
  <si>
    <t>petty cash for indus site set thru kamran</t>
  </si>
  <si>
    <t>cash for material at jpmc</t>
  </si>
  <si>
    <t>DIB chq # 01596105</t>
  </si>
  <si>
    <t>cash paid for material</t>
  </si>
  <si>
    <t>new emplopyee asad puchased internet wifii dongle usb</t>
  </si>
  <si>
    <t>rashid claimed suzuki fare from nadeem bhao home to office for AC shifting</t>
  </si>
  <si>
    <t>paid for petty cash at indus</t>
  </si>
  <si>
    <t>purchased jhaaro for office</t>
  </si>
  <si>
    <t>cash paid for drawing copy</t>
  </si>
  <si>
    <t>cash paid for purchaseing</t>
  </si>
  <si>
    <t>cash haneef for office wash room comode repair</t>
  </si>
  <si>
    <t>paid at nue plex multi</t>
  </si>
  <si>
    <t>for sadqa and donation to eidhi &amp; sailani</t>
  </si>
  <si>
    <t>misc office expenses from 28 oct to 31 oct lunch, photocopy every day teabag and other misc items</t>
  </si>
  <si>
    <t>cash to rashid boy</t>
  </si>
  <si>
    <t>cash paid  will give invoices</t>
  </si>
  <si>
    <t>cash for purchasing</t>
  </si>
  <si>
    <t>rawal bolt purchased  at spar</t>
  </si>
  <si>
    <t>DIB chq # 01596108</t>
  </si>
  <si>
    <t>paid for sailani and eidhi remaining balance</t>
  </si>
  <si>
    <t>paid for mineral water for 20 bottles</t>
  </si>
  <si>
    <t>purchased shopper for office</t>
  </si>
  <si>
    <t>minahil</t>
  </si>
  <si>
    <t>paid for nut bolt purchased 1650</t>
  </si>
  <si>
    <t>cash for burhani mehal purchasing will return invoices</t>
  </si>
  <si>
    <t>cash for drawings print for new multiplex (tender drawing 1260 &amp; shop drawing 3800)</t>
  </si>
  <si>
    <t>purcashed hilti</t>
  </si>
  <si>
    <t>suzuki fare from saddar to office</t>
  </si>
  <si>
    <t>claimed fuel 100 for AC 1st floor</t>
  </si>
  <si>
    <t>Received from bilal bhai as chaseup advance</t>
  </si>
  <si>
    <t>cash for kumail home</t>
  </si>
  <si>
    <t>extra cash hold with kamran auto for drawings</t>
  </si>
  <si>
    <t>cash paid for material and fittings purcahsed at burhani mehal</t>
  </si>
  <si>
    <t>paid to khalid for nov 17</t>
  </si>
  <si>
    <t>paid for spray</t>
  </si>
  <si>
    <t>Khurram</t>
  </si>
  <si>
    <t>paid mossi salary for oct 17</t>
  </si>
  <si>
    <t>paid for tarjuma ul quran magazine charges</t>
  </si>
  <si>
    <t>ufone super plus card</t>
  </si>
  <si>
    <t xml:space="preserve">purcahsed grinding machine for nue multi </t>
  </si>
  <si>
    <t>paid khurram as zakar by order nadeem bhai, this zakat will charged on next year</t>
  </si>
  <si>
    <t>clock cell, bora and chola chaat for riaz uncle</t>
  </si>
  <si>
    <t>SSGC bill</t>
  </si>
  <si>
    <t xml:space="preserve">misc office expenses from 2-nov 17 to 4 nov 17 e.g lunch, tea bags, every day milk, photocopies, </t>
  </si>
  <si>
    <t>charity biryani at nue multi plex</t>
  </si>
  <si>
    <t>paid to saqib ismail for oct 17</t>
  </si>
  <si>
    <t>paid  by order nadeem bhai</t>
  </si>
  <si>
    <t>paid charity to mehmood  by order bilal</t>
  </si>
  <si>
    <t>paid suzuki fare to ashraf by order nadeem</t>
  </si>
  <si>
    <t>paid MHR ssgc bill</t>
  </si>
  <si>
    <t>purcchsed a4 rim paper for printer</t>
  </si>
  <si>
    <t>purchasing at kumail younus</t>
  </si>
  <si>
    <t>for nue plex purchasing</t>
  </si>
  <si>
    <t>claimed fuel at jomc</t>
  </si>
  <si>
    <t>cash for nasir colony he will return invoices</t>
  </si>
  <si>
    <t>DIB chq # 01596115</t>
  </si>
  <si>
    <t>paid for octiber 2017 tea expenses</t>
  </si>
  <si>
    <t>Khaadi L Block</t>
  </si>
  <si>
    <t>Quyyum salary</t>
  </si>
  <si>
    <t>cash remained after salary</t>
  </si>
  <si>
    <t>paid for lunch he will return</t>
  </si>
  <si>
    <t>paid to umer office for office petty cash</t>
  </si>
  <si>
    <t>paid to bilal bhaii for material</t>
  </si>
  <si>
    <t>16 days and 26 hours overtime @ Rs 28000/months</t>
  </si>
  <si>
    <t>for material at 1st flooor channel patti</t>
  </si>
  <si>
    <t>paid for monthly tea &amp; Sunday lunch exp</t>
  </si>
  <si>
    <t>minhaal</t>
  </si>
  <si>
    <t>services charges for cash transfer to  khaadi L block for material</t>
  </si>
  <si>
    <t>claimed fuel for iqbal sons and Y.H</t>
  </si>
  <si>
    <t>for lunch for his staff</t>
  </si>
  <si>
    <t>copy zeelaf drwing</t>
  </si>
  <si>
    <t>squash tape for office</t>
  </si>
  <si>
    <t>Y.H sample collect &amp; parking</t>
  </si>
  <si>
    <t>ikram mughal &amp; SMC &amp; parking</t>
  </si>
  <si>
    <t xml:space="preserve">bike 02 puncture  </t>
  </si>
  <si>
    <t>office to arif shah, arif shah to office, office to FND, FND to ikram mughal, ikram mughal to bank (for huzaifa salary submit) and efu for bill subitt  &amp; parking</t>
  </si>
  <si>
    <t>waris salary for Oct 17 at burhani mehal</t>
  </si>
  <si>
    <t>waris salary for Oct 17 at Kumail bhai</t>
  </si>
  <si>
    <t>purchased electric channel and other fittings</t>
  </si>
  <si>
    <t>owais salary increased Rs 2000</t>
  </si>
  <si>
    <t>cash hold with awais for material at ebm</t>
  </si>
  <si>
    <t>cash to awais for material at ebm and fuel claimed</t>
  </si>
  <si>
    <t>Omar office</t>
  </si>
  <si>
    <t>bilal bhai car wash 1000, nadeem bhai 700, sir rehman 500</t>
  </si>
  <si>
    <t>jpmc submittal and copy</t>
  </si>
  <si>
    <t>everyday milk powder &amp; sugar</t>
  </si>
  <si>
    <t>lunch for 2 days 6- nov and 7 november</t>
  </si>
  <si>
    <t>biskuit for bilal guest</t>
  </si>
  <si>
    <t>give to bilal bhai Rs 10 ki gaddi for charity at nue plex</t>
  </si>
  <si>
    <t>DIB chq # 01596124</t>
  </si>
  <si>
    <t>cash paid for purchasing for testing of pump 60 bar and disc  5" &amp; 14"</t>
  </si>
  <si>
    <t xml:space="preserve">cash taken from shop rent </t>
  </si>
  <si>
    <t>for petty cash at indus</t>
  </si>
  <si>
    <t>misc purchasing at nue plex</t>
  </si>
  <si>
    <t xml:space="preserve">lunch for 8-11 16  </t>
  </si>
  <si>
    <t xml:space="preserve">buskuits                  </t>
  </si>
  <si>
    <t>every day milk</t>
  </si>
  <si>
    <t>lunch for 9-11-17</t>
  </si>
  <si>
    <t>gurr+box file + suger</t>
  </si>
  <si>
    <t>Tissue  3 boxes</t>
  </si>
  <si>
    <t>lunch for 10-11-17</t>
  </si>
  <si>
    <t>cash for drawings multi nue plex and jpmc</t>
  </si>
  <si>
    <t xml:space="preserve">rikshaw fare from mungo to office </t>
  </si>
  <si>
    <t>fuel claimed for nue plex sitre visit</t>
  </si>
  <si>
    <t>fuel claimed for TRG for blll, and Korangi</t>
  </si>
  <si>
    <t>photocopy &amp; color copy and binding PEC</t>
  </si>
  <si>
    <t>huzaifa mother mobile balance</t>
  </si>
  <si>
    <t>5 days talha salary at EBM @ Rs 18000</t>
  </si>
  <si>
    <t>7 days haroon salary at ebm @ Rs 12000</t>
  </si>
  <si>
    <t>nadeem bhai mobile balance</t>
  </si>
  <si>
    <t>shabbir bros</t>
  </si>
  <si>
    <t>purchased fittings at naveed malik villa</t>
  </si>
  <si>
    <t>petty cash for EBM by order nadeem bhai</t>
  </si>
  <si>
    <t>DIB chq # 01596131</t>
  </si>
  <si>
    <t>purchased net usb router for shamim haider computer</t>
  </si>
  <si>
    <t>purchasd samosay and tea for major jalal</t>
  </si>
  <si>
    <t>claimed suzuki fare for ladder purchased at Nuemultiplex</t>
  </si>
  <si>
    <t>mossi kousar</t>
  </si>
  <si>
    <t>paid for 1st floor cleaning purpose</t>
  </si>
  <si>
    <t>electric item channel patti</t>
  </si>
  <si>
    <t>petty cash for jpmc, he will return invoices</t>
  </si>
  <si>
    <t>petty cash for spar, he will return invoices</t>
  </si>
  <si>
    <t>Sheroz engg</t>
  </si>
  <si>
    <t>paid cash at zaid factory</t>
  </si>
  <si>
    <t>paid to yaseen shabbir brothers for cycrometer for indus and 2 way motorized valve for kumail villa</t>
  </si>
  <si>
    <t>safran helper salary paid at jpmc</t>
  </si>
  <si>
    <t>cash paid for car oil change</t>
  </si>
  <si>
    <t>lunch for 11-11017</t>
  </si>
  <si>
    <t>paid conveyance</t>
  </si>
  <si>
    <t>soup</t>
  </si>
  <si>
    <t>biskuits</t>
  </si>
  <si>
    <t>every day</t>
  </si>
  <si>
    <t>jhaaro for 1st floor</t>
  </si>
  <si>
    <t>lunch for 13-11-17</t>
  </si>
  <si>
    <t>cell and steel keeel</t>
  </si>
  <si>
    <t>lunch for 14-11-17</t>
  </si>
  <si>
    <t>a 4 paper rim purchaed</t>
  </si>
  <si>
    <t>DIB chq # 01596</t>
  </si>
  <si>
    <t>petty cash to huzaifa for jpmc</t>
  </si>
  <si>
    <t>sajjad ftc salary increased rs 1000</t>
  </si>
  <si>
    <t>purchased floor waste jaali sample for spar for sample for approval.</t>
  </si>
  <si>
    <t>claimed conveyance and fuel charges from november 1st to 15th november  for various times for meeting attende</t>
  </si>
  <si>
    <t>claimed fuel Rs 200 for naveed malik villa t o market several times</t>
  </si>
  <si>
    <t>paid for cable tie and flexible connector for chiller safety valve at efu he will return invoices</t>
  </si>
  <si>
    <t>jazz mobile balance</t>
  </si>
  <si>
    <t>aunty relative ufone super card</t>
  </si>
  <si>
    <t>talha</t>
  </si>
  <si>
    <t>purchased electric items</t>
  </si>
  <si>
    <t>indus radiology drawings</t>
  </si>
  <si>
    <t>indus CCH drawings</t>
  </si>
  <si>
    <t>paid for witribe bill</t>
  </si>
  <si>
    <t>paid for suzuki fare from iqbal to nueplex</t>
  </si>
  <si>
    <t>kamran computer rapair charges</t>
  </si>
  <si>
    <t>for stapler and punch machine</t>
  </si>
  <si>
    <t>suger rs 70,</t>
  </si>
  <si>
    <t>lunch for 15-11-17</t>
  </si>
  <si>
    <t>lunch for 16-11-17</t>
  </si>
  <si>
    <t>biskuit</t>
  </si>
  <si>
    <t>claimed rikshaw fare from office to zaid factory (mungo material)</t>
  </si>
  <si>
    <t>plug purchased for PABX system</t>
  </si>
  <si>
    <t>lunch for 17-11-17</t>
  </si>
  <si>
    <t>miqdad and zainab shabbir photocopy</t>
  </si>
  <si>
    <t>ahmed for october 17</t>
  </si>
  <si>
    <t>Rs 50 hold with imran</t>
  </si>
  <si>
    <t>purchased harpic for 1st floor</t>
  </si>
  <si>
    <t>lunch 20-11-17</t>
  </si>
  <si>
    <t>bilal cigratee</t>
  </si>
  <si>
    <t>claimed fuel for Wi tribe bill submitt, 1 time bank, 1 time matrix and ASA</t>
  </si>
  <si>
    <t>lunch for 21-11-17</t>
  </si>
  <si>
    <t>cash paid by ordered nadeem bhai</t>
  </si>
  <si>
    <t>for check valave for spar, MS fittings, pipe nipples socket barrrel nipple  CI flang, suzuki fare from golimar to spar,</t>
  </si>
  <si>
    <t>suzuki fare from golimar to spar for material shifting</t>
  </si>
  <si>
    <t>claimed fuel, 2 times gizri, 3 times bank, office to SEM, sem to golimar to office</t>
  </si>
  <si>
    <t>UHU purchased  for office</t>
  </si>
  <si>
    <t>lunch for bilal bhai guest</t>
  </si>
  <si>
    <t>cash for rikshaw fare and other items he will returned invoices</t>
  </si>
  <si>
    <t>bank charges Rs 125 for ibrahim shershah tranfer cash</t>
  </si>
  <si>
    <t>hussain mamu for November 17 by order huzzaifa</t>
  </si>
  <si>
    <t>data cable for bilal bhai</t>
  </si>
  <si>
    <t>chaat for nadeem bhai</t>
  </si>
  <si>
    <t xml:space="preserve">sugar </t>
  </si>
  <si>
    <t>kamran ali akber for november 17</t>
  </si>
  <si>
    <t>cash for naveed malik by order   imran enmgg</t>
  </si>
  <si>
    <t>cash paid for efu cable tie</t>
  </si>
  <si>
    <t>for box files and a4 rim carton</t>
  </si>
  <si>
    <t>DIB chq # 01596153</t>
  </si>
  <si>
    <t>cash for fisher and clips</t>
  </si>
  <si>
    <t>claimed fuel from office to gizri to spar to golimar to spar</t>
  </si>
  <si>
    <t>claimed fuel from office to golimar to shershah to spar</t>
  </si>
  <si>
    <t xml:space="preserve">claimed fuel from office to bolten to shershah to spar </t>
  </si>
  <si>
    <t>cash for misc expenses he will return invoices</t>
  </si>
  <si>
    <t>DIB chq # 01596160</t>
  </si>
  <si>
    <t>for spar fittings</t>
  </si>
  <si>
    <t>for rikshaw fare from iqbal to islamuddin</t>
  </si>
  <si>
    <t>glue purchased at nue plex</t>
  </si>
  <si>
    <t xml:space="preserve">old cash claimed for rikshaw fare from fakhri brother to jpmc for tape shiftings </t>
  </si>
  <si>
    <t>office mineral water 20 bottles book token purchased</t>
  </si>
  <si>
    <t>paid for home newpaper bill for october 17</t>
  </si>
  <si>
    <t>paid for copper pipe</t>
  </si>
  <si>
    <t>Ahmed ali</t>
  </si>
  <si>
    <t>zeelaf munir villa drawings for basement plan</t>
  </si>
  <si>
    <t>paid for drawings copy FHC pipe</t>
  </si>
  <si>
    <t>jpmc 6th floor drawings copy</t>
  </si>
  <si>
    <t>nue plex technical broucher copy</t>
  </si>
  <si>
    <t>cash received from utilities bill remaining amount</t>
  </si>
  <si>
    <t>DIB chq # 01596162</t>
  </si>
  <si>
    <t>paid utilities bill</t>
  </si>
  <si>
    <t>paid to Mr. Farhan Sahab</t>
  </si>
  <si>
    <t>claimed fuel for various times go to misc sites</t>
  </si>
  <si>
    <t xml:space="preserve">every day + cigreatte </t>
  </si>
  <si>
    <t xml:space="preserve">biskuit for bilal </t>
  </si>
  <si>
    <t>Tissue  2 boxes</t>
  </si>
  <si>
    <t>cold drink for bilal bhai guest on 22-11-17</t>
  </si>
  <si>
    <t>fruit + cigratte</t>
  </si>
  <si>
    <t>for sir rehmna photoc opy kitchen equipemt</t>
  </si>
  <si>
    <t>tabba 6th r bill copy</t>
  </si>
  <si>
    <t>for jpmc purchaseing by order nadeem bhai</t>
  </si>
  <si>
    <t>cash taken by order nadeem</t>
  </si>
  <si>
    <t>cloth for nuemulti pelx 18000 cloth, rikshaw fare 350, 100 labor Rs 100 fuel</t>
  </si>
  <si>
    <t>for 1st floor purchaseing he will return onvoices</t>
  </si>
  <si>
    <t>paid by order naddeem bhai</t>
  </si>
  <si>
    <t>cash  he has given invoices</t>
  </si>
  <si>
    <t>11/23/2017+A3484:F3A3484:F3509</t>
  </si>
  <si>
    <t>DIB chq # 01596133</t>
  </si>
  <si>
    <t xml:space="preserve">purcahsed fittings at nue plex </t>
  </si>
  <si>
    <t>file folder</t>
  </si>
  <si>
    <t>cash for file and stationery</t>
  </si>
  <si>
    <t xml:space="preserve">cash for welding rod 12" </t>
  </si>
  <si>
    <t>cash petty for jpmc</t>
  </si>
  <si>
    <t>claimed fuel from office to YH, office to FND to bolten market with parking</t>
  </si>
  <si>
    <t>paid for zeelaf drawing copy in A2 size</t>
  </si>
  <si>
    <t>talha for november 2017</t>
  </si>
  <si>
    <t>received from minhaal after nueplex and spar purchasing</t>
  </si>
  <si>
    <t>cash tranfers to huzaifa account</t>
  </si>
  <si>
    <t>cash for drawing copy indus CCH</t>
  </si>
  <si>
    <t>claimed zeelaf munir site charges</t>
  </si>
  <si>
    <t>claimed mobile charges from 16 Nov 2017 to 29 Novemver 2017</t>
  </si>
  <si>
    <t>paid for suzuki fare for furniture</t>
  </si>
  <si>
    <t>paid for suzuki fare for chairs</t>
  </si>
  <si>
    <t>mehmood for november 2017</t>
  </si>
  <si>
    <t>remaining cash received after DIB chq # 01596166</t>
  </si>
  <si>
    <t xml:space="preserve">cigratte for bilal bhai </t>
  </si>
  <si>
    <t>1 office file purchased low quality black</t>
  </si>
  <si>
    <t>for 1st floor purchasing</t>
  </si>
  <si>
    <t>for fans</t>
  </si>
  <si>
    <t>paid for therir worker lunch</t>
  </si>
  <si>
    <t>claimed fuel for misc site</t>
  </si>
  <si>
    <t>Shaheryar tabba</t>
  </si>
  <si>
    <t>claimed fuel for 2 times tabba to office then office to tabba</t>
  </si>
  <si>
    <t>cash taken for his personal, he will return this cash on Saturday</t>
  </si>
  <si>
    <t>cash for 1st floor purchaseing</t>
  </si>
  <si>
    <t>DIB chq # 01596169</t>
  </si>
  <si>
    <t>ali khalid for november 17</t>
  </si>
  <si>
    <t>for electric wire at bank -alfalah head office</t>
  </si>
  <si>
    <t>purcahsed A4 rim paper</t>
  </si>
  <si>
    <t>harpic, pocha and taizab</t>
  </si>
  <si>
    <t>brome jhaaro, and cleaning cloth</t>
  </si>
  <si>
    <t>cash taken he will return invoices</t>
  </si>
  <si>
    <t>pay omar for samosay</t>
  </si>
  <si>
    <t>cash for indus petty cash</t>
  </si>
  <si>
    <t>ufone mobile super card</t>
  </si>
  <si>
    <t>for bank alfalah head office cable purchased</t>
  </si>
  <si>
    <t>for office 1st floor electric items</t>
  </si>
  <si>
    <t>umer for biskuit</t>
  </si>
  <si>
    <t>photo copy bilal cnic</t>
  </si>
  <si>
    <t>paid for frust film a65 feet</t>
  </si>
  <si>
    <t>for phone sets pins</t>
  </si>
  <si>
    <t>phnyle surf</t>
  </si>
  <si>
    <t>harpic + soap</t>
  </si>
  <si>
    <t>umar 70 rupay ka kuch laya tha per usay yaad nahi kia laya tha</t>
  </si>
  <si>
    <t>gave bilal bhai for charity purpose</t>
  </si>
  <si>
    <t>mehmood for cutting of wood for exhaust fan</t>
  </si>
  <si>
    <t>rashid for welding at office</t>
  </si>
  <si>
    <t>pruchased channel patti, screw, and rawal plug</t>
  </si>
  <si>
    <t>for bank alfalah for isoltor by order nadeem bhai</t>
  </si>
  <si>
    <t>cash for kumail villa</t>
  </si>
  <si>
    <t>khalid for november 17</t>
  </si>
  <si>
    <t>for spar petty cash</t>
  </si>
  <si>
    <t>for spar purchasing</t>
  </si>
  <si>
    <t>cash for photocopy for khaadi packages mall</t>
  </si>
  <si>
    <t>2 cigratte pack</t>
  </si>
  <si>
    <t>paan for azeem</t>
  </si>
  <si>
    <t xml:space="preserve">green tea </t>
  </si>
  <si>
    <t>drawing for zeelaf</t>
  </si>
  <si>
    <t>kamran elec for office dinner rolls</t>
  </si>
  <si>
    <t>stapler pins and stapler pin remover clip</t>
  </si>
  <si>
    <t>office duplicate key make</t>
  </si>
  <si>
    <t>for bank alfalah by order nadeem</t>
  </si>
  <si>
    <t>lunch for sir rehman 4-dec</t>
  </si>
  <si>
    <t>lunch for sir rehman guest azeem buksh  3-dec</t>
  </si>
  <si>
    <t>labour paid for electric welding at rods at jpmc</t>
  </si>
  <si>
    <t>paid for AC outer angles purchased for 1st floor office</t>
  </si>
  <si>
    <t>pan for kamran, azeem and kamran doctor shb</t>
  </si>
  <si>
    <t>kamran elec for channel patti</t>
  </si>
  <si>
    <t>kamran ele purchased bit</t>
  </si>
  <si>
    <t>paid to minhal for fischer for nueplex</t>
  </si>
  <si>
    <t>faizan cctv</t>
  </si>
  <si>
    <t>paid for wire converter for LED</t>
  </si>
  <si>
    <t>petty cash for Zeelaf  by order nadeem bhai</t>
  </si>
  <si>
    <t>Daraz</t>
  </si>
  <si>
    <t>paid for duct bin</t>
  </si>
  <si>
    <t>cash taken for petty at jpmc</t>
  </si>
  <si>
    <t>cash for drawings for nue plex</t>
  </si>
  <si>
    <t>for fire extinguishers and safety belt</t>
  </si>
  <si>
    <t>cash for draings jpmc</t>
  </si>
  <si>
    <t>kamran auto for november 17</t>
  </si>
  <si>
    <t>shamim haider for november 17</t>
  </si>
  <si>
    <t>brush, spunch and dust scaper and 1 brome (jhaaroo)</t>
  </si>
  <si>
    <t>salary paid for november 17</t>
  </si>
  <si>
    <t>cash for nueplex for hilti bit &amp; u clamp</t>
  </si>
  <si>
    <t>for computers</t>
  </si>
  <si>
    <t>grean tea</t>
  </si>
  <si>
    <t>every days milk</t>
  </si>
  <si>
    <t>A4 printer pages</t>
  </si>
  <si>
    <t>Zeelaf</t>
  </si>
  <si>
    <t>tissues 2 boxes</t>
  </si>
  <si>
    <t>lassi for ali</t>
  </si>
  <si>
    <t xml:space="preserve">shopper </t>
  </si>
  <si>
    <t>lunch for sir rehman and his gueat mr azeem</t>
  </si>
  <si>
    <t>ahmed for drawing for zeelaf 1 set</t>
  </si>
  <si>
    <t>ahmed for drawing for zeelaf 3 set</t>
  </si>
  <si>
    <t>til waali mithai</t>
  </si>
  <si>
    <t>burger for kamran</t>
  </si>
  <si>
    <t>umar for car wash bilal bhai and nadeem bhai</t>
  </si>
  <si>
    <t>cash taken for stationery</t>
  </si>
  <si>
    <t xml:space="preserve">umar </t>
  </si>
  <si>
    <t>for rikshaw fare from spar to office</t>
  </si>
  <si>
    <t>rikshaw fare from office to zeelaf munir</t>
  </si>
  <si>
    <t>claimed fuel charges office to ZMV, office to spar, spar to office, then ZMV</t>
  </si>
  <si>
    <t>cash taken from Minhaal C/o bilal</t>
  </si>
  <si>
    <t>for drawing zeelaf munir</t>
  </si>
  <si>
    <t>for drawing nueplex</t>
  </si>
  <si>
    <t>ahmed for december 17</t>
  </si>
  <si>
    <t>zulfiquar salary adv for december</t>
  </si>
  <si>
    <t>cash for tea expenses at FTC site</t>
  </si>
  <si>
    <t>cash taken for SS purchaseing</t>
  </si>
  <si>
    <t>for bottle trap</t>
  </si>
  <si>
    <t>paid for mats</t>
  </si>
  <si>
    <t>DIB chq # 01596193</t>
  </si>
  <si>
    <t>two dongle usb internet router purchased 01 for talha and 1 for shamim haider</t>
  </si>
  <si>
    <t>faizan for december 17</t>
  </si>
  <si>
    <t>cash paid for nadeem bhai car battery and cut out</t>
  </si>
  <si>
    <t>cash for SS purchasing nut bolt cutting disc and welding rods</t>
  </si>
  <si>
    <t>paid for morten spray and paints</t>
  </si>
  <si>
    <t>for  dust bin</t>
  </si>
  <si>
    <t xml:space="preserve">rikshaw fare for fitting from miqdad to office </t>
  </si>
  <si>
    <t>for doctor and medicine</t>
  </si>
  <si>
    <t>cigratte</t>
  </si>
  <si>
    <t>mouse for computer</t>
  </si>
  <si>
    <t>glint spar for glass</t>
  </si>
  <si>
    <t>3 pin plug</t>
  </si>
  <si>
    <t xml:space="preserve">photo copy </t>
  </si>
  <si>
    <t>greean tea</t>
  </si>
  <si>
    <t>paid for welding rod at nuemultiplex and fuel for Y.h nueplex and bolten market</t>
  </si>
  <si>
    <t>fuel claimed for miqdad banglow and market</t>
  </si>
  <si>
    <t>cd purchased for antivirus</t>
  </si>
  <si>
    <t>furit for sir rehman</t>
  </si>
  <si>
    <t>rikshaw fare from office to nue multiplec for threading machine</t>
  </si>
  <si>
    <t>paid to bilal bhai for charity</t>
  </si>
  <si>
    <t>paid kamran elec for khaadi lahore 15 L</t>
  </si>
  <si>
    <t>witribe bill paid at site jpmc</t>
  </si>
  <si>
    <t>paid for cctv camera installation boy remaining balance</t>
  </si>
  <si>
    <t>office dinner for Nadeem bhai, rehan, noman, talha, faizan, nawaz, amir, minhaal &amp; omer for the night stay for indus tender filling</t>
  </si>
  <si>
    <t>cash taken from minhaal</t>
  </si>
  <si>
    <t>perwaz for december 17</t>
  </si>
  <si>
    <t>cd purchased for indus tender</t>
  </si>
  <si>
    <t xml:space="preserve">cash hold with minhaal </t>
  </si>
  <si>
    <t>paid for fire extingushers 2 DCP and 1 CO2</t>
  </si>
  <si>
    <t>envelop for indus hospital</t>
  </si>
  <si>
    <t>power cable for imran computer</t>
  </si>
  <si>
    <t>drawing  for jpmc</t>
  </si>
  <si>
    <t xml:space="preserve">coffee + soup + cigertaa + buskuit </t>
  </si>
  <si>
    <t>photo copy A3 size indus hpsipta; tender</t>
  </si>
  <si>
    <t>medicine for bilal bhai</t>
  </si>
  <si>
    <t>suger + drawing copy imran engg</t>
  </si>
  <si>
    <t>for fire extinguisers</t>
  </si>
  <si>
    <t>cash from imran off</t>
  </si>
  <si>
    <t>cash at jpmc</t>
  </si>
  <si>
    <t>cash by order bilal bhai</t>
  </si>
  <si>
    <t>cash for jpmc angle and rawal bilt</t>
  </si>
  <si>
    <t>riskaw fare from tube traders to spar</t>
  </si>
  <si>
    <t>paid at nuemulti</t>
  </si>
  <si>
    <t>cash taken from nadeem bhai</t>
  </si>
  <si>
    <t>cash paid, C/O bilal bhai</t>
  </si>
  <si>
    <t>nadeem bhai took salary dec 17 in advance</t>
  </si>
  <si>
    <t>Minhaal returned cash after purchasing of spar, jpmc &amp; nueplex</t>
  </si>
  <si>
    <t>cloth , glue fuel dinner &amp; breakfast</t>
  </si>
  <si>
    <t>claimed breakfast for night stay at efu site on 18 dec</t>
  </si>
  <si>
    <t>for kumail purchasing</t>
  </si>
  <si>
    <t>finalization payment</t>
  </si>
  <si>
    <t xml:space="preserve">paid for rehana rehman medical treatment </t>
  </si>
  <si>
    <t>everday and sugar</t>
  </si>
  <si>
    <t>tea bags370</t>
  </si>
  <si>
    <t>samosay for mr azeeem buksh</t>
  </si>
  <si>
    <t xml:space="preserve">3 box biskuits </t>
  </si>
  <si>
    <t>falcon, nueplex drawings copy</t>
  </si>
  <si>
    <t>5 pc disc 14" at nuemulti plex</t>
  </si>
  <si>
    <t xml:space="preserve">claimed fuel rs 1250 for misc site visit </t>
  </si>
  <si>
    <t xml:space="preserve">minhaal </t>
  </si>
  <si>
    <t xml:space="preserve">paid PABX system </t>
  </si>
  <si>
    <t>for Nespak consultant</t>
  </si>
  <si>
    <t xml:space="preserve">cash hold with imran </t>
  </si>
  <si>
    <t xml:space="preserve">fuel expenses for last month pending </t>
  </si>
  <si>
    <t>cash for builty for spar</t>
  </si>
  <si>
    <t>cash for drawing</t>
  </si>
  <si>
    <t>for stormfiber fees</t>
  </si>
  <si>
    <t>for nuemultiplex disc 50 nos</t>
  </si>
  <si>
    <t>cash taken for dormant account C/O bilal bhai</t>
  </si>
  <si>
    <t>for nut bolt for kumail</t>
  </si>
  <si>
    <t>paid for ??????????</t>
  </si>
  <si>
    <t>perwaz</t>
  </si>
  <si>
    <t>for belt for efu</t>
  </si>
  <si>
    <t>umer claimed fuel for going prem office</t>
  </si>
  <si>
    <t>for zahabiya paint for nuemultiplex</t>
  </si>
  <si>
    <t>tea</t>
  </si>
  <si>
    <t>juic for bilal</t>
  </si>
  <si>
    <t>for cleacing for towel</t>
  </si>
  <si>
    <t>drawing  for jpmc kamran auto</t>
  </si>
  <si>
    <t>imran taken for shoppers</t>
  </si>
  <si>
    <t>for cutting disc</t>
  </si>
  <si>
    <t>falcon</t>
  </si>
  <si>
    <t>submittal copy</t>
  </si>
  <si>
    <t>lunch for nadeem bhai guest ali and zia</t>
  </si>
  <si>
    <t>for drawing print</t>
  </si>
  <si>
    <t>milk poweder</t>
  </si>
  <si>
    <t>roti for bilal bhai</t>
  </si>
  <si>
    <t>fuel and haji pharmacy</t>
  </si>
  <si>
    <t>Farhan bhai</t>
  </si>
  <si>
    <t>paid at nadeem bhai acc</t>
  </si>
  <si>
    <t>paid for haji pharmacy</t>
  </si>
  <si>
    <t>cash for suzuki fare for insulation</t>
  </si>
  <si>
    <t>paid for Nueplex gloves welding holder and welding glass 4 dozems</t>
  </si>
  <si>
    <t>received from bilal bhai</t>
  </si>
  <si>
    <t>Qayyum salary</t>
  </si>
  <si>
    <t>for 17 days and 15 OT</t>
  </si>
  <si>
    <t>for purchasing nueplex for welding rod carton hold tite and other stuff</t>
  </si>
  <si>
    <t>paid for farooq shb sister site</t>
  </si>
  <si>
    <t>color spray</t>
  </si>
  <si>
    <t>cigraee</t>
  </si>
  <si>
    <t>green tea &amp; cofee</t>
  </si>
  <si>
    <t>jpmc drawing</t>
  </si>
  <si>
    <t>zeelaf darawing</t>
  </si>
  <si>
    <t>salary adv paid for December 17</t>
  </si>
  <si>
    <t>cash for material shifting nasir colony</t>
  </si>
  <si>
    <t>photo copy miqdad and zainab verified bill fuel and parking claimed</t>
  </si>
  <si>
    <t>for mhr home newspaper bill</t>
  </si>
  <si>
    <t>for purchasing for nuemulti nut botl, rods, bitt hilti blind riet russian salad and cigratte</t>
  </si>
  <si>
    <t>cash sent to azeem for nasir colony site</t>
  </si>
  <si>
    <t>mobile mouse purchased</t>
  </si>
  <si>
    <t>pocha for office for cleaning purpose</t>
  </si>
  <si>
    <t>for  angle rod for nuw plex</t>
  </si>
  <si>
    <t>flug and pipes at jpmc</t>
  </si>
  <si>
    <t>marib for december 17</t>
  </si>
  <si>
    <t>photocopy drawing for falcon</t>
  </si>
  <si>
    <t>cash taken for office stuff</t>
  </si>
  <si>
    <t>paid to farhan shb</t>
  </si>
  <si>
    <t>sadqa</t>
  </si>
  <si>
    <t>paid to bilal for charity sadqa purpose</t>
  </si>
  <si>
    <t>paetty cash falcon</t>
  </si>
  <si>
    <t>soup for sir rehman fro eton</t>
  </si>
  <si>
    <t>Eton , TRG and center point</t>
  </si>
  <si>
    <t>for falcon drawings</t>
  </si>
  <si>
    <t>nue plex draiwngs</t>
  </si>
  <si>
    <t>Minhaal returned cash after nuemultiplex purchasing</t>
  </si>
  <si>
    <t>2 printer refill and 2 printer balde change</t>
  </si>
  <si>
    <t>nueplex</t>
  </si>
  <si>
    <t>paid for riksahw fare for grills</t>
  </si>
  <si>
    <t>chemicon</t>
  </si>
  <si>
    <t>for zahabiya for jpmc</t>
  </si>
  <si>
    <t>for petrol and cigratte</t>
  </si>
  <si>
    <t>lassi and samosay</t>
  </si>
  <si>
    <t>fruit for bilal on 28 dec</t>
  </si>
  <si>
    <t>tissue 2 box</t>
  </si>
  <si>
    <t>rehman shb lunch on 28 dec</t>
  </si>
  <si>
    <t>rehman shb lunch on 29 dec</t>
  </si>
  <si>
    <t>fruit for bilal on 27 dec</t>
  </si>
  <si>
    <t>fruit for bilal bhai on 29 dec</t>
  </si>
  <si>
    <t>ehsan traders</t>
  </si>
  <si>
    <t>paid for jpmc fans remaining balance</t>
  </si>
  <si>
    <t>paid for spar gyser remaining balance</t>
  </si>
  <si>
    <t>mobile super card</t>
  </si>
  <si>
    <t>purchased a3 envelop for office</t>
  </si>
  <si>
    <t>cash received from minhaal c/o bilal</t>
  </si>
  <si>
    <t>paid from office to nueplex</t>
  </si>
  <si>
    <t>cash hold with imran engg</t>
  </si>
  <si>
    <t>paid for MHR home</t>
  </si>
  <si>
    <t>claimed fuel for mhr home visit 2 times</t>
  </si>
  <si>
    <t>his old cash remaining</t>
  </si>
  <si>
    <t>cash taken for monthly tea expenses November 17</t>
  </si>
  <si>
    <t>hold with huzaifa</t>
  </si>
  <si>
    <t>paid for haji pharmacy medinces</t>
  </si>
  <si>
    <t>cash paid he will return invoices of zainab shabbir</t>
  </si>
  <si>
    <t>cash paid against his invoices</t>
  </si>
  <si>
    <t>mehmood for december by order imran engg</t>
  </si>
  <si>
    <t>nueplex drwing</t>
  </si>
  <si>
    <t>zeelaf munir drawing</t>
  </si>
  <si>
    <t>zeelaf munir drawing 2nd time</t>
  </si>
  <si>
    <t>cash taken for multi nueplex</t>
  </si>
  <si>
    <t>for misc expenses</t>
  </si>
  <si>
    <t>cash for glue at nueplex</t>
  </si>
  <si>
    <t>to talha office for dec 17</t>
  </si>
  <si>
    <t>soup (sabon)</t>
  </si>
  <si>
    <t>drinking plastic bottle</t>
  </si>
  <si>
    <t>bilal fruit and lassi for ali and zia</t>
  </si>
  <si>
    <t>ufone super card 2nd time,  mistakely card sent to another num</t>
  </si>
  <si>
    <t>suger and surf</t>
  </si>
  <si>
    <t>furit and cigrate for bilal</t>
  </si>
  <si>
    <t>fruit for bilal</t>
  </si>
  <si>
    <t>suger &amp; tea</t>
  </si>
  <si>
    <t>furnyle for cleaning purpose</t>
  </si>
  <si>
    <t>wiper for cleaning purpose</t>
  </si>
  <si>
    <t>claimed fuel for bolten sohra peer and smc</t>
  </si>
  <si>
    <t>monthly mobile card for january 18 claimed</t>
  </si>
  <si>
    <t>claimed fuel for december 17</t>
  </si>
  <si>
    <t>for cloth at nureplex, rikshaw 400 labour 200 and fuel 100</t>
  </si>
  <si>
    <t>glass work at office, bilal bhai room door and glass holes</t>
  </si>
  <si>
    <t>paid to umer for 3 car wash</t>
  </si>
  <si>
    <t>cash taken from haneef for nueplex purchasinf</t>
  </si>
  <si>
    <t>cash taken from salary</t>
  </si>
  <si>
    <t>returned cash to haneef</t>
  </si>
  <si>
    <t>paid for LED projector purchasing from daraz online by order nadeem bhai</t>
  </si>
  <si>
    <t>paid for voucher printing remaining balance at falcon mall</t>
  </si>
  <si>
    <t>for purchasing canvas cloth weldiong cable, grinder work</t>
  </si>
  <si>
    <t>claimed fuel at jpmc</t>
  </si>
  <si>
    <t>cash teken</t>
  </si>
  <si>
    <t>1st floor gas bill</t>
  </si>
  <si>
    <t>for file printing</t>
  </si>
  <si>
    <t>tissue 2 boxes</t>
  </si>
  <si>
    <t>garbage shoppers</t>
  </si>
  <si>
    <t xml:space="preserve">claimed fuel at indus </t>
  </si>
  <si>
    <t>cash teken for wooden sleaves</t>
  </si>
  <si>
    <t>cash taken for Naarial cutting from trees at MHR home</t>
  </si>
  <si>
    <t>for stamp paper</t>
  </si>
  <si>
    <t>paid for computer repair</t>
  </si>
  <si>
    <t>purchased tender rehman packaginf from SMC</t>
  </si>
  <si>
    <t>purchased tender IMTIAZ super market at defence from Y.H</t>
  </si>
  <si>
    <t>waris salary</t>
  </si>
  <si>
    <t>corrier for BOQ sent to multan pace and pace mall</t>
  </si>
  <si>
    <t>rikshaw fare for kumail younus site</t>
  </si>
  <si>
    <t>for zahabiya antifungus</t>
  </si>
  <si>
    <t>paid for insulation work at neplex</t>
  </si>
  <si>
    <t>paid for EFU material</t>
  </si>
  <si>
    <t>cloth, glue, red paint nut bolt, welding glass and gloves measurung tapes</t>
  </si>
  <si>
    <t>paid for nuweplex drawings</t>
  </si>
  <si>
    <t>claimed fuel for airport going</t>
  </si>
  <si>
    <t>kamran auto for january 18</t>
  </si>
  <si>
    <t>khalid for january 18</t>
  </si>
  <si>
    <t>for nuemulti purchasing</t>
  </si>
  <si>
    <t>cash taken from shop rent received</t>
  </si>
  <si>
    <t>Farid</t>
  </si>
  <si>
    <t>paid for fire fighting pipe work at nuemultiplex</t>
  </si>
  <si>
    <t>photocopy for imtiaz tender</t>
  </si>
  <si>
    <t>zeelaf munir drawings</t>
  </si>
  <si>
    <t>claimed fuel for drop imtiaz tender to yH</t>
  </si>
  <si>
    <t>cash paid at zainab shabbir he will return invoices</t>
  </si>
  <si>
    <t>cash for kumail villa by order nadeem bhai</t>
  </si>
  <si>
    <t>mubashira nadeem cheq</t>
  </si>
  <si>
    <t>cash taken for fees for ahmed and easha</t>
  </si>
  <si>
    <t>cash taken for jpmc</t>
  </si>
  <si>
    <t>bakhti for jan 18</t>
  </si>
  <si>
    <t>imtiaz filled boq photocopy</t>
  </si>
  <si>
    <t>re-writeable cd for efu as built drawings</t>
  </si>
  <si>
    <t>biskuit for nadeem bhai</t>
  </si>
  <si>
    <t>purchased zahabiya</t>
  </si>
  <si>
    <t>given to kamran elec for office small pending works</t>
  </si>
  <si>
    <t>for nut bolt to office</t>
  </si>
  <si>
    <t>claimed monthly lunch expenses</t>
  </si>
  <si>
    <t>for zahabiya paints</t>
  </si>
  <si>
    <t>for jpmc looking mirror 14 nos</t>
  </si>
  <si>
    <t>lassi for sir rehman guest</t>
  </si>
  <si>
    <t>lemon maz baar</t>
  </si>
  <si>
    <t>for telefone data cable pins</t>
  </si>
  <si>
    <t>chaat for nadeem iqbal and ali exteem</t>
  </si>
  <si>
    <t>cash taken from kamran elec</t>
  </si>
  <si>
    <t>paid to faizan for bilal bhai tickets to islamabad total 22000</t>
  </si>
  <si>
    <t>cash taken from imran office after purchaing nut bolt</t>
  </si>
  <si>
    <t>imran office for jan 18</t>
  </si>
  <si>
    <t>iqrar salary for the month dec 17 for 7 days and 13 hrs OT</t>
  </si>
  <si>
    <t>paid remaining salary</t>
  </si>
  <si>
    <t>remaining cash taken</t>
  </si>
  <si>
    <t>claimed suzuki fare for burnt geyser shifted fro kumail to Ehsan trd then ehsan to kumail</t>
  </si>
  <si>
    <t>paid for cylinder at jpmc</t>
  </si>
  <si>
    <t>claimed fuel for jpmc</t>
  </si>
  <si>
    <t>nabeel auto cad for jan 18</t>
  </si>
  <si>
    <t>for cement for office toilet</t>
  </si>
  <si>
    <t>for ladder kiraya</t>
  </si>
  <si>
    <t>paid ata naveed malok site</t>
  </si>
  <si>
    <t>paid for medicine</t>
  </si>
  <si>
    <t>millk powder</t>
  </si>
  <si>
    <t>fruit</t>
  </si>
  <si>
    <t>sprirl binding of chiller catelog falcon mall and copy</t>
  </si>
  <si>
    <t>adeel FTC salary</t>
  </si>
  <si>
    <t>remaining cash paid after nueplex purchaising</t>
  </si>
  <si>
    <t>for air filter and oil filter  pump at EFU</t>
  </si>
  <si>
    <t xml:space="preserve">biskuit, photocopy, hand soup, </t>
  </si>
  <si>
    <t>tea bags &amp; cofee</t>
  </si>
  <si>
    <t>drawings for zeelaf munir</t>
  </si>
  <si>
    <t>to arsalan for jan 18 given by minhaal</t>
  </si>
  <si>
    <t>for nueplex purchasing</t>
  </si>
  <si>
    <t>cash taken for naveed malik site by order nadeem iqbal</t>
  </si>
  <si>
    <t>haji pharmacy and fuel</t>
  </si>
  <si>
    <t>claimed fuel for given to shafqat bilal</t>
  </si>
  <si>
    <t>falcon drawings copy</t>
  </si>
  <si>
    <t>nueplex measurment copy</t>
  </si>
  <si>
    <t>steel craft and haseen habeeb submittal copy</t>
  </si>
  <si>
    <t>paid cash for spar old invoices of ali khalid</t>
  </si>
  <si>
    <t>cash for fuel claimed last month</t>
  </si>
  <si>
    <t>purchased stamp papers 1 for seasonmaster and 2nd for shop agrement renewal</t>
  </si>
  <si>
    <t>paid for nueplex purchasing</t>
  </si>
  <si>
    <t>for material</t>
  </si>
  <si>
    <t>utilities bill</t>
  </si>
  <si>
    <t>MHR home  9450   and office     12044</t>
  </si>
  <si>
    <t>take petty cash</t>
  </si>
  <si>
    <t>for guard</t>
  </si>
  <si>
    <t>paid K electric bill c/o nadeem iqbal</t>
  </si>
  <si>
    <t>for purchasing</t>
  </si>
  <si>
    <t>falcon mall drawings</t>
  </si>
  <si>
    <t xml:space="preserve">cash taken for office washroom </t>
  </si>
  <si>
    <t>paid W-tribe bill at jpmc</t>
  </si>
  <si>
    <t>claimed for wash bilal bhai car</t>
  </si>
  <si>
    <t>talha for jan 18</t>
  </si>
  <si>
    <t>lassi and smosay for rashid miqdad wala</t>
  </si>
  <si>
    <t>fruit fro bilal</t>
  </si>
  <si>
    <t>for raiti and bajri for office washroom</t>
  </si>
  <si>
    <t>claimed fuel + parking , office to Tower to Nueplex to office, and then office to bank</t>
  </si>
  <si>
    <t>ahmed ali for jan 18</t>
  </si>
  <si>
    <t>nueplex drawings</t>
  </si>
  <si>
    <t>cash for nueplex purchasing</t>
  </si>
  <si>
    <t>bulb purchased at jpmc site 4 Nos</t>
  </si>
  <si>
    <t>paid for mhr home newspaper</t>
  </si>
  <si>
    <t>abdur rehman</t>
  </si>
  <si>
    <t>Cash taken from sir rehman by order nadeem iqbal</t>
  </si>
  <si>
    <t>take petty cash by order nadeem iqbal</t>
  </si>
  <si>
    <t>amir for jan 18</t>
  </si>
  <si>
    <t>allied drawings</t>
  </si>
  <si>
    <t>claimed fuel for allied engg</t>
  </si>
  <si>
    <t>paid for jan 18</t>
  </si>
  <si>
    <t>bilal bhai tickets</t>
  </si>
  <si>
    <t>paid advance at naveed malik</t>
  </si>
  <si>
    <t>cash taken for lunch for abdur rehman and ahmed</t>
  </si>
  <si>
    <t>jpmc drawing 2nd time</t>
  </si>
  <si>
    <t>amjad bhai for jan 18</t>
  </si>
  <si>
    <t>purchased duct sealent</t>
  </si>
  <si>
    <t>cash taken by hand amjad ustaad</t>
  </si>
  <si>
    <t>paid for misc invoices</t>
  </si>
  <si>
    <t>for nueplex for nuts and hold tite</t>
  </si>
  <si>
    <t>claimed fuel for two times from jpmc to office</t>
  </si>
  <si>
    <t>cash paid for efu purchasing by order nadeem bhai</t>
  </si>
  <si>
    <t>paid for material purchased for scar folding from mughal iron for falcon mall</t>
  </si>
  <si>
    <t>for meter for falcon mall site</t>
  </si>
  <si>
    <t>for purchasing of fire pump filter at efu</t>
  </si>
  <si>
    <t>perwaz for jan 18</t>
  </si>
  <si>
    <t>for testing and calibration of meter</t>
  </si>
  <si>
    <t>jhaaroo</t>
  </si>
  <si>
    <t>bulb and holder for office washroom</t>
  </si>
  <si>
    <t>cash paid for purchasing</t>
  </si>
  <si>
    <t>cash return to sir rehman</t>
  </si>
  <si>
    <t>Imran return cash after calibration of KESC bill</t>
  </si>
  <si>
    <t>cash for prv month tea and other stuff element heater pin</t>
  </si>
  <si>
    <t>for flush tank and wash basin</t>
  </si>
  <si>
    <t>milkpowder</t>
  </si>
  <si>
    <t>dettol</t>
  </si>
  <si>
    <t>furnayle</t>
  </si>
  <si>
    <t>corrier sheheryar hpyer BOQ and retention letter</t>
  </si>
  <si>
    <t>paid for rishwat to KESC for calibration</t>
  </si>
  <si>
    <t>rehan</t>
  </si>
  <si>
    <t>cash taken from bilal habib</t>
  </si>
  <si>
    <t>paid at jpmc</t>
  </si>
  <si>
    <t>sir rehman mobile balance</t>
  </si>
  <si>
    <t>suzuki fare from ftc to office</t>
  </si>
  <si>
    <t>paid nadeem bhai home utilities bills</t>
  </si>
  <si>
    <t>cash for pump repairing</t>
  </si>
  <si>
    <t xml:space="preserve">claimed fuel for sir rehman banglow </t>
  </si>
  <si>
    <t>paid for electric items for falcon meter</t>
  </si>
  <si>
    <t>kamran auto for printing drawing nueplex</t>
  </si>
  <si>
    <t>paid for sir rehman lcd remaining balance</t>
  </si>
  <si>
    <t>refershment at FTC</t>
  </si>
  <si>
    <t>shopper purchased for garbage purpose</t>
  </si>
  <si>
    <t>umer</t>
  </si>
  <si>
    <t>MCB chq # 01596</t>
  </si>
  <si>
    <t>tasleem</t>
  </si>
  <si>
    <t>paid for masonery works</t>
  </si>
  <si>
    <t>for falcon purchasing</t>
  </si>
  <si>
    <t>water tanker, cable fees, spray and fuel claimed by sir rehman at mhr home</t>
  </si>
  <si>
    <t>jug, glass and knife for office</t>
  </si>
  <si>
    <t>drawing for nueplex</t>
  </si>
  <si>
    <t xml:space="preserve">chaat for nadeem iqbal </t>
  </si>
  <si>
    <t>shopper bags + stapler pins</t>
  </si>
  <si>
    <t>claimed for two car wash</t>
  </si>
  <si>
    <t>paid for hyperstar cash counter</t>
  </si>
  <si>
    <t>falcon drawings</t>
  </si>
  <si>
    <t>for plastic coating</t>
  </si>
  <si>
    <t>paid advance at hyper star cash counter work</t>
  </si>
  <si>
    <t>shakeel duct</t>
  </si>
  <si>
    <t>paid to mazdoor at office</t>
  </si>
  <si>
    <t>amir salary increased from 18,000 to 23,000</t>
  </si>
  <si>
    <t>paid for ladder rent</t>
  </si>
  <si>
    <t>paid for samosay</t>
  </si>
  <si>
    <t>paid at naveed malik site</t>
  </si>
  <si>
    <t>Rs 500 hold with omer efu</t>
  </si>
  <si>
    <t>claimed mobile balance at jpmc approved by nadeem</t>
  </si>
  <si>
    <t>salary cash remained after all salaries paid</t>
  </si>
  <si>
    <t>nail cutter, lux soap, surf</t>
  </si>
  <si>
    <t>cofee</t>
  </si>
  <si>
    <t xml:space="preserve">fruit </t>
  </si>
  <si>
    <t>lunch for nadeem bhai channa and kabab</t>
  </si>
  <si>
    <t>paid for monthly lunch expenses at mhr personal</t>
  </si>
  <si>
    <t xml:space="preserve">paid to khalid bhai </t>
  </si>
  <si>
    <t>cash taken from imran office after red oxide paint for falcon</t>
  </si>
  <si>
    <t xml:space="preserve">cash paid to khalid </t>
  </si>
  <si>
    <t>nut bolt for isolator at falcon advance</t>
  </si>
  <si>
    <t>PRV cash carry frowart</t>
  </si>
  <si>
    <t>PRV cash carry froward</t>
  </si>
  <si>
    <t>Talha</t>
  </si>
  <si>
    <t>paid labour at falcon for K electric meter</t>
  </si>
  <si>
    <t>bakhti for feb 18</t>
  </si>
  <si>
    <t>paid for kumail villa purchasing lugs silicon and other items</t>
  </si>
  <si>
    <t>for shafia and rehana aunty doctor consultancy</t>
  </si>
  <si>
    <t>paid for haji pharmacy and fuel claimed</t>
  </si>
  <si>
    <t>reshid boy</t>
  </si>
  <si>
    <t>paid shaf fess</t>
  </si>
  <si>
    <t>for nue plexx drwaings</t>
  </si>
  <si>
    <t>laser marking machine for falcon</t>
  </si>
  <si>
    <t>angle pipe from mughal iron suzuki fare 600 labour 100</t>
  </si>
  <si>
    <t>nabeel for jan 18</t>
  </si>
  <si>
    <t>umer efu</t>
  </si>
  <si>
    <t>paid for EBM purchasing Tools and other items</t>
  </si>
  <si>
    <t>cash paid for burhani mehal by ordered imran engg</t>
  </si>
  <si>
    <t>paid for AC installation work at office channel patti tape,drain pipe rawal bolt and ladder fare</t>
  </si>
  <si>
    <t>csah hold with imran</t>
  </si>
  <si>
    <t>tender tabros pharma</t>
  </si>
  <si>
    <t>cash paid invoice given</t>
  </si>
  <si>
    <t>paid advance in hyper cash counter job</t>
  </si>
  <si>
    <t>paid for labouring at office tiles and other</t>
  </si>
  <si>
    <t>rehana aunty mobile jazz card</t>
  </si>
  <si>
    <t>corries pso staff data</t>
  </si>
  <si>
    <t>chola chaat</t>
  </si>
  <si>
    <t>nabeel</t>
  </si>
  <si>
    <t>cash returned by minhaal after purchasing</t>
  </si>
  <si>
    <t>purchased office washroom fittings</t>
  </si>
  <si>
    <t>fruit on 15th feb</t>
  </si>
  <si>
    <t>kitchen Led power and data cable</t>
  </si>
  <si>
    <t>A4 paper rims</t>
  </si>
  <si>
    <t>take petty cash car repair</t>
  </si>
  <si>
    <t>huzaifa paid to azaad for material</t>
  </si>
  <si>
    <t>dinner on Friday Rehan azeem kamran and umer off</t>
  </si>
  <si>
    <t>for miqdad mo extra work bill photo copy</t>
  </si>
  <si>
    <t>shopper</t>
  </si>
  <si>
    <t>tabros tender photo copy</t>
  </si>
  <si>
    <t>SST paid and photo copy</t>
  </si>
  <si>
    <t>storm fiber static id fees paid</t>
  </si>
  <si>
    <t>to asif efu by order nadeem bhai</t>
  </si>
  <si>
    <t>for sultan rubber ramaining balance</t>
  </si>
  <si>
    <t>hold with imran</t>
  </si>
  <si>
    <t>drawings copy nueplex</t>
  </si>
  <si>
    <t>chitkhni</t>
  </si>
  <si>
    <t>dettol for cleaning purpose</t>
  </si>
  <si>
    <t>paid for civil work at hyper star cash counter job</t>
  </si>
  <si>
    <t>paid salary rs 700 to stair cleaner</t>
  </si>
  <si>
    <t>paid for fuel expenses</t>
  </si>
  <si>
    <t>paid advance now uptodate cash 30,000</t>
  </si>
  <si>
    <t>cash taken for misc purchasing</t>
  </si>
  <si>
    <t>paid to saeed lala for khaad (fertilizer) for home garden</t>
  </si>
  <si>
    <t>paid advance now uptodate cash 35000</t>
  </si>
  <si>
    <t>majic, gas cock and nut bolt at naved malik</t>
  </si>
  <si>
    <t>for office washroon fittings</t>
  </si>
  <si>
    <t>paid zakat to khurram</t>
  </si>
  <si>
    <t>paid for chiller descaling at Bank alfalah</t>
  </si>
  <si>
    <t>paid to farhan c/o nadeem iqbal for utilities bills</t>
  </si>
  <si>
    <t>paid for bank alfalah chiller descaling</t>
  </si>
  <si>
    <t>super card load</t>
  </si>
  <si>
    <t>for witribe payment at JPMC</t>
  </si>
  <si>
    <t>to khalid by order nadeem iqbal</t>
  </si>
  <si>
    <t>petty cash for naveed malik</t>
  </si>
  <si>
    <t>bun, bread and makhan &amp; biskuit for sir rehman</t>
  </si>
  <si>
    <t>tea bag and suger</t>
  </si>
  <si>
    <t>cash for burhani mehal by order imran engg</t>
  </si>
  <si>
    <t>cash for falcon minhaal</t>
  </si>
  <si>
    <t>mossi kauser</t>
  </si>
  <si>
    <t>paid for conveyance by order nadeem</t>
  </si>
  <si>
    <t>WASHROOM KUNDI</t>
  </si>
  <si>
    <t>soup and surf</t>
  </si>
  <si>
    <t>falcon controls drawings copy</t>
  </si>
  <si>
    <t>nueplex drawings photocopies</t>
  </si>
  <si>
    <t>office 17448   MHR home 10477</t>
  </si>
  <si>
    <t>paid at nuemultiplex</t>
  </si>
  <si>
    <t>paid now uptodate 46000</t>
  </si>
  <si>
    <t>for purchasing of nueplex site anti fungus checker plate and cut screw</t>
  </si>
  <si>
    <t>claimed fuel, mobile card, and bike oil for 1 month</t>
  </si>
  <si>
    <t>cutting disc for nueplex</t>
  </si>
  <si>
    <t>Umer office</t>
  </si>
  <si>
    <t>paid salary in advance due to his mother operation by ordered sir rehman</t>
  </si>
  <si>
    <t>cash at naveed malik</t>
  </si>
  <si>
    <t>petty cash nueplex</t>
  </si>
  <si>
    <t>cash return minhaal</t>
  </si>
  <si>
    <t>paid for nitrogen gas at jpmc</t>
  </si>
  <si>
    <t>lassi</t>
  </si>
  <si>
    <t>drawing copyn nueplex</t>
  </si>
  <si>
    <t>drawing nueplex</t>
  </si>
  <si>
    <t>paid for office misc electrical items + bit</t>
  </si>
  <si>
    <t>office tape</t>
  </si>
  <si>
    <t>paid at naveed malik site (naya khaata chiller servise)</t>
  </si>
  <si>
    <t>paid by order nadeem iqbal</t>
  </si>
  <si>
    <t>cash paid for drwings copy</t>
  </si>
  <si>
    <t>cable pin for bilal bhai TV</t>
  </si>
  <si>
    <t xml:space="preserve">paid </t>
  </si>
  <si>
    <t>cash paid by ordered imran engg</t>
  </si>
  <si>
    <t>paid to bakhti for feb salary by order sir rehman</t>
  </si>
  <si>
    <t>shaaf</t>
  </si>
  <si>
    <t>haaji pharmacy and car shade bill claimed</t>
  </si>
  <si>
    <t>bilal bhai guests lunch + bilal bhai car punture</t>
  </si>
  <si>
    <t>rikshaw fare from office to nueplex and fuel claimed for bilal bhai work and nueplex and tender rec from clifton</t>
  </si>
  <si>
    <t>suger, electric fittingss fruit, bun, max soup, drawings</t>
  </si>
  <si>
    <t xml:space="preserve">mineral water </t>
  </si>
  <si>
    <t>file sepator</t>
  </si>
  <si>
    <t>ladder rent</t>
  </si>
  <si>
    <t>paid for nueplex insulation roll office to nuplex</t>
  </si>
  <si>
    <t>will give invoices office fittings</t>
  </si>
  <si>
    <t>Mhr home and office SSGc bill paid</t>
  </si>
  <si>
    <t>glue 22,200, cloth 19000, rikshaw 900, labour 200, fuel and parking 220</t>
  </si>
  <si>
    <t>for misc purchasing by order nadeem iqbal.</t>
  </si>
  <si>
    <t>cash paid for nueplex purchasing</t>
  </si>
  <si>
    <t>paid advance in hyper star cash counter job upto date is 83500+6000   = 89500+8000=97500</t>
  </si>
  <si>
    <t>cash paid actual paid  8380</t>
  </si>
  <si>
    <t>for fuel for sher shaw with nadeem iqbal</t>
  </si>
  <si>
    <t>paid at EFY by order nadeem iqbal</t>
  </si>
  <si>
    <t>zulfiqaur indus</t>
  </si>
  <si>
    <t>claimed fuel for indus hospital</t>
  </si>
  <si>
    <t>drwings bilala cad oprtr</t>
  </si>
  <si>
    <t>mob   pocha</t>
  </si>
  <si>
    <t>cleaning cloth</t>
  </si>
  <si>
    <t>Supply &amp; installation of M.S SCH 40 seamless pipe with related fittings such as tee, bend, elbow, reduser, valves, thermopore insulation flexible pipe connector, electric connections etc complete in all respect for installation of rental chiller.</t>
  </si>
  <si>
    <t xml:space="preserve">imran off </t>
  </si>
  <si>
    <t>claimed fuel for nueplex salaries drop</t>
  </si>
  <si>
    <t>saeed  lala fuel and medical fee claimed for aunty</t>
  </si>
  <si>
    <t>amjad ustaad for salary adv march 18 by order imran engg</t>
  </si>
  <si>
    <t>paid to  mujahid at jpmc</t>
  </si>
  <si>
    <t>paid for sizuki fare by order nadeem bhai</t>
  </si>
  <si>
    <t>claimed photocopes for temp log sheet at efu</t>
  </si>
  <si>
    <t>claimed fuel for misc site EBM and efu</t>
  </si>
  <si>
    <t>paid to ali khalid for spray at JB saeed</t>
  </si>
  <si>
    <t>Noman bhai salary envelop opened and used as petty cash</t>
  </si>
  <si>
    <t>cash returned by imran off after purchasing</t>
  </si>
  <si>
    <t>for ebm gas pipe purchasing</t>
  </si>
  <si>
    <t>nabeel for feb 2018</t>
  </si>
  <si>
    <t>car wash</t>
  </si>
  <si>
    <t>cash for bank alfalah chiller   uptodate 20,000</t>
  </si>
  <si>
    <t>everday and suger biskuit for nadeem</t>
  </si>
  <si>
    <t xml:space="preserve">tissue and soup </t>
  </si>
  <si>
    <t>fruit anfd cigraee</t>
  </si>
  <si>
    <t>duplicate key for nadeem bhai</t>
  </si>
  <si>
    <t>photocopy indus cch verified bills</t>
  </si>
  <si>
    <t>cash return by huzaifa for finalization his account</t>
  </si>
  <si>
    <t>paid to abid for adjustment of extra absent deduct</t>
  </si>
  <si>
    <t>gas cylinder</t>
  </si>
  <si>
    <t>to karmra auto for march 18</t>
  </si>
  <si>
    <t>claimed for riksahw fare</t>
  </si>
  <si>
    <t>nizaqat</t>
  </si>
  <si>
    <t>paid petty cash for jpmc site by order huzaifa</t>
  </si>
  <si>
    <t xml:space="preserve"> paid for prv remaining salary</t>
  </si>
  <si>
    <t>paid for A3 printer rapair and servicing</t>
  </si>
  <si>
    <t>paid to imran off for Karachi chamber of commerce fees</t>
  </si>
  <si>
    <t>paid final remaining balance</t>
  </si>
  <si>
    <t xml:space="preserve">rikshar fare for filter bag shifted to indus </t>
  </si>
  <si>
    <t>claimed fuel by aunty rehana rehman</t>
  </si>
  <si>
    <t>noman engg</t>
  </si>
  <si>
    <t>paid remaining balance of refreshment</t>
  </si>
  <si>
    <t>kamran burger</t>
  </si>
  <si>
    <t>zaheer sultan advocate corrier charges</t>
  </si>
  <si>
    <t>cholay chat nadeem and riaz uncle</t>
  </si>
  <si>
    <t xml:space="preserve">samosay </t>
  </si>
  <si>
    <t>claimed tea and refereshment at FTC floor by order nadeem iqbal</t>
  </si>
  <si>
    <t>furnyle and soup</t>
  </si>
  <si>
    <t xml:space="preserve">kingtox lal baig spray </t>
  </si>
  <si>
    <t xml:space="preserve">paid to kashif for march 18 by order huzaifa </t>
  </si>
  <si>
    <t>paid to khalid for march 18 by order nadeem bhai</t>
  </si>
  <si>
    <t xml:space="preserve">paid to shaeryar for march 18 by order huzaifa </t>
  </si>
  <si>
    <t>cash remained after nadeem bhai son fees paid</t>
  </si>
  <si>
    <t>this cash paid to bilal bhai when I went</t>
  </si>
  <si>
    <t>paid to rashid for AC for petty cash by order nadeem bhai</t>
  </si>
  <si>
    <t>petty cash for wheel &amp; fittings</t>
  </si>
  <si>
    <t>umer ebm</t>
  </si>
  <si>
    <t>claimed old gas pipe purchased remaining balance and fuel claimed</t>
  </si>
  <si>
    <t>ufone super card 520</t>
  </si>
  <si>
    <t>cash for tanki</t>
  </si>
  <si>
    <t>claimed fuel for EFU, Indus Bank &amp; JPMC</t>
  </si>
  <si>
    <t>paid newspaper bill at MHR personal home</t>
  </si>
  <si>
    <t>for farhan mehboob home pump repair</t>
  </si>
  <si>
    <t>claimed fuel for nueplex drawing which was printed 15 days ago</t>
  </si>
  <si>
    <t>salary cash</t>
  </si>
  <si>
    <t>bike oil changed and mobile card</t>
  </si>
  <si>
    <t>rikshaw fare for water tanki to nueplex and fuel</t>
  </si>
  <si>
    <t>glue , cutting disc, silver tape hold tite rikshaw fare and fuel claimed</t>
  </si>
  <si>
    <t>claimed fuel for nueplex YH and iqbal and bank</t>
  </si>
  <si>
    <t>cash take from salary cash</t>
  </si>
  <si>
    <t>claimed fuel by order nadeem iqbal</t>
  </si>
  <si>
    <t>cash paid for purchasing by order nadeem bhai</t>
  </si>
  <si>
    <t xml:space="preserve">3 car wash </t>
  </si>
  <si>
    <t>ibraheem fitings</t>
  </si>
  <si>
    <t>paid remaining bal of fitting at extra cinema work</t>
  </si>
  <si>
    <t>paid advance in account of naveed malik</t>
  </si>
  <si>
    <t>FBR letter corrier to zaohaib  two times</t>
  </si>
  <si>
    <t>office beauty soap</t>
  </si>
  <si>
    <t>cigrate</t>
  </si>
  <si>
    <t>stamp paper for 2nd and 3rd floor rent agreement renewal</t>
  </si>
  <si>
    <t>paid for misc expenses at MHR</t>
  </si>
  <si>
    <t>purcahsed nueplex</t>
  </si>
  <si>
    <t>claimed fuel  for allied 4 time bank and stamp paper and other sites</t>
  </si>
  <si>
    <t>ali nueplx</t>
  </si>
  <si>
    <t>paid to ali at nueplex for extra leave deduct</t>
  </si>
  <si>
    <t>paid to shakeel for cable tie at EFU</t>
  </si>
  <si>
    <t xml:space="preserve">surf, taizab, biskuit, cell </t>
  </si>
  <si>
    <t>drawing copy falcon</t>
  </si>
  <si>
    <t>tea for sher lala</t>
  </si>
  <si>
    <t>paid khalid bhai hyper purchasing</t>
  </si>
  <si>
    <t>newspaper bill at mhr</t>
  </si>
  <si>
    <t>shahzad helper</t>
  </si>
  <si>
    <t>DIB chq</t>
  </si>
  <si>
    <t xml:space="preserve">paid to bilal 10 rupees note </t>
  </si>
  <si>
    <t>Sweeper</t>
  </si>
  <si>
    <t>sweeper salary paid</t>
  </si>
  <si>
    <t>waris pool salary paid</t>
  </si>
  <si>
    <t>petty cash paid</t>
  </si>
  <si>
    <t>cash return by minhaal after purchasing</t>
  </si>
  <si>
    <t xml:space="preserve">office internet storm fiber bill paid </t>
  </si>
  <si>
    <t>paid by generator shifting from nasir to office</t>
  </si>
  <si>
    <t>cash paid for final his account</t>
  </si>
  <si>
    <t>cash paid will return invoices</t>
  </si>
  <si>
    <t>paid for extra leave deduction in last month of salary</t>
  </si>
  <si>
    <t>muslim shower pipe changed in office small washroom</t>
  </si>
  <si>
    <t>paid for office mineral water</t>
  </si>
  <si>
    <t>paid for generator service , oil changer, tuning service and fuel</t>
  </si>
  <si>
    <t xml:space="preserve">Riaz uncle </t>
  </si>
  <si>
    <t>paid for master shield at Hyper</t>
  </si>
  <si>
    <t>paid for tapes at nueplex</t>
  </si>
  <si>
    <t>umer office give hisab green tea, fruit tea bags, biskuit, tea, chaat for nadeem iqbal</t>
  </si>
  <si>
    <t>mcdonald drawings</t>
  </si>
  <si>
    <t>card, sheet, and platic tape for Indus log sheet arrangment</t>
  </si>
  <si>
    <t>Huzaifa salary used</t>
  </si>
  <si>
    <t xml:space="preserve">purchased tender imtiaz islamabad from YH </t>
  </si>
  <si>
    <t>claimed fuel for tender pic YH</t>
  </si>
  <si>
    <t>claimed fuel for SEM submittal and draswings</t>
  </si>
  <si>
    <t>give to minhaal for purchasing</t>
  </si>
  <si>
    <t>to sajjad salary advance april 18</t>
  </si>
  <si>
    <t>cash paid for purchsing</t>
  </si>
  <si>
    <t>sadqa charity</t>
  </si>
  <si>
    <t>umer give office hisab suger, stotch bright, petro for genertor 400, nic copy</t>
  </si>
  <si>
    <t>imtiaz islamabad BOQ photocopy</t>
  </si>
  <si>
    <t>drawing copy by talha</t>
  </si>
  <si>
    <t>cash for purchasing gave invoice</t>
  </si>
  <si>
    <t>give to minhaal for prv hisaab</t>
  </si>
  <si>
    <t>paid mazdoor to pathan at farhan banglow for 1 day</t>
  </si>
  <si>
    <t>claimed fuel for misc sites visit by order nadeem iqbal</t>
  </si>
  <si>
    <t>paid rs 5000 chq amount rs 25000</t>
  </si>
  <si>
    <t>falcon purchasing, mixing oil, nut bolt, red oxide, duct sealent and jpmc,  glue drum and cloth riksaw fare 900 fuel 100 labour 50</t>
  </si>
  <si>
    <t>nueplex purhasing, red oxide, burger paint anchor bolt, disc and zhodium rod rikshaw 500 fuel 100</t>
  </si>
  <si>
    <t>paid petty cash at farhan sahab banglow</t>
  </si>
  <si>
    <t>paid rs 1000 for his prvious hisab by ordered nadeem bhai</t>
  </si>
  <si>
    <t>cash paid for sst tax paid</t>
  </si>
  <si>
    <t>purchased CAD mouse</t>
  </si>
  <si>
    <t>shahid piping</t>
  </si>
  <si>
    <t>paid final amount</t>
  </si>
  <si>
    <t>asif for april 18</t>
  </si>
  <si>
    <t>fuel claimed two times bank 1 time national bank for SST tax and 1 time for YH for tender pick</t>
  </si>
  <si>
    <t>paid for jpmc purchasing</t>
  </si>
  <si>
    <t>take cash rs 200 he forgot to pick his wallet from home</t>
  </si>
  <si>
    <t>paid petty cash at hyper by order nadeem iqbal</t>
  </si>
  <si>
    <t>paid to khalid for petty cash</t>
  </si>
  <si>
    <t>paid for tender purchase mariot hotel</t>
  </si>
  <si>
    <t>cash paid by order nadeem bhai naveed malik</t>
  </si>
  <si>
    <t>nueplex drawings print and copy and claimed fuel</t>
  </si>
  <si>
    <t>nueplex drawings copy</t>
  </si>
  <si>
    <t>paid rs 28000 for office grass carpet</t>
  </si>
  <si>
    <t>DIB chq this chq made in favour of huzaifa but I took it as petty cash purpose</t>
  </si>
  <si>
    <t>umer office give hisab fruit, tea bags, cigratte pocha, furnule,  cleaning cloth, tea bags, dahi kela for nadeem bhai, buskuit</t>
  </si>
  <si>
    <t>bilal bhai personal chq given to imran off</t>
  </si>
  <si>
    <t>tape, mobile balance and fuel</t>
  </si>
  <si>
    <t>paid at naveed malik</t>
  </si>
  <si>
    <t>cash paid for petty purpose</t>
  </si>
  <si>
    <t>Kenwood AC</t>
  </si>
  <si>
    <t>paid for visit charges to kenwood representative mr Kashif</t>
  </si>
  <si>
    <t>cash for changeover at office</t>
  </si>
  <si>
    <t>sweeper salary adv</t>
  </si>
  <si>
    <t>ali extreem</t>
  </si>
  <si>
    <t>paid transportation charges rs 1500 for 2 units</t>
  </si>
  <si>
    <t>to kamran auto for april 18</t>
  </si>
  <si>
    <t>claimed misc purchasing at ftc site</t>
  </si>
  <si>
    <t>cash piad for petty purpose by order nadeem iqbal</t>
  </si>
  <si>
    <t>purchasing for nueplex and jpmc cloth, duct sealent, nut bolt, gasket rikshaw fare fuel parking labour</t>
  </si>
  <si>
    <t>cash taken from nadeem iqbal</t>
  </si>
  <si>
    <t>purchased A3 paper rim for drawings by imran off</t>
  </si>
  <si>
    <t xml:space="preserve">disc, pipe nipple, ms elbow, silver tape, dhaaga, </t>
  </si>
  <si>
    <t>sir rehman ticket frim islamabad to karachi</t>
  </si>
  <si>
    <t>Farhan c.o nadeem</t>
  </si>
  <si>
    <t>paid for utilities bill</t>
  </si>
  <si>
    <t>falcon and nueplex purchasing, silver tape, ms union pipe nipple, red oxide, mixing oil, nut bolt, rikhaw farm fuel, parking</t>
  </si>
  <si>
    <t>cash taken from bilal by imran</t>
  </si>
  <si>
    <t>cash taken from huzaifa by imran</t>
  </si>
  <si>
    <t>paid to mazdoor for farhan shb banglow</t>
  </si>
  <si>
    <t>for office washroon pipe and tissue holder</t>
  </si>
  <si>
    <t>lunch for nadeem iqbal</t>
  </si>
  <si>
    <t>lunch for nadeem bhai and riaz uncle</t>
  </si>
  <si>
    <t>falcon highlited drawings</t>
  </si>
  <si>
    <t>cash paid by order nadeem iqbal</t>
  </si>
  <si>
    <t>paid to zain communication for repairingg thumb machice and phone lines</t>
  </si>
  <si>
    <t>paid to imran after purcahsing of holdtite,cloth, glue, zhodium rod cash given 46000 and invoices given 53550</t>
  </si>
  <si>
    <t>cash received from Asfand khan</t>
  </si>
  <si>
    <t>paid petty cash</t>
  </si>
  <si>
    <t>paid for newspaper bill</t>
  </si>
  <si>
    <t>umer give office hisab suger, cigratte, gree tea , biskuit, shopper, fruit, photocpy, tissue, surf, tea bags, ladder fare for ac dismantle</t>
  </si>
  <si>
    <t>for nueplex and jpmc purchaseing tape holsaw, bit and other items</t>
  </si>
  <si>
    <t>paid office bills 12925              mhr 12858</t>
  </si>
  <si>
    <t>paid for fuel in car</t>
  </si>
  <si>
    <t>claimed fuel efu to office, office to YH and iqbal sons Efu to office</t>
  </si>
  <si>
    <t>cash taken for brush</t>
  </si>
  <si>
    <t>paid petty cash for tape at hyper star</t>
  </si>
  <si>
    <t>cash paid for office AC outer</t>
  </si>
  <si>
    <t xml:space="preserve">zulfiqaur ftc </t>
  </si>
  <si>
    <t>paid for jobilee clip for multiplex</t>
  </si>
  <si>
    <t>mughal iron</t>
  </si>
  <si>
    <t>to omer office by order sir rehman</t>
  </si>
  <si>
    <t>cash paid for angle at nuemultiplex</t>
  </si>
  <si>
    <t>paid cash to minhaal for light at falcon mall</t>
  </si>
  <si>
    <t>salary adv to khalid for april  18</t>
  </si>
  <si>
    <t>cash paid for prv balance fuel, water tank and misc expenses</t>
  </si>
  <si>
    <t>claimed for generator oil</t>
  </si>
  <si>
    <t>imran claimed  for rikshaw fare from ftc to office 100, 50 for bilal car air, and 50 for fuel</t>
  </si>
  <si>
    <t>Rafay</t>
  </si>
  <si>
    <t xml:space="preserve">paid for connector and other items at indus CCH by order nadeem bhai </t>
  </si>
  <si>
    <t>claimed fuel for imtiaz tender drop and YH for submittal</t>
  </si>
  <si>
    <t>paid for purchasing</t>
  </si>
  <si>
    <t>charging cable</t>
  </si>
  <si>
    <t>mhr home</t>
  </si>
  <si>
    <t>kenwood 2nd AC visit charges</t>
  </si>
  <si>
    <t>A4 paper rim</t>
  </si>
  <si>
    <t>log sheet copy</t>
  </si>
  <si>
    <t>imtiaz</t>
  </si>
  <si>
    <t>imtiaz tender copy</t>
  </si>
  <si>
    <t>umer give hisaab, every daym suger cigratte, and other items</t>
  </si>
  <si>
    <t>gas bill paid</t>
  </si>
  <si>
    <t>office gas bill</t>
  </si>
  <si>
    <t>paid ssgc bill</t>
  </si>
  <si>
    <t>cash received from Asfand khan now complete 1,000,000/==</t>
  </si>
  <si>
    <t>SASA</t>
  </si>
  <si>
    <t>paid for transportation charges</t>
  </si>
  <si>
    <t>paid for tools and cahrging light at Tabba  will give invoices</t>
  </si>
  <si>
    <t>silver tape 5 carton</t>
  </si>
  <si>
    <t xml:space="preserve">glue  and pop ribbet </t>
  </si>
  <si>
    <t>nueplex and jpmc dics, holtite and damur tape, glue drum, screw pana cutting disc and oth er items  riksahw fare,600 fuel 130 parking 20</t>
  </si>
  <si>
    <t>corrier mcdonald bill at lahore</t>
  </si>
  <si>
    <t>photocopy falcon verified bill</t>
  </si>
  <si>
    <t>hold cash with minhaal</t>
  </si>
  <si>
    <t>prv balance remaining by order nadeem bhai</t>
  </si>
  <si>
    <t>paid cash for FTC angle and fisher</t>
  </si>
  <si>
    <t>paid to kamran jamia by nadeem iqbal for his duty for chiller descaling at bank alfalah</t>
  </si>
  <si>
    <t>to amir jpmc for april 18</t>
  </si>
  <si>
    <t>cigratte and broast</t>
  </si>
  <si>
    <t>TCS cash counter bill to shyeryar at lahore</t>
  </si>
  <si>
    <t>marriot</t>
  </si>
  <si>
    <t>photo copy revised tender</t>
  </si>
  <si>
    <t>bakhti give hisaab. Misc kitchen exp soup, suger etc</t>
  </si>
  <si>
    <t xml:space="preserve">cash received </t>
  </si>
  <si>
    <t xml:space="preserve">misc </t>
  </si>
  <si>
    <t>DIB chq signed by sir rehman</t>
  </si>
  <si>
    <t>for home water tanker</t>
  </si>
  <si>
    <t>for home enery saver bulb</t>
  </si>
  <si>
    <t>claimed monthly lunch expenses for last 2 months</t>
  </si>
  <si>
    <t xml:space="preserve">for zeelaf banglow for misc expenses </t>
  </si>
  <si>
    <t>Faheem</t>
  </si>
  <si>
    <t>paid for 100 mm 3 core cable from hashim</t>
  </si>
  <si>
    <t>paid to faheem for misc electric item at nueplex</t>
  </si>
  <si>
    <t>cash returned by faheem</t>
  </si>
  <si>
    <t>petty cash paid sent thru nizaqat</t>
  </si>
  <si>
    <t xml:space="preserve">paid faisal masih salary  </t>
  </si>
  <si>
    <t>hotel tea and biskuit for saleem rigeer by order nadeem</t>
  </si>
  <si>
    <t>bakhti give hisaab, biskuit and other kitchen expe</t>
  </si>
  <si>
    <t>cash paid for CBC water tanker letter to azeez soharwardi</t>
  </si>
  <si>
    <t>cash paid for petty purpose by order nadeem iqbal</t>
  </si>
  <si>
    <t>omer ebm</t>
  </si>
  <si>
    <t>purchased blower for jpmc</t>
  </si>
  <si>
    <t>claimed fuel for ebm to office to jpmc to ebm</t>
  </si>
  <si>
    <t>omer office</t>
  </si>
  <si>
    <t>for 3 car wash</t>
  </si>
  <si>
    <t>nueplex and falcon purchasing bitumen tape, ms elbow, hold tite, , rikshaw fare, fuel and parking</t>
  </si>
  <si>
    <t>paid advance</t>
  </si>
  <si>
    <t>paid for petty cash</t>
  </si>
  <si>
    <t>bakhri give hisaab, suger, green tea, tea bags, and other stuff</t>
  </si>
  <si>
    <t>CASH REMAINED AFTER SALARIES</t>
  </si>
  <si>
    <t>purchasd rubber bush</t>
  </si>
  <si>
    <t>fuel claimed for many time office visit</t>
  </si>
  <si>
    <t>to bakhti by order sir rehman</t>
  </si>
  <si>
    <t>Amjad ustad</t>
  </si>
  <si>
    <t>remaining salary paid which is less put in his salary envelop</t>
  </si>
  <si>
    <t>faizan salary paid</t>
  </si>
  <si>
    <t>glue payment paid at nueplex</t>
  </si>
  <si>
    <t>cash paid for FTC</t>
  </si>
  <si>
    <t>claimed fuel for SEM engineer and nuplex and Y.H Associates</t>
  </si>
  <si>
    <t>bilal off</t>
  </si>
  <si>
    <t>claimed misc expenses verified by sir rehman</t>
  </si>
  <si>
    <t>falcon mall nut bolt threded rod rikshaw fare and fuel</t>
  </si>
  <si>
    <t>paid for mineral water bottles</t>
  </si>
  <si>
    <t>Used Noman Engg Salary</t>
  </si>
  <si>
    <t>World wide publishers</t>
  </si>
  <si>
    <t>paid because his chq was bounse due to sign differ</t>
  </si>
  <si>
    <t>claimed fuel for home order by sir rehman</t>
  </si>
  <si>
    <t>evry day</t>
  </si>
  <si>
    <t>tissue box 2 boxes</t>
  </si>
  <si>
    <t>mineral water nestle for water testing</t>
  </si>
  <si>
    <t xml:space="preserve">lock taaala for shop </t>
  </si>
  <si>
    <t xml:space="preserve">fruit for bilal bhai </t>
  </si>
  <si>
    <t>fuse for water testing machine</t>
  </si>
  <si>
    <t>paid for measuring tape at spar</t>
  </si>
  <si>
    <t xml:space="preserve"> nueplex purchasingelbow, socket, nut bolts, hold tite, tapes, riksahw fare fuel and parking claimed</t>
  </si>
  <si>
    <t xml:space="preserve">claimed rikshaw fare 280 for flexible shifting from iqbal to nueplex, and fuel 100 claimed </t>
  </si>
  <si>
    <t>cash taken for office a4 paper carton and pens</t>
  </si>
  <si>
    <t>SST Tax cheque used</t>
  </si>
  <si>
    <t>cash for air filters</t>
  </si>
  <si>
    <t>paid for storm fiber fees + fuel</t>
  </si>
  <si>
    <t>cash paid for zeelaf munir site</t>
  </si>
  <si>
    <t>purchased tape, glue drum claimed rikshaw fare, fuel and parking</t>
  </si>
  <si>
    <t>cash taken for petty purpose</t>
  </si>
  <si>
    <t>cash paid for log sheet printing</t>
  </si>
  <si>
    <t>paid for FCU installation at FTC</t>
  </si>
  <si>
    <t>remaining cash paid after purchasing</t>
  </si>
  <si>
    <t>storm fiber fees paid give to minhaal but he didn’t paid yet</t>
  </si>
  <si>
    <t>paid for purhcasing by order nadeem bhai</t>
  </si>
  <si>
    <t>claimed bike oil and mobile card</t>
  </si>
  <si>
    <t>purchased, ball valve 12600, flang and cutting disc 2490,  pipe nipple 1800 fuel 250 and parking 20</t>
  </si>
  <si>
    <t>bilal</t>
  </si>
  <si>
    <t>zeelaf drawing</t>
  </si>
  <si>
    <t>bakhti give hisaab, biskuit for nadeem, and lunhc for sir rehman</t>
  </si>
  <si>
    <t>to faheem baari at abm to april 18</t>
  </si>
  <si>
    <t>to mehmood for may 18</t>
  </si>
  <si>
    <t>nueplex purchaisng, brass valve, cutting disc, tape, and other items fuel 130 and parking 20</t>
  </si>
  <si>
    <t>jpmc wi ttibe bill paid</t>
  </si>
  <si>
    <t>nueplex purchasing, nut bolt, washerm fisherm, tape and holdtie fuel claimed and parking</t>
  </si>
  <si>
    <t>paid petty cash for islamuddin insulltion pic</t>
  </si>
  <si>
    <t>purchasinf fittings, valves and glue</t>
  </si>
  <si>
    <t>paid at emerald tower</t>
  </si>
  <si>
    <t>for car bumper repaired</t>
  </si>
  <si>
    <t>claimed bike maintenance</t>
  </si>
  <si>
    <t>for fuel claimed</t>
  </si>
  <si>
    <t>claimed fuel and water tanker by order sir rehman</t>
  </si>
  <si>
    <t>kitchen stuff purchased by faisal masih sweeper, jhaaro mop, pioson, finayle, surf, harpic.</t>
  </si>
  <si>
    <t>purchased whito</t>
  </si>
  <si>
    <t>claimed fule for YH and nueplex</t>
  </si>
  <si>
    <t>Used indus hospital filter chq</t>
  </si>
  <si>
    <t>purchased cloth, fisher, red oxide and burger paint riksahw fare and fuel and oarking</t>
  </si>
  <si>
    <t>salary adv to asif efu  by order nadeem</t>
  </si>
  <si>
    <t>for haaji pharmacy and medicines</t>
  </si>
  <si>
    <t>paid for nadeem bhai relative AC installation charges by order nadeem</t>
  </si>
  <si>
    <t>paid for purchasing at efu</t>
  </si>
  <si>
    <t>salary adv to bilal office</t>
  </si>
  <si>
    <t>claimed fuel for SEM office</t>
  </si>
  <si>
    <t>paid zakat to saeed lala</t>
  </si>
  <si>
    <t>paid zuzuki fare for air filter for indus hospital</t>
  </si>
  <si>
    <t>claimed fuel for air filter shifting</t>
  </si>
  <si>
    <t>purchased nueplex, drill bit, socket, cutting disc, karosine oil, fuel 130, parking 20</t>
  </si>
  <si>
    <t>Cash given to imran by bilal</t>
  </si>
  <si>
    <t>bakhti give hisab, soup, bilal bhai AC cell, photocopy</t>
  </si>
  <si>
    <t>bilal office</t>
  </si>
  <si>
    <t>multi plex drawings print</t>
  </si>
  <si>
    <t>claimed fuel for bill copy submitted to SEM</t>
  </si>
  <si>
    <t xml:space="preserve">salary adv to kamran auto </t>
  </si>
  <si>
    <t>claimed fuel for jpmc to office, office to Gizri for fan replace and then JPMC</t>
  </si>
  <si>
    <t>arsalan</t>
  </si>
  <si>
    <t>office ssgc bill paid</t>
  </si>
  <si>
    <t>mhr home ssgc bill paid</t>
  </si>
  <si>
    <t>solution tape, aari blade, pipe pana 700, hammer 120, screw driver 150, ladder fare 150</t>
  </si>
  <si>
    <t>paid to iftikhar for may 18</t>
  </si>
  <si>
    <t>to talha office for may 18</t>
  </si>
  <si>
    <t>Huzaifa cash used</t>
  </si>
  <si>
    <t>mangoes</t>
  </si>
  <si>
    <t>paid for mangoes patties at jpmc</t>
  </si>
  <si>
    <t>paid for tender purchased Kia lucky motor</t>
  </si>
  <si>
    <t>paid at ftc</t>
  </si>
  <si>
    <t>mobilink balance</t>
  </si>
  <si>
    <t>imran offf</t>
  </si>
  <si>
    <t>bakhti give hisaab, soup, cleaning cloth, lock open,</t>
  </si>
  <si>
    <t xml:space="preserve">CLAIMED for shaqfat office and iqram mughal </t>
  </si>
  <si>
    <t>claimed fuel for shafaqat and emarld tower 3rd time</t>
  </si>
  <si>
    <t>claimed fuel for shafaqat and emarld tower 2nd time</t>
  </si>
  <si>
    <t>claimed fuel by omer ebm for various sites and pick heater from zeelaf munir villa</t>
  </si>
  <si>
    <t>DIB chq sineg by sir rehman</t>
  </si>
  <si>
    <t>claimed fuel and medicine</t>
  </si>
  <si>
    <t xml:space="preserve">Claimed fuel </t>
  </si>
  <si>
    <t>paid salary to waris pool</t>
  </si>
  <si>
    <t>paid at zeelaf munir villa</t>
  </si>
  <si>
    <t>paid for burhani mehal</t>
  </si>
  <si>
    <t>paid for car wash 3 cars</t>
  </si>
  <si>
    <t xml:space="preserve">DIB chq </t>
  </si>
  <si>
    <t>fan purchased at nueplex</t>
  </si>
  <si>
    <t>loading / unloading at nueplex</t>
  </si>
  <si>
    <t>drawings print</t>
  </si>
  <si>
    <t>office sleeper purchased</t>
  </si>
  <si>
    <t>paid for falcon mall water supply</t>
  </si>
  <si>
    <t>atlantic blue</t>
  </si>
  <si>
    <t>storm fiber</t>
  </si>
  <si>
    <t>paid bill for the month of may</t>
  </si>
  <si>
    <t>paid for car service + oil change</t>
  </si>
  <si>
    <t>drawings print  zeelaf munir</t>
  </si>
  <si>
    <t>cash paid for utility bill</t>
  </si>
  <si>
    <t>cash  paid</t>
  </si>
  <si>
    <t>salary increased from 11000 to 13000</t>
  </si>
  <si>
    <t>cash paid for unilver ladder and welding material purchased</t>
  </si>
  <si>
    <t>s abdullah</t>
  </si>
  <si>
    <t>claimed fuel for bolten for disc and 3 times at bank</t>
  </si>
  <si>
    <t>faisal sweeper</t>
  </si>
  <si>
    <t>purcchased furnyle, tezab and other cleaning items</t>
  </si>
  <si>
    <t>paid fare from nasir to nueplex for material shifting</t>
  </si>
  <si>
    <t>paid fare from nasir to nueplex for material shifting 2nd time</t>
  </si>
  <si>
    <t>paid for suzuki fare for fan from SASA</t>
  </si>
  <si>
    <t>mobile balance to mibilink</t>
  </si>
  <si>
    <t>abid bonus used</t>
  </si>
  <si>
    <t>zohaib bonus used</t>
  </si>
  <si>
    <t>Engr noman bonus used</t>
  </si>
  <si>
    <t>huzaifa bonus used</t>
  </si>
  <si>
    <t>paid for unit installation at nueplex, by order bilal on phone</t>
  </si>
  <si>
    <t>paid to imran after verification of bilal bhai</t>
  </si>
  <si>
    <t>cash paid  nueplex for copper piping 2nd time</t>
  </si>
  <si>
    <t>cash paid for ftc by order nadeem</t>
  </si>
  <si>
    <t>paid suzuki fare fro utilities stores to office for rashan bags</t>
  </si>
  <si>
    <t xml:space="preserve">paid to rashid by order bilal nueplex </t>
  </si>
  <si>
    <t>cash he has given invoices</t>
  </si>
  <si>
    <t>cash for phoyocopies two times 1 time 1000 and 1 time 2000 sent thru owais</t>
  </si>
  <si>
    <t>paid for angle iron he will give  invoices</t>
  </si>
  <si>
    <t>to rafay (but its salary still contain error coz he didn’t submitted his salary card</t>
  </si>
  <si>
    <t>cash paid for photocopies</t>
  </si>
  <si>
    <t>fuel claimed for unilever</t>
  </si>
  <si>
    <t>cash hold with imran he will return invoices</t>
  </si>
  <si>
    <t>purchased  fittings by nadeem iqbal for naveed malik</t>
  </si>
  <si>
    <t>paid by order nadeem iqbal on chand raat</t>
  </si>
  <si>
    <t>salary adv to imran off june 18 by order bilal</t>
  </si>
  <si>
    <t>salary adv paid to talha june 18</t>
  </si>
  <si>
    <t>paid for nueplex purchasing cleared</t>
  </si>
  <si>
    <t>paid for nueplex cleared</t>
  </si>
  <si>
    <t>cash paid at naveed malik by order nadeem cleared</t>
  </si>
  <si>
    <t>for duct sealent at nueplex</t>
  </si>
  <si>
    <t xml:space="preserve">shehryar </t>
  </si>
  <si>
    <t>SST Tax</t>
  </si>
  <si>
    <t>paid SST tax</t>
  </si>
  <si>
    <t>bakhti give hisab, soup, , photocopy, buskuit and other items</t>
  </si>
  <si>
    <t>silver marker</t>
  </si>
  <si>
    <t>lassi for nadeem bhai guest</t>
  </si>
  <si>
    <t>GI sheet cutting</t>
  </si>
  <si>
    <t>claimed fuel for allied engg 2 times, bank, and for market</t>
  </si>
  <si>
    <t>ladder,holdtite, rikshaw fare 300, fuel 130 , parking 20</t>
  </si>
  <si>
    <t>for hold tile he will return invoices</t>
  </si>
  <si>
    <t xml:space="preserve">unilever drawings prints drawing print </t>
  </si>
  <si>
    <t>lunch and dairy milk chocolate</t>
  </si>
  <si>
    <t>paid for naveed malik by order nadeem bhai he will give invoices</t>
  </si>
  <si>
    <t>purchased silver tape, union, nipple, stariner, for nueplex fuel and parking 180</t>
  </si>
  <si>
    <t>lunch dairy milk, black pepper, dhai salad for ebad</t>
  </si>
  <si>
    <t>photo copy unilever submittal</t>
  </si>
  <si>
    <t>paid eidi to faisal sweeper</t>
  </si>
  <si>
    <t xml:space="preserve">purchased duct sealent for nueplex </t>
  </si>
  <si>
    <t>zahabiya paint</t>
  </si>
  <si>
    <t>paid for office AC</t>
  </si>
  <si>
    <t>claimed super card for bilal bhai and fuel claimed</t>
  </si>
  <si>
    <t xml:space="preserve">paid for nueplex purchasing valve, nut bolt washer, disc, glue, strainer </t>
  </si>
  <si>
    <t>sprial binding photocopy and cd for KIA lucky motors tender</t>
  </si>
  <si>
    <t>imran  off</t>
  </si>
  <si>
    <t>claimed fuel for falcon mall cooling tower document drop</t>
  </si>
  <si>
    <t>bakhti give hisaab, every day, green tea, 02 times</t>
  </si>
  <si>
    <t>lunch and lassi</t>
  </si>
  <si>
    <t>burger</t>
  </si>
  <si>
    <t xml:space="preserve">claimed fuel for chq collect for hardees chq, </t>
  </si>
  <si>
    <t>claimed fuel for SMC to Lucky office</t>
  </si>
  <si>
    <t>claimed fuel for shafqat to hbl emerald and parking</t>
  </si>
  <si>
    <t>paid to sir rehman for misc expenses</t>
  </si>
  <si>
    <t>level pipe, disc, labourer paid tea at zeelaf</t>
  </si>
  <si>
    <t>CASH PAID FOR PETTY PURPOSE</t>
  </si>
  <si>
    <t xml:space="preserve">drawing print and nueplex log sheet </t>
  </si>
  <si>
    <t>claimed fuel for sapphire</t>
  </si>
  <si>
    <t>paid for shehzor and suzuki fare</t>
  </si>
  <si>
    <t>to faheem bari</t>
  </si>
  <si>
    <t>taken from bilal bhai</t>
  </si>
  <si>
    <t xml:space="preserve">mhr home k elec bill </t>
  </si>
  <si>
    <t>mhr ptcl 1 bill</t>
  </si>
  <si>
    <t>office K elec bill ground floor</t>
  </si>
  <si>
    <t>office K elec bill 1st floor</t>
  </si>
  <si>
    <t>fuel claimed office to tariq road ac market to nueplex to antifungus market to nueplex</t>
  </si>
  <si>
    <t>claimed fuel office to yh to saddat to falcon</t>
  </si>
  <si>
    <t>for purchasing for falcon, nueplex and kaybees</t>
  </si>
  <si>
    <t>hold with imran off</t>
  </si>
  <si>
    <t>paid to  umer for plastic sheet</t>
  </si>
  <si>
    <t>padi to asif efu</t>
  </si>
  <si>
    <t>Kamran auto</t>
  </si>
  <si>
    <t xml:space="preserve">claimed fuel for rangoonwala </t>
  </si>
  <si>
    <t>For Selector for Efu</t>
  </si>
  <si>
    <t>chair repair</t>
  </si>
  <si>
    <t>riksahw fare from home to office</t>
  </si>
  <si>
    <t>bakhti give hisaab, tea bags suger, tissue soup print</t>
  </si>
  <si>
    <t>burger for ebad</t>
  </si>
  <si>
    <t>paid for purchasing glue, welding rod, bush riskaw fare 1300</t>
  </si>
  <si>
    <t xml:space="preserve">FOR NITO TAPE for office </t>
  </si>
  <si>
    <t>paid advance for chair repairing</t>
  </si>
  <si>
    <t>claimed fuel for bank and plastic sheet purchashe</t>
  </si>
  <si>
    <t>Rafeeq</t>
  </si>
  <si>
    <t>for zeelaf munir purchasing by order nadeem</t>
  </si>
  <si>
    <t>ptcl office bill</t>
  </si>
  <si>
    <t>claimed fuel for bolten and nueplex purchasing</t>
  </si>
  <si>
    <t>paid for chairs repair remaining balance</t>
  </si>
  <si>
    <t>claimed fuel for  2 times smc, shafqat office HBL and saddaat ofice</t>
  </si>
  <si>
    <t>zeelaf drawings print</t>
  </si>
  <si>
    <t>berger for bilal, ebad nadeem</t>
  </si>
  <si>
    <t>chocolate</t>
  </si>
  <si>
    <t>draing print</t>
  </si>
  <si>
    <t>nut bolt</t>
  </si>
  <si>
    <t>fuel and parking  claimed for bolten to jpmc to jubilee then home</t>
  </si>
  <si>
    <t>fuel claimed for wasiq office and parking</t>
  </si>
  <si>
    <t>cash paid for tank cover and salary advances</t>
  </si>
  <si>
    <t>claimed bus fare to FTC</t>
  </si>
  <si>
    <t>purchasd safety shoes</t>
  </si>
  <si>
    <t>purchased office electric work fittings from gizri</t>
  </si>
  <si>
    <t>paid for tesaab, tifon and cleaning bleach</t>
  </si>
  <si>
    <t>to bilal for june 18</t>
  </si>
  <si>
    <t>abdul rehman</t>
  </si>
  <si>
    <t>for lunch</t>
  </si>
  <si>
    <t>glue purchased glue 7200 and riksahw fare 300</t>
  </si>
  <si>
    <t>bike oil</t>
  </si>
  <si>
    <t>claimed fuel from office to falcon to II chudriger toad to bohra peer to saddar to falcon to home</t>
  </si>
  <si>
    <t>claimed fuel from office to sasa to DIB</t>
  </si>
  <si>
    <t>claimed fuel from office to zeelaf, to smc to office to jpmc to korangi to jpmc to office</t>
  </si>
  <si>
    <t>claimed fuel from office to giari to office to smc to bolten to zeelaf</t>
  </si>
  <si>
    <t>claimed rikshaw fare frrm jpmc to zeelaf for moving fittings</t>
  </si>
  <si>
    <t>claimed bilal bhai mini ufoce super card</t>
  </si>
  <si>
    <t>2 rupess revenue stamo</t>
  </si>
  <si>
    <t>paid to ebad</t>
  </si>
  <si>
    <t>paid to azeem for site expenses</t>
  </si>
  <si>
    <t>for sir rehman car wash</t>
  </si>
  <si>
    <t>for drawings print</t>
  </si>
  <si>
    <t>paid for  nut bolt at sapphire dolmen</t>
  </si>
  <si>
    <t>witribe</t>
  </si>
  <si>
    <t>billl paid at jpmc</t>
  </si>
  <si>
    <t>mhr ssgc bill paid</t>
  </si>
  <si>
    <t>unit purchased for nueplex</t>
  </si>
  <si>
    <t>paid for misc expenses at Zeelaf munir</t>
  </si>
  <si>
    <t>paid for utilities bill for farhan</t>
  </si>
  <si>
    <t>paid for utilities bill for nadeem bhai home</t>
  </si>
  <si>
    <t>naqash salary increased</t>
  </si>
  <si>
    <t>siddiq salary increased</t>
  </si>
  <si>
    <t>claimed fuel from office to ftc to bahadurbad al khidmat to office to qayyumabad</t>
  </si>
  <si>
    <t>paid riksahw fare for zeelaf material from ibraheem fittings</t>
  </si>
  <si>
    <t>drawing for sapphire</t>
  </si>
  <si>
    <t>drawing for unilever</t>
  </si>
  <si>
    <t>bakhti give hisab, grill lock, bilal burger, biskuit for nadeem and other items</t>
  </si>
  <si>
    <t>lunch for eabd</t>
  </si>
  <si>
    <t>for misc purchasing</t>
  </si>
  <si>
    <t>bus fare claimed</t>
  </si>
  <si>
    <t>give to bilal bhai</t>
  </si>
  <si>
    <t>kinggtox spray mortein spray  surf, harpic</t>
  </si>
  <si>
    <t>nueplex nut bolt</t>
  </si>
  <si>
    <t>bit 24mm</t>
  </si>
  <si>
    <t>labour for SC bolt work</t>
  </si>
  <si>
    <t>fuel and parking claimed for above purcashing</t>
  </si>
  <si>
    <t xml:space="preserve">mc scoket ms nipple union nut china bolt </t>
  </si>
  <si>
    <t>for mobile balance to his friend</t>
  </si>
  <si>
    <t>salahuddin salary paid</t>
  </si>
  <si>
    <t>shahid salary paid</t>
  </si>
  <si>
    <t>ahmed salary paid</t>
  </si>
  <si>
    <t>zulfiqaur 8 days salary paid in advance he is going for leave</t>
  </si>
  <si>
    <t>claimed misc and refereshment expenses at FTC floor</t>
  </si>
  <si>
    <t>claimed fuel for various sites</t>
  </si>
  <si>
    <t xml:space="preserve">paid for jpmc to indus </t>
  </si>
  <si>
    <t>paid to salahuddin for misc expenses at naveed malik</t>
  </si>
  <si>
    <t>bakhti give hisab, room spray, bilal bhai mobile mini super card, biskuit and misc kitchen expenses</t>
  </si>
  <si>
    <t>zeelaf draw</t>
  </si>
  <si>
    <t>sapphire drawing</t>
  </si>
  <si>
    <t>for bilal bhai, nadeem bhai  car wash</t>
  </si>
  <si>
    <t>padi for binding the file</t>
  </si>
  <si>
    <t>burger for nasir bhai, mustafa and bilal bhai and minhaal</t>
  </si>
  <si>
    <t>ufone mobile balance</t>
  </si>
  <si>
    <t>haris salary paid 12 days by confirmation thru jahangeer</t>
  </si>
  <si>
    <t>remaining balance paid</t>
  </si>
  <si>
    <t>waris salary paid</t>
  </si>
  <si>
    <t>qayyum remaining salary of may paid</t>
  </si>
  <si>
    <t>mobile balance ufone</t>
  </si>
  <si>
    <t xml:space="preserve">paid by order nadeem bhai </t>
  </si>
  <si>
    <t>paid shahid welder 6 days salary @ 20,000/month</t>
  </si>
  <si>
    <t>nueplex print</t>
  </si>
  <si>
    <t>bakhti, give hisab, suger, cigratte, green tea tea bags every day milk</t>
  </si>
  <si>
    <t>nueplex cash</t>
  </si>
  <si>
    <t>cash paid for site expenses</t>
  </si>
  <si>
    <t>july bill paid</t>
  </si>
  <si>
    <t>paid sst tax against 2 month FTC monthly bill, ftc FCU installation and spar final bill SST</t>
  </si>
  <si>
    <t>Azaad</t>
  </si>
  <si>
    <t>paid cash for jpmc by irder nadeem iqbal</t>
  </si>
  <si>
    <t>bakhti give hisab, misc expenses</t>
  </si>
  <si>
    <t>drawing print sapphire</t>
  </si>
  <si>
    <t>drawing print zeelaf</t>
  </si>
  <si>
    <t>nueplex log sheet print</t>
  </si>
  <si>
    <t>drawing print jpmc</t>
  </si>
  <si>
    <t>invoices</t>
  </si>
  <si>
    <t>riksahw fare  from shershaw to office fithing and other items</t>
  </si>
  <si>
    <t>fuel claimed for sadder to office office to shersha for fittings for nueplex from ibraheem</t>
  </si>
  <si>
    <t>(JPMC &amp; nueplex) ms union, motorized valve, flang,e lbow, pvc tape, zodium rod , nut bolt, rubber sheet rikshaw fare</t>
  </si>
  <si>
    <t>fuel claimed for above purchasing</t>
  </si>
  <si>
    <t>claimed uber fare from nasir bahi to office</t>
  </si>
  <si>
    <t>claimed fuel  off to shabbir to nueplx &amp; allied engg</t>
  </si>
  <si>
    <t>purchased aeroflex 1 1/4" for nueplex from shabbir</t>
  </si>
  <si>
    <t>(JPMC, &amp; nueplex) pipe wraping tape, zodium rod, ms fittings from abbas, ms bend  stariner and gate valve,  rikshaw fare</t>
  </si>
  <si>
    <t>saeed khan</t>
  </si>
  <si>
    <t>excavation work at jpmc ground floor</t>
  </si>
  <si>
    <t>to minhaal at july 18 by order bilal</t>
  </si>
  <si>
    <t>claimed rikshaw fare from iqbal to nueplex</t>
  </si>
  <si>
    <t>personal paid he will return</t>
  </si>
  <si>
    <t>JES</t>
  </si>
  <si>
    <t>paid for buitly Khujoor</t>
  </si>
  <si>
    <t>paid for zahabiya paint</t>
  </si>
  <si>
    <t>to arif dilawar and shahid fro july 18 at zeelaf munir</t>
  </si>
  <si>
    <t>cash paid ftc site</t>
  </si>
  <si>
    <t>to asif efu</t>
  </si>
  <si>
    <t>cash paid (10,000 + 8000)</t>
  </si>
  <si>
    <t>for ticket PIA sir rehman from multan to kar</t>
  </si>
  <si>
    <t>motor winding with asmature type, tapes and other items riksahe fare and fuel</t>
  </si>
  <si>
    <t>gasket, bolt and washer , ape, flang,  and cloth</t>
  </si>
  <si>
    <t>draing print  uniler and  jomc</t>
  </si>
  <si>
    <t>give office misc hisab</t>
  </si>
  <si>
    <t>jpmc drawin</t>
  </si>
  <si>
    <t xml:space="preserve">to kamran at july 18 </t>
  </si>
  <si>
    <t>Huzaifa 1st chq record</t>
  </si>
  <si>
    <t>for mhr home fridge</t>
  </si>
  <si>
    <t>Usman cool</t>
  </si>
  <si>
    <t>paid for copper pipe at jpmc</t>
  </si>
  <si>
    <t>1 time bank, 2 time nueplex, 1 time falcon, 2 time zeelaf, 1 time golimar, and iqbal sons and kaytess</t>
  </si>
  <si>
    <t>(JPMC, nuepelx and falcon)measurung tape, 20 thaan cloth for falcon, welding rod, pvc tape, black glass,  rikshaw fare and fuel</t>
  </si>
  <si>
    <t>misc purchases at jpmc</t>
  </si>
  <si>
    <t>zulfiqaur core</t>
  </si>
  <si>
    <t>paid at zeelaf munir for 7 cores</t>
  </si>
  <si>
    <t>welding gloves cutting disc rod  and bit for zeelaf</t>
  </si>
  <si>
    <t>ufine mobile balnce</t>
  </si>
  <si>
    <t>to bilal office july 18</t>
  </si>
  <si>
    <t>2nd chq</t>
  </si>
  <si>
    <t>Sikla</t>
  </si>
  <si>
    <t>paid for hangers and supports by order huzaifa</t>
  </si>
  <si>
    <t>Khan brothers</t>
  </si>
  <si>
    <t>Ashraf ducting</t>
  </si>
  <si>
    <t>paid  by huzaifa</t>
  </si>
  <si>
    <t>paid in agaisnt exhast fans</t>
  </si>
  <si>
    <t>in huzaifa account</t>
  </si>
  <si>
    <t>for purchasing karachi brosht</t>
  </si>
  <si>
    <t>burhani mehal cash</t>
  </si>
  <si>
    <t>asif piping</t>
  </si>
  <si>
    <t>paid cash at sapphire</t>
  </si>
  <si>
    <t>paid for hilti repairing</t>
  </si>
  <si>
    <t>to faisal sweeper for july 18</t>
  </si>
  <si>
    <t>shezore</t>
  </si>
  <si>
    <t>for fare from nasir to falcon for 6" pipe shifting</t>
  </si>
  <si>
    <t>cashpaid</t>
  </si>
  <si>
    <t>drawing print</t>
  </si>
  <si>
    <t>electric equipment for office</t>
  </si>
  <si>
    <t>epoxy paint with thiner amd hardner with brush</t>
  </si>
  <si>
    <t>cream taxi and fuel</t>
  </si>
  <si>
    <t>to bakhati for july 18</t>
  </si>
  <si>
    <t>omer</t>
  </si>
  <si>
    <t>claimed for bilal bhai cream car</t>
  </si>
  <si>
    <t>paid mhr and office ptcl bills</t>
  </si>
  <si>
    <t>faizan duct</t>
  </si>
  <si>
    <t>paid for unilever fire purchasing</t>
  </si>
  <si>
    <t>for efu kitchen expenses glass, spoon, cup and plates cleared</t>
  </si>
  <si>
    <t>for efu photocopies and paint brushes</t>
  </si>
  <si>
    <t>purchased sioft sealent for unilever</t>
  </si>
  <si>
    <t>Payable Amount</t>
  </si>
  <si>
    <t>to dilawar jjuly 18</t>
  </si>
  <si>
    <t>to arif july 18</t>
  </si>
  <si>
    <t>to shahid july 18</t>
  </si>
  <si>
    <t>inchi tape purcahsed</t>
  </si>
  <si>
    <t>bakhri give hisaab tea bags, every days, suer soaps.</t>
  </si>
  <si>
    <t>lunch and dahi phulki</t>
  </si>
  <si>
    <t xml:space="preserve">lunch </t>
  </si>
  <si>
    <t>light connecter by kamran elec</t>
  </si>
  <si>
    <t>sapphire draw</t>
  </si>
  <si>
    <t>office extention wire and board and electric item for kamran elec for office work</t>
  </si>
  <si>
    <t>nasir, bilal bhai , huzaifa and biskuit</t>
  </si>
  <si>
    <t>kamran elec burger</t>
  </si>
  <si>
    <t>calcee for bilal</t>
  </si>
  <si>
    <t>spiral binding nueplex balance sheet</t>
  </si>
  <si>
    <t>angle purchad for falcon site</t>
  </si>
  <si>
    <t>purchased epoxy paints for falcon mall</t>
  </si>
  <si>
    <t>purchawd nut bolt for jpmc</t>
  </si>
  <si>
    <t>for purchasing water tanker from ehsan traders</t>
  </si>
  <si>
    <t>rikshaw fare from inraheem fittings</t>
  </si>
  <si>
    <t>fuel cliamed  for july 18</t>
  </si>
  <si>
    <t>ahmed</t>
  </si>
  <si>
    <t>purchased mouse for computer</t>
  </si>
  <si>
    <t>claimed fuel for SMC and burhani mehal cash collection</t>
  </si>
  <si>
    <t>lunch for major imtiaz</t>
  </si>
  <si>
    <t>paid for purchasing cleared</t>
  </si>
  <si>
    <t>for VGA cable and camera connector</t>
  </si>
  <si>
    <t>remaining utilities bill paid</t>
  </si>
  <si>
    <t>paid to shahid for fotgee</t>
  </si>
  <si>
    <t>duct sealent 4 kg</t>
  </si>
  <si>
    <t>claimed fuel 2 times from jpmc</t>
  </si>
  <si>
    <t>electric rods</t>
  </si>
  <si>
    <t>nueplex as built drraings</t>
  </si>
  <si>
    <t>for rikshaw fare wrinch pana, and his remaining balance by order nadeem bhai</t>
  </si>
  <si>
    <t>to arif for july 18</t>
  </si>
  <si>
    <t>for purchasing by order nadeem bhai</t>
  </si>
  <si>
    <t>to zulfiqar for july 18</t>
  </si>
  <si>
    <t>site miecs expenses</t>
  </si>
  <si>
    <t>paid office bill</t>
  </si>
  <si>
    <t>mobile balacnce</t>
  </si>
  <si>
    <t>mobile balacnce ufone super card</t>
  </si>
  <si>
    <t>paid for pvc fittings for J jamshed shop</t>
  </si>
  <si>
    <t>to sheryar for july 18</t>
  </si>
  <si>
    <t>faheem ftc</t>
  </si>
  <si>
    <t>purchasd connecter and nuts</t>
  </si>
  <si>
    <t>claimed fuel from 26 july to 31 july</t>
  </si>
  <si>
    <t>ashraf</t>
  </si>
  <si>
    <t>lunch for sir rehman and bilal bhai and his gueest</t>
  </si>
  <si>
    <t>bakhti give hisab, tissue biskuit, green tea and other</t>
  </si>
  <si>
    <t xml:space="preserve">bilal bhai </t>
  </si>
  <si>
    <t>burger for nadeem bhai guest</t>
  </si>
  <si>
    <t>burger for bilal bhai and mustafa</t>
  </si>
  <si>
    <t>nut bolt and fuel claimed</t>
  </si>
  <si>
    <t>for C channel advance at zeelaf and 2000 suzuki fare</t>
  </si>
  <si>
    <t>paid for misc expenses at site order by bilal bhai</t>
  </si>
  <si>
    <t>to talha for july 18</t>
  </si>
  <si>
    <t xml:space="preserve">paid for farhan shb KESC  bill </t>
  </si>
  <si>
    <t>paid for FCU installation at nuelex</t>
  </si>
  <si>
    <t>cloth and glue for jpmc</t>
  </si>
  <si>
    <t>for medicine and injections</t>
  </si>
  <si>
    <t>for efu misc purchasing</t>
  </si>
  <si>
    <t>waris salry paid</t>
  </si>
  <si>
    <t>uniler wheel and light nueplex, fittingsd cloth and glue</t>
  </si>
  <si>
    <t>paid this cash given by imran off</t>
  </si>
  <si>
    <t>fuel claimed allied, nadeem bhai home, banks, anwar saddat, nueplex kaytess falcon</t>
  </si>
  <si>
    <t>rafay</t>
  </si>
  <si>
    <t>to amjad for august 18</t>
  </si>
  <si>
    <t>Core cutting</t>
  </si>
  <si>
    <t>Rajab</t>
  </si>
  <si>
    <t>for shifting for chiller</t>
  </si>
  <si>
    <t>claimed fuel for anwar sadaat , nueplex ph 8, anwar saddat shersah avaari falcon</t>
  </si>
  <si>
    <t>angle purchased</t>
  </si>
  <si>
    <t>at sapphire</t>
  </si>
  <si>
    <t>Huzaifa chq</t>
  </si>
  <si>
    <t>Taken from office salaries</t>
  </si>
  <si>
    <t>paid for site expenses by order nadeem bhai</t>
  </si>
  <si>
    <t>to kamran jamia for august 18</t>
  </si>
  <si>
    <t>for purchasing for cloth glue duct sealent for Sapphire</t>
  </si>
  <si>
    <t>cards printing and dori for unuilevere staff</t>
  </si>
  <si>
    <t>chicken mali boti and sandieich</t>
  </si>
  <si>
    <t>bakhti give 10 days hisan, lunch for sir rehman, suger, tea bags, biskuits,  soup  green tea and misc photocopies</t>
  </si>
  <si>
    <t>zeelaf drawing prints</t>
  </si>
  <si>
    <t>paid for shehzor and suzuki fare at site by rafay</t>
  </si>
  <si>
    <t>for efu logs printing</t>
  </si>
  <si>
    <t>paid for core cuttings by order imran engr</t>
  </si>
  <si>
    <t>purchasing, welding rod,  glloves, and other items</t>
  </si>
  <si>
    <t>for zeeelaf purchasing paint</t>
  </si>
  <si>
    <t>for purchasing for color and karosine oil for falcon</t>
  </si>
  <si>
    <t>for chicken biryani and rikshaw fare 300 and extra lunch 1000</t>
  </si>
  <si>
    <t>to abbas ishaq given by jahangeer</t>
  </si>
  <si>
    <t>to sheryar given by jahangeer</t>
  </si>
  <si>
    <t>paid for ibaraheem fitting shifting from office to zeelaf</t>
  </si>
  <si>
    <t>monthly lunch expenses by order sir rehman</t>
  </si>
  <si>
    <t>Majid AHU</t>
  </si>
  <si>
    <t>for AHUs repaiirng at the place</t>
  </si>
  <si>
    <t>excavation</t>
  </si>
  <si>
    <t>paid tho saeed mama for excavation work at jpmc</t>
  </si>
  <si>
    <t>material shifting from office to sapphire</t>
  </si>
  <si>
    <t>to talha for august 18</t>
  </si>
  <si>
    <t>paid july bill</t>
  </si>
  <si>
    <t>shifting of rods from office to the place phase 8</t>
  </si>
  <si>
    <t xml:space="preserve">claimed fuel  zeelaf, bohra peer, falcon nueplex anwar sadaat </t>
  </si>
  <si>
    <t>sir rehman claimed medicine and fuel</t>
  </si>
  <si>
    <t>Tender purchased</t>
  </si>
  <si>
    <t>J S center from najmi bilgraumi</t>
  </si>
  <si>
    <t>imran claimed mobile card and bike oil changed</t>
  </si>
  <si>
    <t>Minahl</t>
  </si>
  <si>
    <t>minhal claimed fuel from office to sadder to allied to office to tariq road</t>
  </si>
  <si>
    <t>minhal claimed fuel from office to abm to national bank to office to tariq road</t>
  </si>
  <si>
    <t xml:space="preserve">for light saver for MHR home </t>
  </si>
  <si>
    <t>for naveel malik site lmisc purcajsing</t>
  </si>
  <si>
    <t>bilal bhai tea</t>
  </si>
  <si>
    <t>claimed misc purchasing at sapphire</t>
  </si>
  <si>
    <t>paid for ac gas charges at farhan mehboob banglow</t>
  </si>
  <si>
    <t>mineral water at falcon mall</t>
  </si>
  <si>
    <t>paid for ftc tea blower repairer misc expenses</t>
  </si>
  <si>
    <t>MCB chq</t>
  </si>
  <si>
    <t>2 car wash</t>
  </si>
  <si>
    <t>to feroz sahab for august 18</t>
  </si>
  <si>
    <t>bakhti salary</t>
  </si>
  <si>
    <t>imran salary 29 days</t>
  </si>
  <si>
    <t>arif salary paid</t>
  </si>
  <si>
    <t>bilal autocad</t>
  </si>
  <si>
    <t>calcium tablets, cigratte and lunch</t>
  </si>
  <si>
    <t>drawing falcon</t>
  </si>
  <si>
    <t>bakhti give hisab, rehman shb lunch, tea bags, buskuits, suger, every day colour papers, and stamp pad ink</t>
  </si>
  <si>
    <t>paid for severage pipe line repair</t>
  </si>
  <si>
    <t>nut bolt ss for malik shb and glue fro jpmc</t>
  </si>
  <si>
    <t>claimed fuel and riksahw fare for glue drop to jpmc</t>
  </si>
  <si>
    <t>fisher and rawal bolt for nueplex johar site</t>
  </si>
  <si>
    <t>for mithai at unilever site by order nadeem bhai</t>
  </si>
  <si>
    <t>cash for personal</t>
  </si>
  <si>
    <t>noman engr</t>
  </si>
  <si>
    <t>paid to noman for office site expenses by order nadeem bhai</t>
  </si>
  <si>
    <t>fuel for sasa and prem submittal</t>
  </si>
  <si>
    <t>maxon chemical</t>
  </si>
  <si>
    <t>purchased tank bladder for naveed malik site</t>
  </si>
  <si>
    <t>to minhaal for nut bolt</t>
  </si>
  <si>
    <t>claimed fuel and disc purchased</t>
  </si>
  <si>
    <t>claimed his balance falcon and indus</t>
  </si>
  <si>
    <t>claimed  suzuki fare from falcon to office then zeelaf minur villa</t>
  </si>
  <si>
    <t>cash paid for falcon site sent thru azeem by order nadeem</t>
  </si>
  <si>
    <t>Ahmed salary</t>
  </si>
  <si>
    <t>paid in advance</t>
  </si>
  <si>
    <t>paid for chemical supply in phase VIII</t>
  </si>
  <si>
    <t>glue for the place</t>
  </si>
  <si>
    <t>to faisal sweeper for august 18</t>
  </si>
  <si>
    <t>to talha cad for august 18</t>
  </si>
  <si>
    <t>to asif efu for august 18</t>
  </si>
  <si>
    <t>to ARIF for august 18</t>
  </si>
  <si>
    <t>to khalid for august 18</t>
  </si>
  <si>
    <t>to haneef for august 18</t>
  </si>
  <si>
    <t>paid nadeem 500 rehan 500 total 1000</t>
  </si>
  <si>
    <t>claimed fuel for sem office and total</t>
  </si>
  <si>
    <t xml:space="preserve">for karosine oil </t>
  </si>
  <si>
    <t>to shahrukh new emplyeeer august 18 sent thru nadeem</t>
  </si>
  <si>
    <t>to shahid painter for august 18 sent thru nadeem</t>
  </si>
  <si>
    <t>to ahmed for august 18 sent thru nadeem</t>
  </si>
  <si>
    <t>cash foe personal</t>
  </si>
  <si>
    <t>paid at burhani mehal pool service</t>
  </si>
  <si>
    <t>receiveed from naveed malik by nedeem iqbal</t>
  </si>
  <si>
    <t>paid at the place</t>
  </si>
  <si>
    <t xml:space="preserve">to haneef for august 18 </t>
  </si>
  <si>
    <t xml:space="preserve">to arif for august 18 </t>
  </si>
  <si>
    <t>to kamran ali akber efu for august 18 by  order nadeem iqbal</t>
  </si>
  <si>
    <t>paid for site expeses and man hole made</t>
  </si>
  <si>
    <t>zubair duct</t>
  </si>
  <si>
    <t>paid at falcon</t>
  </si>
  <si>
    <t>phenoil, cleaner, harpic, shopper, mop, chemical</t>
  </si>
  <si>
    <t>for angle for nueplex</t>
  </si>
  <si>
    <t>claimed prv fuel for 3 days</t>
  </si>
  <si>
    <t>paid for newspaper bill at MHR</t>
  </si>
  <si>
    <t>paid for medicene, petrol</t>
  </si>
  <si>
    <t>receiveed from bilal bhai</t>
  </si>
  <si>
    <t>bills paid mhr 33459 and office 24393</t>
  </si>
  <si>
    <t>fuel claimed anwar sadaat and saim bhai and u bolt purchased</t>
  </si>
  <si>
    <t>magnigying glass</t>
  </si>
  <si>
    <t>paid for fittigns at sapphire</t>
  </si>
  <si>
    <t>nueplex prints</t>
  </si>
  <si>
    <t>claimed fuel from bohra peer to jpmc to office then azam basti then bank then</t>
  </si>
  <si>
    <t>claimed fuel 3 time bank, chemcon, unilever drop antifungus</t>
  </si>
  <si>
    <t>welding plant repair from azam basti</t>
  </si>
  <si>
    <t>bakhti give hisaab, tea bags, every day, soup, suger, tissue papers,  kitchen expenses sir rehman lunch and misc items</t>
  </si>
  <si>
    <t xml:space="preserve">falcon drawings and print </t>
  </si>
  <si>
    <t xml:space="preserve">to shahid for his remaining balance by order nadeem bhai for falcon and zeelaf purchasing </t>
  </si>
  <si>
    <t>paid for rikshaw fare for glue from bohra peer to jpmc</t>
  </si>
  <si>
    <t>claimed risksahw fare from new karachi to unilever  for glue drop and fuel claimed</t>
  </si>
  <si>
    <t>for hilti repair, purcjasd cutting discs and grinder 5" for zeelaf</t>
  </si>
  <si>
    <t>mineral water for office 20 bottles</t>
  </si>
  <si>
    <t>mobile balance ufune super card</t>
  </si>
  <si>
    <t>bilal bhai ufone super card on chand raat</t>
  </si>
  <si>
    <t>claimed fuel from 22/8/18 to 29/8/18</t>
  </si>
  <si>
    <t>for making of thresdeind in ms pipe</t>
  </si>
  <si>
    <t>dammer tape for the place</t>
  </si>
  <si>
    <t xml:space="preserve">to imran for fans motor repairing from rehan shahjee </t>
  </si>
  <si>
    <t>paid for exhaust fan installation at zaid factory by order nedeem iqbal</t>
  </si>
  <si>
    <t>to arif for august 18 by order nadeem iqbal</t>
  </si>
  <si>
    <t>paid for site expenses</t>
  </si>
  <si>
    <t>to imran for tapes 3 carton to jpmc and 2 to falcon</t>
  </si>
  <si>
    <t>to rafeeeq for site expenses</t>
  </si>
  <si>
    <t>azeem or shahid</t>
  </si>
  <si>
    <t xml:space="preserve">paid to welder at zeelaf </t>
  </si>
  <si>
    <t>paid to minhaal</t>
  </si>
  <si>
    <t>to faisal sweeper fro august 18</t>
  </si>
  <si>
    <t>claimed riksahw fare from office to unilever then jpmc then office for duct selent tea and elbow and inuslation roll shifting</t>
  </si>
  <si>
    <t xml:space="preserve">ashraf </t>
  </si>
  <si>
    <t>paid to ahsraf by huzaifa 1000 + 4000 = 5000</t>
  </si>
  <si>
    <t>chagha and calcee</t>
  </si>
  <si>
    <t>lunch for 2 days</t>
  </si>
  <si>
    <t>bakhti give hisaab green tea, bukuit corrier rubber and other items</t>
  </si>
  <si>
    <t>usb purchased for huzaifa</t>
  </si>
  <si>
    <t>paid for hilti and other item purchased zeelaf</t>
  </si>
  <si>
    <t>indus radioly for fire alarm panel</t>
  </si>
  <si>
    <t xml:space="preserve">cash paid for jpmc site </t>
  </si>
  <si>
    <t>salary advance to talha auto cad for september 2018</t>
  </si>
  <si>
    <t>salary advance to aamir at jpmc for september</t>
  </si>
  <si>
    <t>sir rehman homessgc bill paid</t>
  </si>
  <si>
    <t>cash paid for jpmc site expenses</t>
  </si>
  <si>
    <t>paid for labour at zeelaf for wall cutting</t>
  </si>
  <si>
    <t>paid august bill</t>
  </si>
  <si>
    <t>2 car wash charges</t>
  </si>
  <si>
    <t>to iftikhar for the month of september  18</t>
  </si>
  <si>
    <t>chargha, honey, biskuit &amp; cigratte</t>
  </si>
  <si>
    <t>photo copy draiwng</t>
  </si>
  <si>
    <t>agreement 3rd floor print</t>
  </si>
  <si>
    <t>received from imran off after purchasing</t>
  </si>
  <si>
    <t>adjust in salaries</t>
  </si>
  <si>
    <t>claimed feul for welding plant repair and CP for challan and bank for CBC bills</t>
  </si>
  <si>
    <t>claimed fuel from office to indus, then office then uniler for tape drop tapes then bolten for material and then jpmc and unilver</t>
  </si>
  <si>
    <t>for unilever material and jpmc material</t>
  </si>
  <si>
    <t>claimed fuel for burger shake</t>
  </si>
  <si>
    <t>claimed fuel for YH and I other site</t>
  </si>
  <si>
    <t>claimed fuel for FTC bilal bhai personal work</t>
  </si>
  <si>
    <t>Umed remaining salaries</t>
  </si>
  <si>
    <t>paid to bilal bhai (his SAAS)</t>
  </si>
  <si>
    <t>paid for nut bolt at burger shake at sindhi muslim</t>
  </si>
  <si>
    <t>paid in advance by order nadeem</t>
  </si>
  <si>
    <t>paid to feroz for ftc maintenance expenses</t>
  </si>
  <si>
    <t>paid for anchor bolt</t>
  </si>
  <si>
    <t>paid to amir at zeelaf munir</t>
  </si>
  <si>
    <t>printer service and refill</t>
  </si>
  <si>
    <t xml:space="preserve">bakhti give hisab, tea bagsm suger , every day, coopex powder, jaali, soup, </t>
  </si>
  <si>
    <t>lunch for 3 days</t>
  </si>
  <si>
    <t>2 times fruit and juice for guset child</t>
  </si>
  <si>
    <t>drawing zeelaf</t>
  </si>
  <si>
    <t>cholay chaat</t>
  </si>
  <si>
    <t>paid for valve for naveed malik cleared</t>
  </si>
  <si>
    <t>paid for rishaw fare from ibarheem fitting to office</t>
  </si>
  <si>
    <t>cash paid for 10 tape carton and riksahw fare</t>
  </si>
  <si>
    <t>paid salary</t>
  </si>
  <si>
    <t>ahmed auto</t>
  </si>
  <si>
    <t>for policeman for pipe unloading</t>
  </si>
  <si>
    <t>cash paid for purcchasing</t>
  </si>
  <si>
    <t>paid september saalry in advance</t>
  </si>
  <si>
    <t>paid to arif for salary adv for the month of september</t>
  </si>
  <si>
    <t>cash paid for material after finalization with mr bilal</t>
  </si>
  <si>
    <t>rafeeq</t>
  </si>
  <si>
    <t>muneer</t>
  </si>
  <si>
    <t>corrier</t>
  </si>
  <si>
    <t>for hyper star bill corrier to sheheyar lahore</t>
  </si>
  <si>
    <t>bakhti give hisab, suop, scotch bright, green tea and misc</t>
  </si>
  <si>
    <t>fruit and cogratee</t>
  </si>
  <si>
    <t>uniler and zeelaf drawing</t>
  </si>
  <si>
    <t>cashk paid for efu log shet printing Rs 810 cleared</t>
  </si>
  <si>
    <t>paid for pump repairing at bank allfalah head office</t>
  </si>
  <si>
    <t>to ahmed zeelag</t>
  </si>
  <si>
    <t xml:space="preserve">to talha office </t>
  </si>
  <si>
    <t>Umer salary</t>
  </si>
  <si>
    <t>paid umer ftc salary</t>
  </si>
  <si>
    <t>police</t>
  </si>
  <si>
    <t>paid to policman by sir rehman</t>
  </si>
  <si>
    <t>to dilawar for september</t>
  </si>
  <si>
    <t>to azaad</t>
  </si>
  <si>
    <t xml:space="preserve">bakhti give hisab, </t>
  </si>
  <si>
    <t>chaat</t>
  </si>
  <si>
    <t>honey, chargha, fruit</t>
  </si>
  <si>
    <t>draings zeelaf</t>
  </si>
  <si>
    <t>Rec from bilal bhai</t>
  </si>
  <si>
    <t>to rafeeq zeelaf</t>
  </si>
  <si>
    <t>paid for claining item purchased</t>
  </si>
  <si>
    <t>Chemicon</t>
  </si>
  <si>
    <t>corrier bill to sheryar</t>
  </si>
  <si>
    <t>corri doc to zohaib tax wala</t>
  </si>
  <si>
    <t>drawing jpmc</t>
  </si>
  <si>
    <t>drawing zeelag</t>
  </si>
  <si>
    <t>lunch 2 times</t>
  </si>
  <si>
    <t>bakhti give hisaab</t>
  </si>
  <si>
    <t>prem submiital copy</t>
  </si>
  <si>
    <t>A4 rim carton</t>
  </si>
  <si>
    <t>for suzuki fare dor rod shifting</t>
  </si>
  <si>
    <t>to faisal sweeeper</t>
  </si>
  <si>
    <t>the place</t>
  </si>
  <si>
    <t>paid for attendence card printing</t>
  </si>
  <si>
    <t>claimed fuel,  and other expenses</t>
  </si>
  <si>
    <t xml:space="preserve">paid for material shifting from office </t>
  </si>
  <si>
    <t>to amir plumber for zeelaf munir</t>
  </si>
  <si>
    <t>Received from nadeem bhai</t>
  </si>
  <si>
    <t>paid for wooden pcs, attendence card, and flexible connector 6" for the place</t>
  </si>
  <si>
    <t>to zulfiqaur</t>
  </si>
  <si>
    <t>mithai for jpmc</t>
  </si>
  <si>
    <t>to arif for september</t>
  </si>
  <si>
    <t>for fittings</t>
  </si>
  <si>
    <t>cash taken cleared</t>
  </si>
  <si>
    <t>cash paid cleared</t>
  </si>
  <si>
    <t>cash return by imran after purcahsing</t>
  </si>
  <si>
    <t>bakhti give hisaab, tissue papers, lunch, fruit, samosay, corrier,  green tea, suger , office grill lock. Sir rehman lunch</t>
  </si>
  <si>
    <t>drawing seelaf date 25-9</t>
  </si>
  <si>
    <t xml:space="preserve">drawing seelaf date </t>
  </si>
  <si>
    <t>ming court soup, haji pharmacy and fuel</t>
  </si>
  <si>
    <t>Received from bilal bhai as the place two bills</t>
  </si>
  <si>
    <t>Received from nadeem bhai as  naveed malik cash</t>
  </si>
  <si>
    <t>paid for tapes cartor and other purcahseing</t>
  </si>
  <si>
    <t>paid for purchsing tea, soclet.  Welding rod, cutting disc</t>
  </si>
  <si>
    <t xml:space="preserve">paid for fuel at mhr home </t>
  </si>
  <si>
    <t>paid for cutting disc and suzuki fare for fitting for neelum colony</t>
  </si>
  <si>
    <t>cash paid sent thru minhaal</t>
  </si>
  <si>
    <t>for purchasing welding, cutting disc weding glass, welding glass black, corben power cutter.</t>
  </si>
  <si>
    <t>paid for kumail pump repaire and valve by order bilal bhai</t>
  </si>
  <si>
    <t>basheer pipe</t>
  </si>
  <si>
    <t>paid for welding plant at zeelaf</t>
  </si>
  <si>
    <t>cash paid to farhan bhai</t>
  </si>
  <si>
    <t>paid for misc purchasing</t>
  </si>
  <si>
    <t>arif</t>
  </si>
  <si>
    <t>claimed foe fuel sent thru abdullaj</t>
  </si>
  <si>
    <t>to talha for october</t>
  </si>
  <si>
    <t>paid to faisal sweeper for cleaning chemical material</t>
  </si>
  <si>
    <t>paid for efu log printing</t>
  </si>
  <si>
    <t>bakhti give hisaab, lassi, fruit, green tea, sir rehman lunch, I set glass, every day, tea bags, marker, tikka, angoor, cigratte,suger, biskuit  spray</t>
  </si>
  <si>
    <t>zeelaf draings print for rafeeq for bill verification</t>
  </si>
  <si>
    <t>for site expenses</t>
  </si>
  <si>
    <t>bakhti give hisaab, pen, uhu stick, sir rehman lunch fruit, every day, soup, tea bags and green tea, biskuits</t>
  </si>
  <si>
    <t>falcon drawing print</t>
  </si>
  <si>
    <t>cash taken from remaining cash in imran engg cheque</t>
  </si>
  <si>
    <t>paid for mobile card</t>
  </si>
  <si>
    <t xml:space="preserve">bakhti </t>
  </si>
  <si>
    <t>to abbas for fitting from jpmc to the place</t>
  </si>
  <si>
    <t>paid for conveyance</t>
  </si>
  <si>
    <t>news paper bil paid</t>
  </si>
  <si>
    <t>misc office expenses by nakhti (tissue box, suger, everyday . Tea bags, sir rehman lunch, cigratee, etc</t>
  </si>
  <si>
    <t>DIB</t>
  </si>
  <si>
    <t>cash paid sent thru shahid painter</t>
  </si>
  <si>
    <t>to ahmed at zmv</t>
  </si>
  <si>
    <t>to shashrukh at zmv</t>
  </si>
  <si>
    <t>paid for jubille clamp, brushes and riksahaw fare for unilever return material</t>
  </si>
  <si>
    <t>paid for monthly tea and refreshment expense</t>
  </si>
  <si>
    <t>paid for suzuki fare for off to indus</t>
  </si>
  <si>
    <t>to lateef amv</t>
  </si>
  <si>
    <t>to aamir amv</t>
  </si>
  <si>
    <t>office washroom light and msulim shower handly and claimed fuel</t>
  </si>
  <si>
    <t>bakhti give hisaan, green tea suger, biskuit, dahi, sir rehman lunch, cigrattee</t>
  </si>
  <si>
    <t>mhr home and office bills</t>
  </si>
  <si>
    <t>umer paid</t>
  </si>
  <si>
    <t>purchased fittings</t>
  </si>
  <si>
    <t>paid at zmv</t>
  </si>
  <si>
    <t>to talha office</t>
  </si>
  <si>
    <t>paid from jpmc to falcon</t>
  </si>
  <si>
    <t>bakhti give hisab, green tea, sabzi, sleeper. Sir rehman lunch soup, suger etc</t>
  </si>
  <si>
    <t>falcon drawing</t>
  </si>
  <si>
    <t>pioneer profile print</t>
  </si>
  <si>
    <t>drawing avaari</t>
  </si>
  <si>
    <t>for purcahsing</t>
  </si>
  <si>
    <t>paid for invoies</t>
  </si>
  <si>
    <t>javed pump</t>
  </si>
  <si>
    <t>received from nadeem bhai</t>
  </si>
  <si>
    <t xml:space="preserve">bakhti give hisab,  tea bags,  sir rehman lunch, biskuit ,fruit, every daym soup,, </t>
  </si>
  <si>
    <t>paid c/o rehana aunty</t>
  </si>
  <si>
    <t>nisar salary paid</t>
  </si>
  <si>
    <t>fasih ur rehman</t>
  </si>
  <si>
    <t>mineral water bottles</t>
  </si>
  <si>
    <t>purchased office fan</t>
  </si>
  <si>
    <t>Cash taken</t>
  </si>
  <si>
    <t>Invoices submit</t>
  </si>
  <si>
    <t>Balance remain</t>
  </si>
  <si>
    <t>from nadeem bhai</t>
  </si>
  <si>
    <t>falcon invoices</t>
  </si>
  <si>
    <t>from bilal bhai</t>
  </si>
  <si>
    <t>invoices falcon</t>
  </si>
  <si>
    <t>paid for material shifting from office to unilever</t>
  </si>
  <si>
    <t>bakhti give hisaab, sopu, every day tea basgs tissue, sire rehman lunch , cighratte photoopy</t>
  </si>
  <si>
    <t>to iftikhar for the month of Nov  18</t>
  </si>
  <si>
    <t xml:space="preserve">cash paid for tee, elbow, </t>
  </si>
  <si>
    <t>cash paid for tee, bareel nipple for sapphire</t>
  </si>
  <si>
    <t>to asif efu for november 18</t>
  </si>
  <si>
    <t>paid for islamuddin to office sapphire inuslation</t>
  </si>
  <si>
    <t>paid in his account</t>
  </si>
  <si>
    <t>shafeeq</t>
  </si>
  <si>
    <t>paid suzuki fare to shafeeq</t>
  </si>
  <si>
    <t>super card</t>
  </si>
  <si>
    <t>riksah fare for office fan</t>
  </si>
  <si>
    <t>bakhti give hisab misc items</t>
  </si>
  <si>
    <t>paid for unilver material sjhfiting</t>
  </si>
  <si>
    <t>tip top glue for unile ver</t>
  </si>
  <si>
    <t>paid for newspaper</t>
  </si>
  <si>
    <t>to umair for november 18 tabba heart</t>
  </si>
  <si>
    <t>paid for heater purchasing</t>
  </si>
  <si>
    <t>paid for suzuki fare for unilever shifitng</t>
  </si>
  <si>
    <t>invocies</t>
  </si>
  <si>
    <t>paid for minthly refreshment and tea at ftc</t>
  </si>
  <si>
    <t>to shaheryar jpmc</t>
  </si>
  <si>
    <t xml:space="preserve">for purchasing of matrerial </t>
  </si>
  <si>
    <t>paid the place 4 empplyee</t>
  </si>
  <si>
    <t>received against 15-L payment</t>
  </si>
  <si>
    <t>22-11-17</t>
  </si>
  <si>
    <t>Nue plex</t>
  </si>
  <si>
    <t>spar fuel</t>
  </si>
  <si>
    <t>1st floor</t>
  </si>
  <si>
    <t>30-11-17</t>
  </si>
  <si>
    <t>qadir baksha sal adv</t>
  </si>
  <si>
    <t>quran khurani khaana</t>
  </si>
  <si>
    <t>spar purchasing</t>
  </si>
  <si>
    <t>17-12-17</t>
  </si>
  <si>
    <t>khadi packages</t>
  </si>
  <si>
    <t>kamran khaadi 15-L</t>
  </si>
  <si>
    <t>for water tanker at home</t>
  </si>
  <si>
    <t>abdullah for efu</t>
  </si>
  <si>
    <t>nueplex for light</t>
  </si>
  <si>
    <t>patty cash</t>
  </si>
  <si>
    <t>salary advance qadir</t>
  </si>
  <si>
    <t>saleem for grills nuemulti</t>
  </si>
  <si>
    <t>nueplex purchasing</t>
  </si>
  <si>
    <t>paid to sir rehman</t>
  </si>
  <si>
    <t>09-01-18</t>
  </si>
  <si>
    <t>nuemulti plex</t>
  </si>
  <si>
    <t>11-01-18</t>
  </si>
  <si>
    <t>minhaal for nueplex</t>
  </si>
  <si>
    <t>19-01-18</t>
  </si>
  <si>
    <t>repaired sir rehman car</t>
  </si>
  <si>
    <t>water tanjer</t>
  </si>
  <si>
    <t>nueplex refreshment and salary advances</t>
  </si>
  <si>
    <t>nueplex purchaisng by minhaal</t>
  </si>
  <si>
    <t>22-01-18</t>
  </si>
  <si>
    <t>20-01-18</t>
  </si>
  <si>
    <t>23-01-18</t>
  </si>
  <si>
    <t>jpmc purchasing</t>
  </si>
  <si>
    <t>24-01-18</t>
  </si>
  <si>
    <t>25-01-18</t>
  </si>
  <si>
    <t>islamabad tickets for sir rehman and rehana aunty</t>
  </si>
  <si>
    <t>27-01-18</t>
  </si>
  <si>
    <t>received cash against khaadi 15-L</t>
  </si>
  <si>
    <t>31-01-18</t>
  </si>
  <si>
    <t>fuel for 15-L</t>
  </si>
  <si>
    <t>02-02-18</t>
  </si>
  <si>
    <t>03-02-18</t>
  </si>
  <si>
    <t>for lcd to sir rehman c/o saeed sons</t>
  </si>
  <si>
    <t>06-02-18</t>
  </si>
  <si>
    <t>paid to rehan for petty cash</t>
  </si>
  <si>
    <t>amjad</t>
  </si>
  <si>
    <t>08-02-18</t>
  </si>
  <si>
    <t>fuel and other exp</t>
  </si>
  <si>
    <t>09-02-18</t>
  </si>
  <si>
    <t>paid to abdullah</t>
  </si>
  <si>
    <t>10-02-18</t>
  </si>
  <si>
    <t>paid against pipe insulation</t>
  </si>
  <si>
    <t>paid at jb saeed</t>
  </si>
  <si>
    <t>12-02-18</t>
  </si>
  <si>
    <t>duct sealents</t>
  </si>
  <si>
    <t>misc purchaseing</t>
  </si>
  <si>
    <t>13-02-18</t>
  </si>
  <si>
    <t>akber</t>
  </si>
  <si>
    <t>nueplex purch</t>
  </si>
  <si>
    <t>cash recived khaadi packages mall lahore this chq paid to nasir khan</t>
  </si>
  <si>
    <t>paid to Rehan for office petty cash</t>
  </si>
  <si>
    <t>casjh received these payment rec from total as jpmc 2nd bill payment paid to tahiri tehn tahiri paid to bilal</t>
  </si>
  <si>
    <t>paid to sami</t>
  </si>
  <si>
    <t>14-02-18</t>
  </si>
  <si>
    <t>16-02-18</t>
  </si>
  <si>
    <t>paid to easten sanitry</t>
  </si>
  <si>
    <t>19-02-18</t>
  </si>
  <si>
    <t>21-02-18</t>
  </si>
  <si>
    <t>22-02-18</t>
  </si>
  <si>
    <t>23-02-18</t>
  </si>
  <si>
    <t>27-02-18</t>
  </si>
  <si>
    <t>28-02-18</t>
  </si>
  <si>
    <t>paid to arsalan duct</t>
  </si>
  <si>
    <t>01-03-18</t>
  </si>
  <si>
    <t>Farhan bhai co nadeem</t>
  </si>
  <si>
    <t>05-03-18</t>
  </si>
  <si>
    <t>paid to basheer pipe installor</t>
  </si>
  <si>
    <t>channel and rodfor planr roon nueplex</t>
  </si>
  <si>
    <t>paid to saim bros</t>
  </si>
  <si>
    <t>08-03-18</t>
  </si>
  <si>
    <t>fuel and refreshment</t>
  </si>
  <si>
    <t>10-03-18</t>
  </si>
  <si>
    <t>fuel claimed by bilal</t>
  </si>
  <si>
    <t>13-03-18</t>
  </si>
  <si>
    <t>15-03-18</t>
  </si>
  <si>
    <t>paid to faizan</t>
  </si>
  <si>
    <t>misc item purchased by bilal</t>
  </si>
  <si>
    <t>misc items by bilal</t>
  </si>
  <si>
    <t>duct sealents and welding plant and other items by bilal</t>
  </si>
  <si>
    <t xml:space="preserve">channels, angle rod for plant room prchased by bilal </t>
  </si>
  <si>
    <t>purchasd duct sealent by bilal bhai</t>
  </si>
  <si>
    <t>purchased fusible link by bilal</t>
  </si>
  <si>
    <t>30-04-18</t>
  </si>
  <si>
    <t>imran off for purchasing</t>
  </si>
  <si>
    <t>paid to ashraf rajput</t>
  </si>
  <si>
    <t>received adhoc payment (JPMC) this chq direct paid to Nasir co Bilal</t>
  </si>
  <si>
    <t>duct sealent</t>
  </si>
  <si>
    <t>misc ourcahsing by imran office</t>
  </si>
  <si>
    <t>copper pipe at mcdonald</t>
  </si>
  <si>
    <t>to imran for nueplex purchasing</t>
  </si>
  <si>
    <t>refreshment</t>
  </si>
  <si>
    <t>fan fare</t>
  </si>
  <si>
    <t xml:space="preserve">fuel claimed </t>
  </si>
  <si>
    <t>given to imran for purchasing</t>
  </si>
  <si>
    <t>aeroflex</t>
  </si>
  <si>
    <t>mr Tariq for pipe purchased from mr tariq</t>
  </si>
  <si>
    <t>to major aamir</t>
  </si>
  <si>
    <t>zahid hakeem</t>
  </si>
  <si>
    <t>zahid midea for FCU</t>
  </si>
  <si>
    <t>paid to imran for purcahsing</t>
  </si>
  <si>
    <t>paid to ashraf duct at mcdonalds</t>
  </si>
  <si>
    <t>paid to rehan</t>
  </si>
  <si>
    <t>paid to emc baba insulator at plant room</t>
  </si>
  <si>
    <t>received chq of tabba heart against final bill</t>
  </si>
  <si>
    <t>received partial payment against lahore khaadi</t>
  </si>
  <si>
    <t>received in account of kaybees</t>
  </si>
  <si>
    <t>paid to rais ahmed</t>
  </si>
  <si>
    <t>paid to weldon</t>
  </si>
  <si>
    <t>paid to raza arsalan</t>
  </si>
  <si>
    <t>paid to tube</t>
  </si>
  <si>
    <t>rashid for FCU</t>
  </si>
  <si>
    <t>faheem elec eclectric cable for basement fan</t>
  </si>
  <si>
    <t>rashid for 4 ton AC material</t>
  </si>
  <si>
    <t>abdullah nueplex</t>
  </si>
  <si>
    <t>paid to faheem</t>
  </si>
  <si>
    <t>paid to ashraf</t>
  </si>
  <si>
    <t>received agasint chacha piro</t>
  </si>
  <si>
    <t>received agasint kaybees</t>
  </si>
  <si>
    <t>rec thru chq</t>
  </si>
  <si>
    <t>salary paid to minhaal</t>
  </si>
  <si>
    <t>paid to rashid for 4 ton AC</t>
  </si>
  <si>
    <t>paid for duct sealent</t>
  </si>
  <si>
    <t>paid for fuel and other items</t>
  </si>
  <si>
    <t>paid to rashid</t>
  </si>
  <si>
    <t>paid to zubair duct</t>
  </si>
  <si>
    <t>paid to tariq shb for valves fire</t>
  </si>
  <si>
    <t>paid to tariq shb for fcu</t>
  </si>
  <si>
    <t>fan purcahsed</t>
  </si>
  <si>
    <t>paid to rehan for petty purpose</t>
  </si>
  <si>
    <t>paid to sheeraz</t>
  </si>
  <si>
    <t>paid for misc puchass kaybees</t>
  </si>
  <si>
    <t>paid to farooq in nueplex</t>
  </si>
  <si>
    <t>sapphire purchasing</t>
  </si>
  <si>
    <t>paid to tariq at jpmc</t>
  </si>
  <si>
    <t>paid to kamran elec</t>
  </si>
  <si>
    <t>paid to Wasiq HBL</t>
  </si>
  <si>
    <t>given by bilal bhai by rehan</t>
  </si>
  <si>
    <t>misc expenses at hardees</t>
  </si>
  <si>
    <t>to imran office for purhasing</t>
  </si>
  <si>
    <t>bilal bhai mis</t>
  </si>
  <si>
    <t>misc purchasing</t>
  </si>
  <si>
    <t>to imran for purchasing</t>
  </si>
  <si>
    <t>purchasing</t>
  </si>
  <si>
    <t>to shareef</t>
  </si>
  <si>
    <t>to jahngeer</t>
  </si>
  <si>
    <t>cinemas VOS</t>
  </si>
  <si>
    <t>to ashraf sapphire</t>
  </si>
  <si>
    <t>shahbaz at pizza hut and the place</t>
  </si>
  <si>
    <t>to rehan</t>
  </si>
  <si>
    <t>for qurbani at mhr</t>
  </si>
  <si>
    <t>to major imtiaz mobile</t>
  </si>
  <si>
    <t>to farooq tirmizi nueplex</t>
  </si>
  <si>
    <t>major aamir falcon mall</t>
  </si>
  <si>
    <t>tool box for the place</t>
  </si>
  <si>
    <t>paid to mohsin as salary advance</t>
  </si>
  <si>
    <t>adjust thru thep place amount</t>
  </si>
  <si>
    <t>paid to  mustafa</t>
  </si>
  <si>
    <t>Karachi Broast</t>
  </si>
  <si>
    <t>received this chq direct submitted in Bilal bhai personal DIB, (chq # 20035045 bank DIB, date 8-9-18 account holder name M haris</t>
  </si>
  <si>
    <t>to rashid</t>
  </si>
  <si>
    <t>to javed pump the pleace</t>
  </si>
  <si>
    <t>to Rehan</t>
  </si>
  <si>
    <t>car work an dfuel</t>
  </si>
  <si>
    <t>ahmed salary advance</t>
  </si>
  <si>
    <t>to wasiq</t>
  </si>
  <si>
    <t>for water shield</t>
  </si>
  <si>
    <t>for duct sealent</t>
  </si>
  <si>
    <t>paid to mustafa from his personal</t>
  </si>
  <si>
    <t>to nadeem bhai for puchasing</t>
  </si>
  <si>
    <t>to pipe insulation to ahsan at the place</t>
  </si>
  <si>
    <t>to falcon for cleaning purpose</t>
  </si>
  <si>
    <t>for exhaust fan servicing the place</t>
  </si>
  <si>
    <t>received from J. Gragrance</t>
  </si>
  <si>
    <t>major aamir at falcon</t>
  </si>
  <si>
    <t>paid to farooq J.fragrance</t>
  </si>
  <si>
    <t>Received against burger shake</t>
  </si>
  <si>
    <t>paid to insulation ahsan at the place</t>
  </si>
  <si>
    <t>mobilink balance and fuel</t>
  </si>
  <si>
    <t>adjusted in bilal bhai profit share</t>
  </si>
  <si>
    <t>NIL</t>
  </si>
  <si>
    <t xml:space="preserve">the place operation and maintenance </t>
  </si>
  <si>
    <t>unilver and falcon</t>
  </si>
  <si>
    <t>cylinder</t>
  </si>
  <si>
    <t>paid to ahsan</t>
  </si>
  <si>
    <t>to minhaal for purchasing</t>
  </si>
  <si>
    <t>given to rehan</t>
  </si>
  <si>
    <t>to zulfiqaur core</t>
  </si>
  <si>
    <t>to minhaal for advance in his salary november 18</t>
  </si>
  <si>
    <t>to nadeem bhai for regger</t>
  </si>
  <si>
    <t>to minhaal for abbas fittings and wooden gutkay</t>
  </si>
  <si>
    <t>for 12num welding rods</t>
  </si>
  <si>
    <t>paid for ofice to nasir colony to falcon</t>
  </si>
  <si>
    <t>to faisal sweeper</t>
  </si>
  <si>
    <t>paid bilal bhai daughter fees thro mcb chq</t>
  </si>
  <si>
    <t>paid cash for azeem falcon purchasing</t>
  </si>
  <si>
    <t xml:space="preserve">bakhti give hisaab, every day, cofe, tiuuse, sugerfruit  fruit biskuit samosay </t>
  </si>
  <si>
    <t>paid for suzuki fare</t>
  </si>
  <si>
    <t>water tanker</t>
  </si>
  <si>
    <t>tranfer cash</t>
  </si>
  <si>
    <t xml:space="preserve">cash paid for purchasing </t>
  </si>
  <si>
    <t>paid for the place gas</t>
  </si>
  <si>
    <t>cash paid for muzaimmil</t>
  </si>
  <si>
    <t>to minhaal</t>
  </si>
  <si>
    <t>to haneed</t>
  </si>
  <si>
    <t>to sherry</t>
  </si>
  <si>
    <t>DIB Chq</t>
  </si>
  <si>
    <t>draings print</t>
  </si>
  <si>
    <t>bakhti give hisaab, biskuitm fruit, tisue cigratte tea bags</t>
  </si>
  <si>
    <t>to bakhti</t>
  </si>
  <si>
    <t>to ali khalid</t>
  </si>
  <si>
    <t>to kamran ali akber sent thru ali khalid</t>
  </si>
  <si>
    <t>to minhaal for falcon and zeelaf purchasing</t>
  </si>
  <si>
    <t>bll paid</t>
  </si>
  <si>
    <t>paid for mineral water at falcon</t>
  </si>
  <si>
    <t>received the place AHU bill</t>
  </si>
  <si>
    <t>to adam</t>
  </si>
  <si>
    <t>Received from Bilal bhai</t>
  </si>
  <si>
    <t>to zulfiquar ftc</t>
  </si>
  <si>
    <t>paid for purchasing zeelaf</t>
  </si>
  <si>
    <t>paid for abbas fittings and lunch at jpmc and cold drink</t>
  </si>
  <si>
    <t>paid for AC shifting cahrged to labourer zulfiquar</t>
  </si>
  <si>
    <t>cah paid for purchasing</t>
  </si>
  <si>
    <t>to a lateef zmv</t>
  </si>
  <si>
    <t>to abdullah zmv</t>
  </si>
  <si>
    <t>to jalal zmv</t>
  </si>
  <si>
    <t>k electric bill paid c/o farhan bhai</t>
  </si>
  <si>
    <t>mobile  balance</t>
  </si>
  <si>
    <t>invoices zeelaf</t>
  </si>
  <si>
    <t>paid for sheyrar purcashing</t>
  </si>
  <si>
    <t>to talha for novemnber 18</t>
  </si>
  <si>
    <t>cash paid for pump material purchased</t>
  </si>
  <si>
    <t>repaired corner table</t>
  </si>
  <si>
    <t>bakhti given hisab, photocopy, cigrattte, spray, furit biskiot , every day</t>
  </si>
  <si>
    <t>cash paid for falcon uniler and nueplex order jahangeer</t>
  </si>
  <si>
    <t>cash paid for purchasing sent thru amir engr</t>
  </si>
  <si>
    <t>for car denting dentinf painting</t>
  </si>
  <si>
    <t>paid cash for zeelaf site expenses sent thru shahid painter cleared</t>
  </si>
  <si>
    <t>invoices given by jahangeer</t>
  </si>
  <si>
    <t>cash paid for angle purchased for falcon mall</t>
  </si>
  <si>
    <t>cash paid for fare</t>
  </si>
  <si>
    <t>cash paid to minhaal for unilever and falcon</t>
  </si>
  <si>
    <t>misc cleaning material</t>
  </si>
  <si>
    <t>drawing prict</t>
  </si>
  <si>
    <t>photopcoy</t>
  </si>
  <si>
    <t>bakhti give hisab, suger, fruit, cofee every daybiskuit and other items</t>
  </si>
  <si>
    <t>drawing prict jpmc</t>
  </si>
  <si>
    <t>to talha nov 18</t>
  </si>
  <si>
    <t xml:space="preserve">paid to waris </t>
  </si>
  <si>
    <t>weldinf rod falcon</t>
  </si>
  <si>
    <t>DIC chq</t>
  </si>
  <si>
    <t>invoices jpmc</t>
  </si>
  <si>
    <t>Dib chq</t>
  </si>
  <si>
    <t>2 mouse purchased</t>
  </si>
  <si>
    <t>invoice</t>
  </si>
  <si>
    <t>faseeh ticket</t>
  </si>
  <si>
    <t>tea expenses</t>
  </si>
  <si>
    <t>bakhti give hisaab, tea bags, tissue, club sandwich, chaat. soup, suger photocpy biskit , cigratee and etc etc</t>
  </si>
  <si>
    <t>paid to mustafa in account of zeelaf</t>
  </si>
  <si>
    <t>paid to mustafa in account of jpmc</t>
  </si>
  <si>
    <t>14-12-18</t>
  </si>
  <si>
    <t>to shehryar khalid  sent thru bilal bhai</t>
  </si>
  <si>
    <t>to kamran elec</t>
  </si>
  <si>
    <t>unilever and zeelaf purchasing</t>
  </si>
  <si>
    <t>falcon purchasing cloth and glue</t>
  </si>
  <si>
    <t>salary cash remained</t>
  </si>
  <si>
    <t>saeed lala salary</t>
  </si>
  <si>
    <t>given to mustafa advance</t>
  </si>
  <si>
    <t>to ahmed falcon</t>
  </si>
  <si>
    <t>to azeem for site expenses</t>
  </si>
  <si>
    <t>to kamran auto</t>
  </si>
  <si>
    <t>amir jpmc salary advance</t>
  </si>
  <si>
    <t>paid suzuki fare to ashraf from unilever to jpmc</t>
  </si>
  <si>
    <t>paid for purchaisng</t>
  </si>
  <si>
    <t>to talha salary adv</t>
  </si>
  <si>
    <t>to faheem for prv 5 days</t>
  </si>
  <si>
    <t>paid order thru nadeem bhai</t>
  </si>
  <si>
    <t>paid for purchsing falcon and unilever fittings and discs</t>
  </si>
  <si>
    <t>falcon and zeelaf purchasing</t>
  </si>
  <si>
    <t>paid for tube purchased ar naveed malik ok cleared</t>
  </si>
  <si>
    <t>bank charges</t>
  </si>
  <si>
    <t>paid thru nadeem bhai</t>
  </si>
  <si>
    <t>received from unilever cash payment</t>
  </si>
  <si>
    <t>ashraf ducting</t>
  </si>
  <si>
    <t>paid in zmc advance sent thru a boy rashif when asraf was in hospital</t>
  </si>
  <si>
    <t>paid in jpmc advance</t>
  </si>
  <si>
    <t>paid he given invoices checked by bilal bhai</t>
  </si>
  <si>
    <t>paid for purchasing of coil</t>
  </si>
  <si>
    <t>nazim piping</t>
  </si>
  <si>
    <t xml:space="preserve">cash paid for jpmc </t>
  </si>
  <si>
    <t>for purcahsing hold title, weldind rod, granding disk, tape for falcon</t>
  </si>
  <si>
    <t>paid for his share (2018 to 2019)</t>
  </si>
  <si>
    <t>for putchasing</t>
  </si>
  <si>
    <t>paid for channel patti for nueplex johar RMR</t>
  </si>
  <si>
    <t>paid for cleaning purpose</t>
  </si>
  <si>
    <t>paid in falcon account</t>
  </si>
  <si>
    <t>paid in account of IIL pipe for falcon</t>
  </si>
  <si>
    <t>paid for barrel nipple</t>
  </si>
  <si>
    <t>to khalid mansoor the place sent thru jahangeer for dec 18</t>
  </si>
  <si>
    <t>for bank charges</t>
  </si>
  <si>
    <t>usman bhai</t>
  </si>
  <si>
    <t>to shahid painter</t>
  </si>
  <si>
    <t>kamran auto for dec</t>
  </si>
  <si>
    <t>kamran jamia for dec</t>
  </si>
  <si>
    <t>paid for excavation in falcin</t>
  </si>
  <si>
    <t>paid transportation for IIL pipe</t>
  </si>
  <si>
    <t>received 400,000 from remaining 1,102,979</t>
  </si>
  <si>
    <t>to major tariq</t>
  </si>
  <si>
    <t>paid for I ball diffuser 1100 darham</t>
  </si>
  <si>
    <t>received against bill # PES/TP/34/12/18 bill for ducted type fcu 5 ton</t>
  </si>
  <si>
    <t>asif efu for dec</t>
  </si>
  <si>
    <t>light purchasd from al madina electric</t>
  </si>
  <si>
    <t>cash paid for falcon purchasig</t>
  </si>
  <si>
    <t>photocopy bill paid checked by kamran and bilal</t>
  </si>
  <si>
    <t>to kamran auto for dec 18</t>
  </si>
  <si>
    <t>paid at zeelaf</t>
  </si>
  <si>
    <t>for bus fare</t>
  </si>
  <si>
    <t>bakhti give misc office hisaab, tea bags, suger, every day soup and other items</t>
  </si>
  <si>
    <t>to zubair duct at falcon</t>
  </si>
  <si>
    <t>to rehan office</t>
  </si>
  <si>
    <t>received chq from total against jpmc extra bill payment</t>
  </si>
  <si>
    <t>bakhti give hisaab, milk, suger, soup surf, tea bags, pateeli, tea strainer fruit</t>
  </si>
  <si>
    <t>for purchsing</t>
  </si>
  <si>
    <t>for repairing of 2nd pump at bank al-falh</t>
  </si>
  <si>
    <t>Tender</t>
  </si>
  <si>
    <t>for tender purchased</t>
  </si>
  <si>
    <t>site expenses</t>
  </si>
  <si>
    <t>for indus drawing print</t>
  </si>
  <si>
    <t xml:space="preserve">plumber </t>
  </si>
  <si>
    <t>for office roof pipe work</t>
  </si>
  <si>
    <t>paid 3 car wash</t>
  </si>
  <si>
    <t>paid for kumail villa site expenses by order nadeem bhai</t>
  </si>
  <si>
    <t>cash paid against invoices</t>
  </si>
  <si>
    <t xml:space="preserve">flow master </t>
  </si>
  <si>
    <t>paid for the place ac work</t>
  </si>
  <si>
    <t>to kamran auto for jan 19</t>
  </si>
  <si>
    <t>bakhti give hisaab, green tea, room spray, cigtaee tea bags milk fruit</t>
  </si>
  <si>
    <t xml:space="preserve">cash paid for 24 nos flang for falcon </t>
  </si>
  <si>
    <t>cash paid for and 3 carton  tape for jpmc</t>
  </si>
  <si>
    <t>for purchaing  pvc tape and suzuki fare</t>
  </si>
  <si>
    <t>for purchasing aluminuium tape fuel and suzuki fare</t>
  </si>
  <si>
    <t>paid child fee thru compoany account</t>
  </si>
  <si>
    <t>paid child fee thru mcb comaopny account</t>
  </si>
  <si>
    <t>child fee paid</t>
  </si>
  <si>
    <t>Yaqoob pool</t>
  </si>
  <si>
    <t>paid cash for pool heater</t>
  </si>
  <si>
    <t>for purchaing channel patti, cutting disc abd fisher</t>
  </si>
  <si>
    <t>paid for screw at falcon</t>
  </si>
  <si>
    <t>paid for the place purchasing</t>
  </si>
  <si>
    <t>to faisal for jan 19</t>
  </si>
  <si>
    <t>to kamran auti for jan 19</t>
  </si>
  <si>
    <t>paid for fuel claimed</t>
  </si>
  <si>
    <t>for unilever misc purchased</t>
  </si>
  <si>
    <t>to jahageer for dec 18</t>
  </si>
  <si>
    <t>office and mhr bills paid</t>
  </si>
  <si>
    <t>for falcon site expenses by order nadeem bhai</t>
  </si>
  <si>
    <t>Munna</t>
  </si>
  <si>
    <t>internet bill paid</t>
  </si>
  <si>
    <t>to owais at the place for jan 2019</t>
  </si>
  <si>
    <t>monna duct</t>
  </si>
  <si>
    <t>paid for tool</t>
  </si>
  <si>
    <t>paid for lunch at site for all pioneer staff</t>
  </si>
  <si>
    <t>for invoices</t>
  </si>
  <si>
    <t>nadeem baloch</t>
  </si>
  <si>
    <t>paid cash by order nadeem bhai</t>
  </si>
  <si>
    <t>paid for kumail villa old invoices</t>
  </si>
  <si>
    <t>cash paid glue, red oxide and karosine oil</t>
  </si>
  <si>
    <t>Tariq chiller</t>
  </si>
  <si>
    <t>paid for the place site</t>
  </si>
  <si>
    <t>to shaheryar at falcon for jan 19</t>
  </si>
  <si>
    <t>to shahid at falcon for jan 19</t>
  </si>
  <si>
    <t>cash paid for mazda fare from islamuddin</t>
  </si>
  <si>
    <t>imran engr</t>
  </si>
  <si>
    <t>paid at jpmc site</t>
  </si>
  <si>
    <t>abdullah insulator</t>
  </si>
  <si>
    <t>bakhti give hisaab, limk suger, tea bags burger biskuit etv</t>
  </si>
  <si>
    <t>for through bolt, tapes, and nut bolts and zahabiya</t>
  </si>
  <si>
    <t>paid at the place balance payment</t>
  </si>
  <si>
    <t>advane for purchasing</t>
  </si>
  <si>
    <t>paid for C-channel purchasing from mughal iron</t>
  </si>
  <si>
    <t>paid balance payment for C channel to mughal iiron</t>
  </si>
  <si>
    <t>deposited tp sir rehman riyaal in saudia arabia for umra purpose</t>
  </si>
  <si>
    <t>Nill amount by giving 2 dib che 01873451   01873450</t>
  </si>
  <si>
    <t xml:space="preserve">cash return </t>
  </si>
  <si>
    <t>claimed for the place site by shaheryar</t>
  </si>
  <si>
    <t>claimed for the FTC site by shaheryar</t>
  </si>
  <si>
    <t>claimed for the place site by shahid painter</t>
  </si>
  <si>
    <t>office washroom drain pipe cap changed</t>
  </si>
  <si>
    <t>paid for site expenses sent thru kamran auto</t>
  </si>
  <si>
    <t>to faisal sweeper for jan 19 salary in advance</t>
  </si>
  <si>
    <t>for spar elbow changed</t>
  </si>
  <si>
    <t>paid to ashraf for unilever material</t>
  </si>
  <si>
    <t xml:space="preserve">padi for glue and cloth at jpmc, </t>
  </si>
  <si>
    <t xml:space="preserve">falcon approved  set drawing print for azeem </t>
  </si>
  <si>
    <t>bakhti give hisaab,  fruit, suger every day milk cigratte soup and other items</t>
  </si>
  <si>
    <t xml:space="preserve">FTZ </t>
  </si>
  <si>
    <t>paid bill</t>
  </si>
  <si>
    <t>paid for clamp and digital meter</t>
  </si>
  <si>
    <t>mosque amount</t>
  </si>
  <si>
    <t>for AC installation cahrges at the place</t>
  </si>
  <si>
    <t>cash paid for purchasing invoices given (victualic coupling)</t>
  </si>
  <si>
    <t>paid for purchasing invoices given</t>
  </si>
  <si>
    <t>paid for the month of jan 19 for office and mhr home</t>
  </si>
  <si>
    <t>anwar fitting</t>
  </si>
  <si>
    <t>paid for elbow at falcon</t>
  </si>
  <si>
    <t>paid for chiller de-scaling at bank al-falah</t>
  </si>
  <si>
    <t>paid for sit expenses</t>
  </si>
  <si>
    <t>paid for misc items</t>
  </si>
  <si>
    <t>paid suzuki fare</t>
  </si>
  <si>
    <t>to shahid painter for jan 19</t>
  </si>
  <si>
    <t>paid ok</t>
  </si>
  <si>
    <t>paid for brushes for paint at the place ok</t>
  </si>
  <si>
    <t>for purchasing invoices given</t>
  </si>
  <si>
    <t xml:space="preserve">bakhti give hisaab, tea bags, sir rehman lunch cigratee tissue fruit, </t>
  </si>
  <si>
    <t>purchasing falcon tape and jpmc cloth and gasket</t>
  </si>
  <si>
    <t>cash for site expenses</t>
  </si>
  <si>
    <t>paid for suzuki fare and misc expenses</t>
  </si>
  <si>
    <t xml:space="preserve">paid for cleaning material </t>
  </si>
  <si>
    <t>cash paid in advance</t>
  </si>
  <si>
    <t xml:space="preserve">Abotabad </t>
  </si>
  <si>
    <t>corrier and cartages charges</t>
  </si>
  <si>
    <t>bakhti give hisaab  lock, fruitt, lunch soup suger milk and othr itms</t>
  </si>
  <si>
    <t>purchased flang, nut bolt, red paint , glass for falcon</t>
  </si>
  <si>
    <t>purchased blower for office computer cleaning by order Rehan, nadeem bhai order to return bank the blower.</t>
  </si>
  <si>
    <t>mobile balce in his mobilink</t>
  </si>
  <si>
    <t>ssgc bill paid</t>
  </si>
  <si>
    <t>jpmc photocopy bill paid checked by kamran and bilal</t>
  </si>
  <si>
    <t>to khaldi for jan 19</t>
  </si>
  <si>
    <t>Chargh din steel</t>
  </si>
  <si>
    <t>paid for flanges</t>
  </si>
  <si>
    <t>photoocopy</t>
  </si>
  <si>
    <t>cash paid for bank al-falah sent thru In hand ali khalid</t>
  </si>
  <si>
    <t>salary paid for the month of january 19 in advance</t>
  </si>
  <si>
    <t>to bilal auto fro jan 19</t>
  </si>
  <si>
    <t>paid to nadeem bhai for utilities bills</t>
  </si>
  <si>
    <t>given to rashid bhai</t>
  </si>
  <si>
    <t>invoices given</t>
  </si>
  <si>
    <t xml:space="preserve">to mihaal </t>
  </si>
  <si>
    <t>shabbir brother</t>
  </si>
  <si>
    <t>paid for old bill</t>
  </si>
  <si>
    <t>Cash given to sir rehman by bilal bhai at home by his personal for imran wife dress . Rs 1000,000/-</t>
  </si>
  <si>
    <t>minhaal for purchasing paint and fittings for falcon and zeelaf</t>
  </si>
  <si>
    <t>for purchasing fisher flexible duct and misc item for zeelaf</t>
  </si>
  <si>
    <t>for purcashing</t>
  </si>
  <si>
    <t>paid office 1sy floor k elec bill which was delayed by KE for technical reason</t>
  </si>
  <si>
    <t>to aqeel for feb 2019 sent thru huzaifa</t>
  </si>
  <si>
    <t>for riksahw fare from ebm</t>
  </si>
  <si>
    <t>for fuel and lunch</t>
  </si>
  <si>
    <t>paid for th efees</t>
  </si>
  <si>
    <t>labourer</t>
  </si>
  <si>
    <t>paid at zel</t>
  </si>
  <si>
    <t>paid for c channel 2 x 4 and angle 1. 1/4 x 1. 1/4 at falcon</t>
  </si>
  <si>
    <t>nadeem bhai given to bilal bhai</t>
  </si>
  <si>
    <t>for naveed malik sit expenses</t>
  </si>
  <si>
    <t>bakhti give hisaab, fruit, cigratee milk soup, suger, photocopy, green tea, and other items</t>
  </si>
  <si>
    <t>rece from tariq insulation for mosque donation</t>
  </si>
  <si>
    <t>to azeem for falcon bill material copies</t>
  </si>
  <si>
    <t>to haneef for 2 hilti repairing</t>
  </si>
  <si>
    <t>to minhaal for paint at falcon</t>
  </si>
  <si>
    <t>remained from salaries</t>
  </si>
  <si>
    <t>from rafaqat star sam in sapphire account</t>
  </si>
  <si>
    <t xml:space="preserve">paid for sanitry fisxtures sent thru amjad </t>
  </si>
  <si>
    <t>paid in falcon account now deal complete</t>
  </si>
  <si>
    <t xml:space="preserve">paid for site expenses </t>
  </si>
  <si>
    <t xml:space="preserve">to alim </t>
  </si>
  <si>
    <t>for zeelaf purchasing welding rods, cutting disc,  rivot cementex</t>
  </si>
  <si>
    <t>minhaal salary paid</t>
  </si>
  <si>
    <t>Nazim Pump</t>
  </si>
  <si>
    <t>paid for falcon plant  room work</t>
  </si>
  <si>
    <t>office ground floor lock change, machine lock</t>
  </si>
  <si>
    <t>paid thru DIB chq #</t>
  </si>
  <si>
    <t>munna</t>
  </si>
  <si>
    <t>paid in zeelaf account</t>
  </si>
  <si>
    <t>paid advance in jpmc deduct in his bill</t>
  </si>
  <si>
    <t>for purchasing falcon ,cloth, tapes duct sealent, and pvc tape for zeelaf</t>
  </si>
  <si>
    <t>paid for biryani</t>
  </si>
  <si>
    <t>to painter salary at falcon</t>
  </si>
  <si>
    <t>pool light</t>
  </si>
  <si>
    <t>paid to jahanzaib for zeelaf pool light</t>
  </si>
  <si>
    <t>mazher ali driver salary paid</t>
  </si>
  <si>
    <t>to waseem for feb 19</t>
  </si>
  <si>
    <t>to raheel for feb 19</t>
  </si>
  <si>
    <t>to kashif fo feb 19</t>
  </si>
  <si>
    <t>to sufyan for feb 19</t>
  </si>
  <si>
    <t>to mehmood for feb 19</t>
  </si>
  <si>
    <t>to shahbaz for feb 19</t>
  </si>
  <si>
    <t>invoice by bilal bhai</t>
  </si>
  <si>
    <t>paid for imran marriage maker dania</t>
  </si>
  <si>
    <t>paid for naveed malik cleared</t>
  </si>
  <si>
    <t>to rashid the place</t>
  </si>
  <si>
    <t>for rikshaw fare</t>
  </si>
  <si>
    <t>bakhti give hisaab, fruit biskuot, lunch, cigratee burger, tax challan copies, green tea,</t>
  </si>
  <si>
    <t>bakhti medication</t>
  </si>
  <si>
    <t>asif taha supplier</t>
  </si>
  <si>
    <t>paid for geyser at jpmc</t>
  </si>
  <si>
    <t>paid for material at the place</t>
  </si>
  <si>
    <t>full and final payment for 11 unit installation at the place</t>
  </si>
  <si>
    <t>paid nbakhti salary by bilal bhai</t>
  </si>
  <si>
    <t>fareed fire</t>
  </si>
  <si>
    <t xml:space="preserve">paid for installation of supervisory panel at uniliver </t>
  </si>
  <si>
    <t>hammad flange</t>
  </si>
  <si>
    <t>paid for the deal of flange at falcon 26 nos flangs</t>
  </si>
  <si>
    <t>riaz uncle</t>
  </si>
  <si>
    <t>to asif EFU for feb 19</t>
  </si>
  <si>
    <t>to mukhtar b/o nadeem bhai</t>
  </si>
  <si>
    <t>hdpe drawing print</t>
  </si>
  <si>
    <t>rizwan core letter head print</t>
  </si>
  <si>
    <t>to rehan for office</t>
  </si>
  <si>
    <t>for drill machine cap</t>
  </si>
  <si>
    <t>Dib chq # 01873521</t>
  </si>
  <si>
    <t>this cash paid for zeelaf pool lights now uptodate 632,000</t>
  </si>
  <si>
    <t>yaseen insulation</t>
  </si>
  <si>
    <t>Paid for 10 roll insulation for zeelaf</t>
  </si>
  <si>
    <t>for office expenses suger, tea, and milk</t>
  </si>
  <si>
    <t>paid for diffuser suzuki fare</t>
  </si>
  <si>
    <t>to  kamran auto for feb 2019</t>
  </si>
  <si>
    <t>paid for flanges at falcon this cash sent thru jahangeer</t>
  </si>
  <si>
    <t>for imran suit embasodor</t>
  </si>
  <si>
    <t>after tender remaining</t>
  </si>
  <si>
    <t>for milk and office expenses</t>
  </si>
  <si>
    <t>jinnah were house tender photocopies</t>
  </si>
  <si>
    <t>paid final payment for 18" flange with end cap and transportation</t>
  </si>
  <si>
    <t>paid for core cutting at falcon mall</t>
  </si>
  <si>
    <t>amjad ele</t>
  </si>
  <si>
    <t>paid to anwar fittings</t>
  </si>
  <si>
    <t>paid for finalization his account at hyper star</t>
  </si>
  <si>
    <t>paid for tapes, weldong disc and welding rods</t>
  </si>
  <si>
    <t xml:space="preserve">for misc expenses and fuel </t>
  </si>
  <si>
    <t>Sadqa</t>
  </si>
  <si>
    <t>donate for sadqa bakra for falcon and jpmc</t>
  </si>
  <si>
    <t>Masjid account</t>
  </si>
  <si>
    <t>paid for invoives</t>
  </si>
  <si>
    <t>mobile ufine super card</t>
  </si>
  <si>
    <t xml:space="preserve">cash paid for pump </t>
  </si>
  <si>
    <t>mazher</t>
  </si>
  <si>
    <t>key make, lunch sir rehman lunch, milk and misc kitchen expenses</t>
  </si>
  <si>
    <t>paid  now up todate 1650,000</t>
  </si>
  <si>
    <t>paid for 2 pair connector for bilal bhai room led cctv camera</t>
  </si>
  <si>
    <t>paid thru DIB chq # 01900184</t>
  </si>
  <si>
    <t>for cementex and grinding disc glue, nut bolt for falcon</t>
  </si>
  <si>
    <t>the place pump repairing</t>
  </si>
  <si>
    <t>paid for purcashing</t>
  </si>
  <si>
    <t>paid for material purchased for pump art falcon</t>
  </si>
  <si>
    <t>to aamir for feb 19</t>
  </si>
  <si>
    <t>to danish for feb 19</t>
  </si>
  <si>
    <t>misc expenses by bilal bhai at mhr home</t>
  </si>
  <si>
    <t>paid for core cuttings and other material</t>
  </si>
  <si>
    <t>to shahrukh falcon for feb 19</t>
  </si>
  <si>
    <t>umar office give hisaab, fruit, tea bags, every day, soup and ither items</t>
  </si>
  <si>
    <t>paid for site expenses sent thru aamir</t>
  </si>
  <si>
    <t>to nizaqat for feb 19</t>
  </si>
  <si>
    <t>to ahmed falcon for feb 19</t>
  </si>
  <si>
    <t>paid for jpmc site expenses against invoices</t>
  </si>
  <si>
    <t>paid for site expeses</t>
  </si>
  <si>
    <t>paid  for utilities bills</t>
  </si>
  <si>
    <t>paid for eye ball diffuser from office to falcon and falcon to nasir colony to bolten market to zeelaf and office.</t>
  </si>
  <si>
    <t>paid to bilal bhai for he gave misc invoices</t>
  </si>
  <si>
    <t>paid for salaries to munna ducting for zeelaf site</t>
  </si>
  <si>
    <t>minhaal salary paid in advance for feb 19</t>
  </si>
  <si>
    <t>for tapes and bits at zeelaf</t>
  </si>
  <si>
    <t>for clothes and fittings</t>
  </si>
  <si>
    <t>imran eng</t>
  </si>
  <si>
    <t>at mhr home</t>
  </si>
  <si>
    <t>paid for naveed malik</t>
  </si>
  <si>
    <t>paid cash to bilal bhai</t>
  </si>
  <si>
    <t>for flanges and nut bolt gas ket</t>
  </si>
  <si>
    <t>to abbas ishaq for feb 19</t>
  </si>
  <si>
    <t>sajid painter</t>
  </si>
  <si>
    <t>to adeel ftc sen tro zulfiqaur</t>
  </si>
  <si>
    <t>to faisal sweeper his father died</t>
  </si>
  <si>
    <t>paid for purchasing flanges 8" 8 nos</t>
  </si>
  <si>
    <t>paid for imran marriage cards</t>
  </si>
  <si>
    <t>paid for water tanker</t>
  </si>
  <si>
    <t>mutton pulao and cold drink for farrukh guest</t>
  </si>
  <si>
    <t>medicine</t>
  </si>
  <si>
    <t>paid to imran eng for mhr home expenses</t>
  </si>
  <si>
    <t>billal bhai</t>
  </si>
  <si>
    <t>for less amount received from bank in salaries cash</t>
  </si>
  <si>
    <t>faheem</t>
  </si>
  <si>
    <t>for falcon electric material purchasing</t>
  </si>
  <si>
    <t>paid for tender purhcasind</t>
  </si>
  <si>
    <t>TS Company</t>
  </si>
  <si>
    <t>paid for ksb pump spare parts at the place</t>
  </si>
  <si>
    <t xml:space="preserve">umer </t>
  </si>
  <si>
    <t>for  nadeem bhai car wash and bilal bhai</t>
  </si>
  <si>
    <t>paid for chemical at the place phase 8  2 nos</t>
  </si>
  <si>
    <t>mubarak 4 days salary</t>
  </si>
  <si>
    <t>paid for nadeem bhai utility bill</t>
  </si>
  <si>
    <t>for purchasing  for color</t>
  </si>
  <si>
    <t>chakki ata at mhr home</t>
  </si>
  <si>
    <t>for welding rod petties at falcon and v-belt for naveed malik</t>
  </si>
  <si>
    <t>cash for site expenses sent thru kamran auto</t>
  </si>
  <si>
    <t>jpmc drwing print</t>
  </si>
  <si>
    <t>paid for fare from office to falcon then nasir colony</t>
  </si>
  <si>
    <t>bilal bhai child fee</t>
  </si>
  <si>
    <t>tariq bhai</t>
  </si>
  <si>
    <t>paid loan to tariq bhai</t>
  </si>
  <si>
    <t>invoices naveed malik</t>
  </si>
  <si>
    <t>for purchaing</t>
  </si>
  <si>
    <t>given to owais</t>
  </si>
  <si>
    <t>imran marriage cards corrier to out of city</t>
  </si>
  <si>
    <t>from office to zeelaf 3 naali pipe</t>
  </si>
  <si>
    <t>paid for mineral water bill at site</t>
  </si>
  <si>
    <t>for milk and site expenses ftc</t>
  </si>
  <si>
    <t>bukhari tour</t>
  </si>
  <si>
    <t>to asif efu for march 19</t>
  </si>
  <si>
    <t>purchased compressore at zeelaf from c/o haneef bhai</t>
  </si>
  <si>
    <t>paid for site expesnes</t>
  </si>
  <si>
    <t>paid for U channel at zeelaf</t>
  </si>
  <si>
    <t>paid cash sent thru mahmood</t>
  </si>
  <si>
    <t>umer give office kitchen hisaab, fruit, cigratte, suger, soup tea bags milk and other misc office expenses</t>
  </si>
  <si>
    <t>claimed fuel and parking for sst tax deposit and pakistan post imran marrige carsd</t>
  </si>
  <si>
    <t>zeelaf and unilever print</t>
  </si>
  <si>
    <t>paid to mhr home expenses</t>
  </si>
  <si>
    <t>received against EFU final bill payment</t>
  </si>
  <si>
    <t>paid for screw and difffuser fittings sent thru kamran auto</t>
  </si>
  <si>
    <t>to mubarak for mar 19</t>
  </si>
  <si>
    <t>for site expenses sent thru huzaifa</t>
  </si>
  <si>
    <t xml:space="preserve">Asgher Shershah </t>
  </si>
  <si>
    <t>channel patti invoice</t>
  </si>
  <si>
    <t>paid cash for ducting advance salaries at zeelaf</t>
  </si>
  <si>
    <t>umer give office kitchen hisaab, milk, tea bags, biskuit, door lock and other misc office expenses</t>
  </si>
  <si>
    <t>cash paid for site expenses sent thru jahangeer</t>
  </si>
  <si>
    <t>KCCI</t>
  </si>
  <si>
    <t>paid karachi chamber of commerce bill</t>
  </si>
  <si>
    <t>paid for bearing for motor and AHU`</t>
  </si>
  <si>
    <t>imran marriage cards corrier to within city</t>
  </si>
  <si>
    <t>paid cash for falcon plant room</t>
  </si>
  <si>
    <t>to iftikhar for march 19</t>
  </si>
  <si>
    <t>paid for nut washer and isolator bit sent thru aamir</t>
  </si>
  <si>
    <t>to fasial sweeper for march 19</t>
  </si>
  <si>
    <t>paid for gas cylinder at jpmc</t>
  </si>
  <si>
    <t>paid for misc invocies</t>
  </si>
  <si>
    <t xml:space="preserve">paid for cutting disc, at jpmc </t>
  </si>
  <si>
    <t>paid for nadeem malik site</t>
  </si>
  <si>
    <t xml:space="preserve">claimed fuel  bank KCCI Pakistan post sir rehman home 2 times </t>
  </si>
  <si>
    <t>to raheel for march 19</t>
  </si>
  <si>
    <t>paid against invoices</t>
  </si>
  <si>
    <t>fuel to falcon labour</t>
  </si>
  <si>
    <t>to bilal auto fro march  19</t>
  </si>
  <si>
    <t>poolish work</t>
  </si>
  <si>
    <t>for hall booking 2nd payment</t>
  </si>
  <si>
    <t>sofa repairing</t>
  </si>
  <si>
    <t>to Rehan for petty cash</t>
  </si>
  <si>
    <t>paid final amount in Rs 70,000 deal</t>
  </si>
  <si>
    <t>to mubarak ali for march 19</t>
  </si>
  <si>
    <t>to sufyan for march 19</t>
  </si>
  <si>
    <t>for marriage card post and fuel</t>
  </si>
  <si>
    <t>for misc invoices</t>
  </si>
  <si>
    <t>cash paid sent thru aamir</t>
  </si>
  <si>
    <t>advance for purchasing (by himself)</t>
  </si>
  <si>
    <t>paid (by himself)</t>
  </si>
  <si>
    <t>paid to shahid for misc purchsing</t>
  </si>
  <si>
    <t>to shahrukh for march 19</t>
  </si>
  <si>
    <t>paid for jpmc insulation from iqbal sons</t>
  </si>
  <si>
    <t>umer give hisaab, (from 16-3-19  to 28-03-19)</t>
  </si>
  <si>
    <t>Imran marriage catering</t>
  </si>
  <si>
    <t>paid for office shop shutter repairing</t>
  </si>
  <si>
    <t>Unilever cheque received on 16-03-19    300,000 out of 800,000</t>
  </si>
  <si>
    <t>Unilever cheque received on 16-03-19    500,000 out of 800,000</t>
  </si>
  <si>
    <t>JPMC adhoc rameez payment out of 1,000,000 received on 08-3-19</t>
  </si>
  <si>
    <t>JPMC adhoc rameez payment out of 1000,000 received on 08-3-19</t>
  </si>
  <si>
    <t>JPMC adhoc rameez payment out of 1000,000   received on 08-3-19</t>
  </si>
  <si>
    <t>for misc fuel invoices</t>
  </si>
  <si>
    <t>paid for ste expenses</t>
  </si>
  <si>
    <t>paid for purchased of cleaning material</t>
  </si>
  <si>
    <t>3 stage filter from so safe</t>
  </si>
  <si>
    <t>to shahid for march 19</t>
  </si>
  <si>
    <t>paid sent thru mehmood</t>
  </si>
  <si>
    <t>cash paid for unilever drawing print</t>
  </si>
  <si>
    <t>mobile balacne</t>
  </si>
  <si>
    <t>for imran travelling expense from kar to isb</t>
  </si>
  <si>
    <t xml:space="preserve">misc expenses </t>
  </si>
  <si>
    <t>paid for imran sherwani purchased</t>
  </si>
  <si>
    <t>cd purchased for unilever as built drawings</t>
  </si>
  <si>
    <t>CD purchased</t>
  </si>
  <si>
    <t>to jahangeer for site expenses sent thru kamran auto</t>
  </si>
  <si>
    <t>to kamran auto for march 19</t>
  </si>
  <si>
    <t>for unilever drawings</t>
  </si>
  <si>
    <t>drwaing print</t>
  </si>
  <si>
    <t>paid for shopper for unit covering at zeelaf</t>
  </si>
  <si>
    <t>drawing print falcon</t>
  </si>
  <si>
    <t>claimed fuel for home car fuel and water tanker</t>
  </si>
  <si>
    <t>rohit</t>
  </si>
  <si>
    <t>paid for purcashing zeelaf</t>
  </si>
  <si>
    <t>to shahid painter for mar 19</t>
  </si>
  <si>
    <t>to abbas ishaq for march 19</t>
  </si>
  <si>
    <t>paid for bolts 8mm</t>
  </si>
  <si>
    <t>umer given hisaab misc office and kitchen expenses</t>
  </si>
  <si>
    <t>for car wash</t>
  </si>
  <si>
    <t xml:space="preserve">paid for cattering for imran </t>
  </si>
  <si>
    <t>waris salary paid march 19</t>
  </si>
  <si>
    <t>paid to suzuki ashraf</t>
  </si>
  <si>
    <t>paid for imran marriage ring</t>
  </si>
  <si>
    <t>MCB chq 1707903271 for credit card balance</t>
  </si>
  <si>
    <t>paid for utilities bill nasir colony</t>
  </si>
  <si>
    <t>paid for purchasing (this cash actually given by kamran auto)</t>
  </si>
  <si>
    <t>purcashed cutting discs</t>
  </si>
  <si>
    <t>paid for ftc tea expenses</t>
  </si>
  <si>
    <t>to kamran ele for purchasing</t>
  </si>
  <si>
    <t>to asif efu for april 19</t>
  </si>
  <si>
    <t xml:space="preserve">fuel </t>
  </si>
  <si>
    <t>to ali islam at nueplex</t>
  </si>
  <si>
    <t>paid to nadeem bhai</t>
  </si>
  <si>
    <t>paid at home for misc expenses for paint work, polish work, parchatti wark.</t>
  </si>
  <si>
    <t>paid to rehan for office petty expenses</t>
  </si>
  <si>
    <t>sir rehman for mis expenses</t>
  </si>
  <si>
    <t>Saeed Lala feb 19 salary used</t>
  </si>
  <si>
    <t>aaqib 3 days salary used</t>
  </si>
  <si>
    <t>imran engg 5152 salary used</t>
  </si>
  <si>
    <t>mineral water bottles at site</t>
  </si>
  <si>
    <t>mahmand car oil changed</t>
  </si>
  <si>
    <t>to umer office for march 19 salary took in advance</t>
  </si>
  <si>
    <t>Take DIB chq 01927459</t>
  </si>
  <si>
    <t>Take DIB chq 01927460</t>
  </si>
  <si>
    <t>inco</t>
  </si>
  <si>
    <t>to abdul lateeef for march 19</t>
  </si>
  <si>
    <t xml:space="preserve">cash paid  for naveed malik </t>
  </si>
  <si>
    <t>paid for final payment at naveed malik all invoices cleared</t>
  </si>
  <si>
    <t>to zuffiquar ftc for april 19</t>
  </si>
  <si>
    <t>umer give misc hisaab from 7-4-19   to  18-4-19</t>
  </si>
  <si>
    <t>paid cash for site expenses</t>
  </si>
  <si>
    <t>paid in advance at falcon</t>
  </si>
  <si>
    <t>paid to abbas for zeelaf site expenses</t>
  </si>
  <si>
    <t>stamp paper for 2nd floor rent agreement renewal</t>
  </si>
  <si>
    <t>paid for final deal in falcon</t>
  </si>
  <si>
    <t>advance paid in karachi gymkhana deal Rs 55000</t>
  </si>
  <si>
    <t>cash take from bilal bhai</t>
  </si>
  <si>
    <t>to faisal sweeper for april 19</t>
  </si>
  <si>
    <t>paid salaries in advance in zeelaf</t>
  </si>
  <si>
    <t>to munna for zeelaf purchasing</t>
  </si>
  <si>
    <t>to sir rehman for misc expenses haji pharmacy and fuel claimed</t>
  </si>
  <si>
    <t>claimed fuel for misc sites</t>
  </si>
  <si>
    <t>to adil ftc for april 19</t>
  </si>
  <si>
    <t>to basheer pipe at falcon</t>
  </si>
  <si>
    <t>to kamran auto for april 19</t>
  </si>
  <si>
    <t>stormfiber</t>
  </si>
  <si>
    <t>paid april 19 bill</t>
  </si>
  <si>
    <t>to shahid painter for karachi gymkhana</t>
  </si>
  <si>
    <t>to haneef for naveed malik</t>
  </si>
  <si>
    <t>unilever cheque</t>
  </si>
  <si>
    <t>to shahrukh salary advance for april 19</t>
  </si>
  <si>
    <t>purchased I beam for karachi gymkhana</t>
  </si>
  <si>
    <t>to huzaifa for akber enga bill adjustment</t>
  </si>
  <si>
    <t>to faheem for gland and other items</t>
  </si>
  <si>
    <t>paid for cleaning material</t>
  </si>
  <si>
    <t>to rehan for office petty cash</t>
  </si>
  <si>
    <t>from munna sami purcahsing cash</t>
  </si>
  <si>
    <t>paid for sadqa bakra sylani welfare</t>
  </si>
  <si>
    <t>received from shahid painter after purcahsing</t>
  </si>
  <si>
    <t>zakat to bilal wife</t>
  </si>
  <si>
    <t>purchased 10 carton tapes form hussain puri bolten</t>
  </si>
  <si>
    <t>to sir rehman for misx invoices</t>
  </si>
  <si>
    <t>ftc invoices</t>
  </si>
  <si>
    <t>zeelaf invoices</t>
  </si>
  <si>
    <t>gymkhan invoices</t>
  </si>
  <si>
    <t>car work at shah jee sadder</t>
  </si>
  <si>
    <t>shaaf fees april</t>
  </si>
  <si>
    <t>shafia fees april</t>
  </si>
  <si>
    <t>for car work at shah jee</t>
  </si>
  <si>
    <t>shaaf fees</t>
  </si>
  <si>
    <t>shafia fees</t>
  </si>
  <si>
    <t>umer give misc hisaab from 19-4-19   to  23-4-19</t>
  </si>
  <si>
    <t>dib chq 01927476</t>
  </si>
  <si>
    <t>dib chq 01927477</t>
  </si>
  <si>
    <t>paid sent thru nadeem bhai</t>
  </si>
  <si>
    <t>paid to jahangeer for CAMO feeder</t>
  </si>
  <si>
    <t>paid to shahid painter for colour coolong tower</t>
  </si>
  <si>
    <t>fittings from abbas traders for falcon mall</t>
  </si>
  <si>
    <t>salary adv to mubarak for april 19</t>
  </si>
  <si>
    <t>to imran engr for site expenses</t>
  </si>
  <si>
    <t>for mobile load</t>
  </si>
  <si>
    <t>to jahangeer for spirng</t>
  </si>
  <si>
    <t>for purcahsing remaining</t>
  </si>
  <si>
    <t xml:space="preserve">Unilever cheque received on 16-03-19  </t>
  </si>
  <si>
    <t>paid for purchasing for saify irons</t>
  </si>
  <si>
    <t>kamran elec for gasket for falcon cleard</t>
  </si>
  <si>
    <t>cash paid sent thru huzaifa</t>
  </si>
  <si>
    <t>paid for cutting disc from inco for falcon</t>
  </si>
  <si>
    <t>paid for site expenses given invoices</t>
  </si>
  <si>
    <t>paid for site expenses, black tape, bit and other items</t>
  </si>
  <si>
    <t>dib chq 01927480</t>
  </si>
  <si>
    <t>dib chq 01927482</t>
  </si>
  <si>
    <t>to azeem for falcon purcashing</t>
  </si>
  <si>
    <t>to mazher for mar 19 salary</t>
  </si>
  <si>
    <t>to mazher for april 19 salary</t>
  </si>
  <si>
    <t>for home newspaper bill</t>
  </si>
  <si>
    <t>cash paid by himself</t>
  </si>
  <si>
    <t>paid for pipe shifting from jpmc to gymkhana</t>
  </si>
  <si>
    <t>invoices falcon lunch and other purchasse</t>
  </si>
  <si>
    <t>invoices fuel</t>
  </si>
  <si>
    <t>to abdul lateef for april 19</t>
  </si>
  <si>
    <t>world wide magazine</t>
  </si>
  <si>
    <t>paid to naveed for magazine</t>
  </si>
  <si>
    <t>umer give misc hisaab from 24-4-19   to  29-4-19</t>
  </si>
  <si>
    <t>paid for april 19 salary</t>
  </si>
  <si>
    <t>to haneef for april 19</t>
  </si>
  <si>
    <t>shahid rigger</t>
  </si>
  <si>
    <t>to faheem for falcon purchasing</t>
  </si>
  <si>
    <t>to zulfiquar ftc salary advance</t>
  </si>
  <si>
    <t>paid for riggrt at falcon mall</t>
  </si>
  <si>
    <t>paid for purcahaing</t>
  </si>
  <si>
    <t>to mohsin for nueplex</t>
  </si>
  <si>
    <t>to ahmed</t>
  </si>
  <si>
    <t>to amir jpmc for salary advance april 19</t>
  </si>
  <si>
    <t>to nadeem painter for salary advance april 19</t>
  </si>
  <si>
    <t>to kamran elec for tools</t>
  </si>
  <si>
    <t>purchased sink for food court jpmc from KTM</t>
  </si>
  <si>
    <t xml:space="preserve">invocies naveed malik lowara pump </t>
  </si>
  <si>
    <t>invoices vellani including tickets</t>
  </si>
  <si>
    <t>farhan c/o nadeem</t>
  </si>
  <si>
    <t xml:space="preserve">to shahid rigger </t>
  </si>
  <si>
    <t>for petty cash 15000 office bilal bhai 5000 total 20,000</t>
  </si>
  <si>
    <t>paid advance in salaries</t>
  </si>
  <si>
    <t>shahjee</t>
  </si>
  <si>
    <t>paid to shahjee</t>
  </si>
  <si>
    <t>to rehan for office cash</t>
  </si>
  <si>
    <t>tissure papers 2 nos</t>
  </si>
  <si>
    <t>cash paid gymkhana</t>
  </si>
  <si>
    <t xml:space="preserve">salary envelop purcahed </t>
  </si>
  <si>
    <t>saeed lala salary used</t>
  </si>
  <si>
    <t>JPMC</t>
  </si>
  <si>
    <t>to karman elec for purcashing</t>
  </si>
  <si>
    <t>welding rod, cuttings discs and parmanent</t>
  </si>
  <si>
    <t>khujoor dates hadia for staff</t>
  </si>
  <si>
    <t>paid for suzuki from jpmc to office</t>
  </si>
  <si>
    <t>salary increase</t>
  </si>
  <si>
    <t>to abbas for purchasing</t>
  </si>
  <si>
    <t>for salaries</t>
  </si>
  <si>
    <t>invoices shahid painter gymkhaan</t>
  </si>
  <si>
    <t>khujoor packets 15 nos</t>
  </si>
  <si>
    <t>paid for purcashing the place</t>
  </si>
  <si>
    <t>mhr sir rehman invoices</t>
  </si>
  <si>
    <t>to imran for purchasing given invoices jpmc</t>
  </si>
  <si>
    <t>bakhti give misc hisaab from 30-4-19   to  08-4-19</t>
  </si>
  <si>
    <t>nasir colony</t>
  </si>
  <si>
    <t>paid k elec nasir colony</t>
  </si>
  <si>
    <t>claimed fuel for iqbal sons cheque drop</t>
  </si>
  <si>
    <t>paid for c channel 2 x 4 80 rft and angle 1. 1/4 x 1. 1/4 60 rft at falcon</t>
  </si>
  <si>
    <t>to rizwan core</t>
  </si>
  <si>
    <t>to saeed lala</t>
  </si>
  <si>
    <t>suzuki fare for material pipe and insulation from falcon to nasir colony</t>
  </si>
  <si>
    <t>to rafeeq for invoices</t>
  </si>
  <si>
    <t>paid final payment against invoices</t>
  </si>
  <si>
    <t>shujaat salary</t>
  </si>
  <si>
    <t>owais salary</t>
  </si>
  <si>
    <t>khizer salary</t>
  </si>
  <si>
    <t>FOR site expenses</t>
  </si>
  <si>
    <t>to jahangeer for may 19</t>
  </si>
  <si>
    <t>paid for generator flang</t>
  </si>
  <si>
    <t>to talha for may 19</t>
  </si>
  <si>
    <t>for cuttings disc 4" and 5" at zeelaf</t>
  </si>
  <si>
    <t>for zeelaf purchasing cleared</t>
  </si>
  <si>
    <t>saeed lala</t>
  </si>
  <si>
    <t>paid for rehana aunty fuel</t>
  </si>
  <si>
    <t>to shahbaz for may 19</t>
  </si>
  <si>
    <t>to aqeel for may 19</t>
  </si>
  <si>
    <t>paid to rikshaw for rashan</t>
  </si>
  <si>
    <t>mineral water bottle paid including prv rs 500</t>
  </si>
  <si>
    <t>to haneef for may 19</t>
  </si>
  <si>
    <t>Karachi gymkhana</t>
  </si>
  <si>
    <t>suzuki fare for insulation from islamuddin to gymkhana</t>
  </si>
  <si>
    <t>for ssite expenses</t>
  </si>
  <si>
    <t>received against naveed malik bill # 65 &amp; 66</t>
  </si>
  <si>
    <t>paid cash for exhaust fans and brackets for jpmc</t>
  </si>
  <si>
    <t>stamp paper purchased</t>
  </si>
  <si>
    <t>paid for thermostat technician</t>
  </si>
  <si>
    <t>to asif efu for may 19</t>
  </si>
  <si>
    <t>to shaheryar for may 19</t>
  </si>
  <si>
    <t>for rashan packets</t>
  </si>
  <si>
    <t>Madarsa Zakat</t>
  </si>
  <si>
    <t>paid for madarsa hizb ul abrar</t>
  </si>
  <si>
    <t>paid to madarsa islamia shams ul huda</t>
  </si>
  <si>
    <t>paid for rashan packets</t>
  </si>
  <si>
    <t>permanent welding rod 8 nos petti for jpmc purchased by bilal office</t>
  </si>
  <si>
    <t xml:space="preserve">cash paid for Bilal bhai MCB credit card recharge </t>
  </si>
  <si>
    <t>cash paid for shafia rehman June 19 bill</t>
  </si>
  <si>
    <t>paid to madarsa ayesha siddiqua rz</t>
  </si>
  <si>
    <t>Zakat</t>
  </si>
  <si>
    <t>paid zakat to sylani</t>
  </si>
  <si>
    <t>fuel invoices</t>
  </si>
  <si>
    <t>to mubarak for may 19</t>
  </si>
  <si>
    <t>to adjre for may 19</t>
  </si>
  <si>
    <t>Koohi goth hospital</t>
  </si>
  <si>
    <t>paid for site expenses sent thru aamir for hold tites</t>
  </si>
  <si>
    <t>paid for site expenses sent thru rohit for tea and kitchen expenses</t>
  </si>
  <si>
    <t>to shahid rigger in account of FTC</t>
  </si>
  <si>
    <t>bakhti give misc hisaab from 08-4-19 to 20-5-19</t>
  </si>
  <si>
    <t>paid in account of ftc building</t>
  </si>
  <si>
    <t>to raheel for may 19</t>
  </si>
  <si>
    <t xml:space="preserve">to shahid painter </t>
  </si>
  <si>
    <t>to sajjad for may 19</t>
  </si>
  <si>
    <t xml:space="preserve">to huzaifa in mustafa deal </t>
  </si>
  <si>
    <t>riksahw fare for rashan 10 packets</t>
  </si>
  <si>
    <t>paid for sit expenses in front of iftikhar</t>
  </si>
  <si>
    <t>to iftikhar for may 19</t>
  </si>
  <si>
    <t>to saeed lala for zakat in account of MHR</t>
  </si>
  <si>
    <t>paid to sir rehman for zakat (rehana aunty)</t>
  </si>
  <si>
    <t>to A. Lateef for may 19</t>
  </si>
  <si>
    <t>to rehan for office expenses</t>
  </si>
  <si>
    <t>paid may salary in advance</t>
  </si>
  <si>
    <t>to aamir plumber for may 19</t>
  </si>
  <si>
    <t>invoices karachi gymnkhna</t>
  </si>
  <si>
    <t>paid for panel shifting at falcon mall</t>
  </si>
  <si>
    <t>paid for suzuki fare from office to jpmc to office to jpmc to ftc</t>
  </si>
  <si>
    <t>give for fuel</t>
  </si>
  <si>
    <t>paid zakat to bilal wife</t>
  </si>
  <si>
    <t>to sir rehman for AC for home</t>
  </si>
  <si>
    <t>fuel for misc sites</t>
  </si>
  <si>
    <t>to faizan for falcon mall</t>
  </si>
  <si>
    <t>for zahabiya duct sealent for falcon mall</t>
  </si>
  <si>
    <t>to pervez (mughal constrctucor) as loan</t>
  </si>
  <si>
    <t>faizan ali</t>
  </si>
  <si>
    <t>claimed nueplex fuel</t>
  </si>
  <si>
    <t>to shahid for purchasing</t>
  </si>
  <si>
    <t>to billal auto for may 19</t>
  </si>
  <si>
    <t>u fone super card to his friend</t>
  </si>
  <si>
    <t>claimed fuel for falcon bond collection from II chundiger road and ftc for chq collection</t>
  </si>
  <si>
    <t>to rehan for office petty</t>
  </si>
  <si>
    <t>cash paid in front of bilal bhai</t>
  </si>
  <si>
    <t>paid for invoices given</t>
  </si>
  <si>
    <t>to kamran auto for may 19</t>
  </si>
  <si>
    <t>to bakhti for may 19</t>
  </si>
  <si>
    <t>for site expenses sent thru bakhti</t>
  </si>
  <si>
    <t>paid for zahabiya duct sealent</t>
  </si>
  <si>
    <t>paid for newpaper</t>
  </si>
  <si>
    <t>to abbas for may 19</t>
  </si>
  <si>
    <t>to shahid painter for may 19</t>
  </si>
  <si>
    <t>to amir jpmc for may 19</t>
  </si>
  <si>
    <t>to imran engr for invoices</t>
  </si>
  <si>
    <t>cash paid for jpmc bill</t>
  </si>
  <si>
    <t xml:space="preserve">paid for suzuki fare for rashan </t>
  </si>
  <si>
    <t>ftc aftari</t>
  </si>
  <si>
    <t>invoices ftc</t>
  </si>
  <si>
    <t>kg invoices</t>
  </si>
  <si>
    <t>efu invoices</t>
  </si>
  <si>
    <t>zmv invoices</t>
  </si>
  <si>
    <t>for Rehana aunty microvave</t>
  </si>
  <si>
    <t>to sir rehman for water tanker and fuel</t>
  </si>
  <si>
    <t>to faizan for nueplex salaries</t>
  </si>
  <si>
    <t>office room spray</t>
  </si>
  <si>
    <t>02 envelop packets for salaries</t>
  </si>
  <si>
    <t>karman auto</t>
  </si>
  <si>
    <t>mona ducting</t>
  </si>
  <si>
    <t>paid for mona ducting staff salaries</t>
  </si>
  <si>
    <t>paid for car battery</t>
  </si>
  <si>
    <t>to Rehan for salaries</t>
  </si>
  <si>
    <t>to aqeel jpmc for june 19</t>
  </si>
  <si>
    <t>to shahbaz jpmc for june 19</t>
  </si>
  <si>
    <t>DIB chq # 01961940</t>
  </si>
  <si>
    <t>used in salaries</t>
  </si>
  <si>
    <t>To shahbaz Duct</t>
  </si>
  <si>
    <t>To Ahmed for Loan taken by Sir rehman at saudia</t>
  </si>
  <si>
    <t>Irfan salary used</t>
  </si>
  <si>
    <t>bakhti give misc hisaab from 21-5-19  to 10-6-19</t>
  </si>
  <si>
    <t>This cash paid in charity</t>
  </si>
  <si>
    <t>to kamran elec for his medication</t>
  </si>
  <si>
    <t xml:space="preserve">jpmc </t>
  </si>
  <si>
    <t>purcashing from incco cuttings disc and other items</t>
  </si>
  <si>
    <t xml:space="preserve">claimed fuel for sem, NBP SMCH, </t>
  </si>
  <si>
    <t>paid rikshaw fare for nut bolts from HQ</t>
  </si>
  <si>
    <t>This payment received from total as jpmc PAF payment receiving date 11-05-19</t>
  </si>
  <si>
    <t>Receiving</t>
  </si>
  <si>
    <t>for cash tranfer to karor to sir rehman</t>
  </si>
  <si>
    <t>for nasir colony utility bill</t>
  </si>
  <si>
    <t>paid for home invoices</t>
  </si>
  <si>
    <t>bakhti give misc hisaab from 10-6-19  to 14-6-19</t>
  </si>
  <si>
    <t>to talha for June 19</t>
  </si>
  <si>
    <t>bonus paid to nadeem bhai</t>
  </si>
  <si>
    <t>for waris salary</t>
  </si>
  <si>
    <t>paid for photo copies for log sheet cleared</t>
  </si>
  <si>
    <t>for mhr sir rehman tickets</t>
  </si>
  <si>
    <t>paid for purchasing  invoices given 23610 remaining 6390</t>
  </si>
  <si>
    <t xml:space="preserve">claimed fuel for SEM, siza food, spar office </t>
  </si>
  <si>
    <t>cash sent thru sheheryar for disc purcashing</t>
  </si>
  <si>
    <t>to raheel for June 19</t>
  </si>
  <si>
    <t>to aqeel for June 19</t>
  </si>
  <si>
    <t>paid for site expenses cleared</t>
  </si>
  <si>
    <t>to abbas plumber for june 19</t>
  </si>
  <si>
    <t>paid sent thru his son shabbir</t>
  </si>
  <si>
    <t>The place</t>
  </si>
  <si>
    <t>paid for 04 nos air curtain 4 ft long caravell</t>
  </si>
  <si>
    <t>This payment received from total as jpmc IPC 40 receiving date 11-06-19,  This 01 million cheque given to Taheriya Sanitry, he adjust 500,000 in his ledger and return 500,000 in the followong form:
1) Chq 1   200,000  this cheque cashed thru allied bank on 19-6-19
2) chq 2   100,000
3) chq 3   100,000
4) chq 4   100,000</t>
  </si>
  <si>
    <t>paid bilal paid in masjid account thru his personal mcb account</t>
  </si>
  <si>
    <t>received from khalid the place</t>
  </si>
  <si>
    <t>paid for 02 nos air curtain</t>
  </si>
  <si>
    <t>bakhti give misc hisaab from 15-6-19  to 22-6-19</t>
  </si>
  <si>
    <t>paid forzeelaf purchaisng</t>
  </si>
  <si>
    <t>drawings print zeelaf and jpmc</t>
  </si>
  <si>
    <t>paid for zeelaf purchasing</t>
  </si>
  <si>
    <t>paid for fiber work at naveed malik villa</t>
  </si>
  <si>
    <t>JPMC PAF Payment chq 100,000 out of 459812) receiving date 11-6-19</t>
  </si>
  <si>
    <t>cash paid for site expenses will give invoices</t>
  </si>
  <si>
    <t>to bakhti for june 19</t>
  </si>
  <si>
    <t>for site expenses emerald nishat</t>
  </si>
  <si>
    <t>paid for site expenses   cleared 2260  pending 800</t>
  </si>
  <si>
    <t>paid to saeed mama In jpmc account</t>
  </si>
  <si>
    <t>to imran engr</t>
  </si>
  <si>
    <t>to bilal auto fro june 19  19</t>
  </si>
  <si>
    <t>bakhti give misc hisaab from 23-6-19  to 27-6-19</t>
  </si>
  <si>
    <t>DIB un-signed cheque</t>
  </si>
  <si>
    <t>akber sasa</t>
  </si>
  <si>
    <t>paid for his mother death charity thru easypesa with transaction fees</t>
  </si>
  <si>
    <t>paid by order bilal bhai thru easypesa with transaction fees</t>
  </si>
  <si>
    <t>Received in his share 2019</t>
  </si>
  <si>
    <t>paid sent thru huzaifa</t>
  </si>
  <si>
    <t>from office</t>
  </si>
  <si>
    <t>hundai</t>
  </si>
  <si>
    <t>fuel and invoice</t>
  </si>
  <si>
    <t>cash paid to mhr for FBR amenesty scheme paid in Ebad karor account</t>
  </si>
  <si>
    <t>paid to mhr for FBR amenesty scheme paid in Ebad karor account (this cash withdra from bilal bhai personal DIB account</t>
  </si>
  <si>
    <t>for bank charges against sir rehman fbr amenesty scheme paid</t>
  </si>
  <si>
    <t xml:space="preserve">claimed fuel  sst and sem office </t>
  </si>
  <si>
    <t>to Iftikhar for june 19  19</t>
  </si>
  <si>
    <t>nadeem bhai medicine</t>
  </si>
  <si>
    <t>paid for electric cable puchased untill this all his hisaab cleared</t>
  </si>
  <si>
    <t>to mubarak for june 19</t>
  </si>
  <si>
    <t>to sufyan for june 19</t>
  </si>
  <si>
    <t xml:space="preserve">Rizwan the place </t>
  </si>
  <si>
    <t>paid for insulation</t>
  </si>
  <si>
    <t>bakhti for car wash</t>
  </si>
  <si>
    <t>paid for hundai purchasing</t>
  </si>
  <si>
    <t>for air curtain switch</t>
  </si>
  <si>
    <t>cash paid for sit expenses</t>
  </si>
  <si>
    <t>Zeelaf munir Received 4th payment receiving date 20-5-19 (Hold with Bilal Bhai)</t>
  </si>
  <si>
    <r>
      <t xml:space="preserve">Received against IPC -40 receiving date 29-5-19  </t>
    </r>
    <r>
      <rPr>
        <sz val="10"/>
        <color rgb="FFFF0000"/>
        <rFont val="Calibri"/>
        <family val="2"/>
        <scheme val="minor"/>
      </rPr>
      <t>(Hold with Bilal Bhai)</t>
    </r>
  </si>
  <si>
    <t>return to rehan for salaries</t>
  </si>
  <si>
    <t>invocies zeelaf</t>
  </si>
  <si>
    <t>invocies falcon</t>
  </si>
  <si>
    <t>invocies ftc</t>
  </si>
  <si>
    <t>invocies jpmc</t>
  </si>
  <si>
    <t>paid office 1st floor and 2nd floor bill</t>
  </si>
  <si>
    <t>for fuel taken by ahmed</t>
  </si>
  <si>
    <t>claimed fuel 4 times SEM SSt YH nad other misc</t>
  </si>
  <si>
    <t>hyundai drawing print</t>
  </si>
  <si>
    <t>cash for purchasing falcon and hyndai</t>
  </si>
  <si>
    <t xml:space="preserve">cash for purchasing </t>
  </si>
  <si>
    <t>for salary envelop</t>
  </si>
  <si>
    <t>for purchasing zeelaf</t>
  </si>
  <si>
    <t>bakhti give misc hisaab from 28-6-19  to 05-7-19</t>
  </si>
  <si>
    <t>hyundai</t>
  </si>
  <si>
    <t>print</t>
  </si>
  <si>
    <t xml:space="preserve">room door and catcher </t>
  </si>
  <si>
    <t>for purchasing hyundai</t>
  </si>
  <si>
    <t>for purchasing insulation</t>
  </si>
  <si>
    <t>paid for fan c/o bilal bhai</t>
  </si>
  <si>
    <t>for photo copy of efy log sheets</t>
  </si>
  <si>
    <t>cash paid for fittings for hynudai</t>
  </si>
  <si>
    <t>salaries cheque</t>
  </si>
  <si>
    <t>for air curtain</t>
  </si>
  <si>
    <t>khan brother</t>
  </si>
  <si>
    <t>paid for regerigerat gas cylinder in account of naveed malik</t>
  </si>
  <si>
    <t>paid for gas cylinder at jpmc and zeelaf</t>
  </si>
  <si>
    <t>for hundai purchasing</t>
  </si>
  <si>
    <t>for zaalaf purchisng</t>
  </si>
  <si>
    <t>hold with minhaal</t>
  </si>
  <si>
    <t>purchased imtiaz lahore tender purchased from YH</t>
  </si>
  <si>
    <t>This payment received from total as jpmc IPC 40 receiving date 11-06-19,  This 01 million cheque given to Taheriya Sanitry, he adjust 500,000 in his ledger and return 500,000 in the followong form:
1) Chq 1   200,000  this cheque cashed thru allied bank on 19-6-19
2) chq 2   100,000 this cheque cashed by mona ducting
3) chq 3   100,000 this chq given to hammad flang
4) chq 4   100,000 this checque cash by mina ducting charge in office cash on 9-7-19</t>
  </si>
  <si>
    <t>deduct online cash charges</t>
  </si>
  <si>
    <t>paid for salaries final amount for the month of june 19</t>
  </si>
  <si>
    <t>for coil</t>
  </si>
  <si>
    <t>received cash from bilal bhao c/o zeeshan frnd at north kar</t>
  </si>
  <si>
    <t>paid for the month of june 19</t>
  </si>
  <si>
    <t>for hundai falcon and zeelaf purchasing</t>
  </si>
  <si>
    <t>sameer</t>
  </si>
  <si>
    <t>salaries paid for 5 days abeer and sameer salary</t>
  </si>
  <si>
    <t>to asif efu for the month july 19</t>
  </si>
  <si>
    <t>to Rehan for petty cash (this received cash from bilal bhao c/o zeeshan frnd at north kar)</t>
  </si>
  <si>
    <t>sadqa paid by bilal bhai</t>
  </si>
  <si>
    <t>This remaining balance adjusted in bilal bhai share 2019 as he directed</t>
  </si>
  <si>
    <t>ftc floor</t>
  </si>
  <si>
    <t>paid for tea expesnes</t>
  </si>
  <si>
    <t>zahid AC</t>
  </si>
  <si>
    <t>paid in jpmc for cassete typ units</t>
  </si>
  <si>
    <t>tape and fittings for hyundai</t>
  </si>
  <si>
    <t>drawing</t>
  </si>
  <si>
    <t>cash paid for huyndai purchasing</t>
  </si>
  <si>
    <t>ufone super card doubling</t>
  </si>
  <si>
    <t>office usb purchased</t>
  </si>
  <si>
    <t xml:space="preserve">drawings print </t>
  </si>
  <si>
    <t>Rs 50,000 received from nadeem bhai for his VITz car from mr raheel</t>
  </si>
  <si>
    <t>amir engr</t>
  </si>
  <si>
    <t>paid for site expenses sent thru aamir engr</t>
  </si>
  <si>
    <t>for for hyundai pucahsing ok cleared</t>
  </si>
  <si>
    <t>cash for smc</t>
  </si>
  <si>
    <t>for hyundai jpmc channed for the place ok cleared</t>
  </si>
  <si>
    <t>zeelaf</t>
  </si>
  <si>
    <t>paid for misx invoices</t>
  </si>
  <si>
    <t>to shaheryar for july 19</t>
  </si>
  <si>
    <t>purcahsed 2 ton ac</t>
  </si>
  <si>
    <t>mobile cards ufone</t>
  </si>
  <si>
    <t>chque cash</t>
  </si>
  <si>
    <t>to ahmed falcon for july 19</t>
  </si>
  <si>
    <t>Adjer</t>
  </si>
  <si>
    <t>paid adjer salary</t>
  </si>
  <si>
    <t>for purchasing from qasim traders</t>
  </si>
  <si>
    <t>bakhti give misc hisaab from 06-7-19  to 19-7-19</t>
  </si>
  <si>
    <t>to shahbaz jpmc for july 19</t>
  </si>
  <si>
    <t>saqub</t>
  </si>
  <si>
    <t>paid saqib salary</t>
  </si>
  <si>
    <t>to amir jpmc for july 19</t>
  </si>
  <si>
    <t>rehan aunty tickets</t>
  </si>
  <si>
    <t>hyundai invoices</t>
  </si>
  <si>
    <t>Bina plastic</t>
  </si>
  <si>
    <t>to faisal for july</t>
  </si>
  <si>
    <t>for purchasing cleared</t>
  </si>
  <si>
    <t>cash for purcashing cleared =15000-13085+7000 =8915-4850=4065</t>
  </si>
  <si>
    <t xml:space="preserve">car typres passo </t>
  </si>
  <si>
    <t>Drill tech services</t>
  </si>
  <si>
    <t>paid advance in zeelaf</t>
  </si>
  <si>
    <t>cash paid hundai advance</t>
  </si>
  <si>
    <t>for flexible duct at office</t>
  </si>
  <si>
    <t>hyundai dawings</t>
  </si>
  <si>
    <t>to kamran auto for july 19</t>
  </si>
  <si>
    <t>chque cash 2 chq cashed</t>
  </si>
  <si>
    <t>given in masjid account by bilal bhai for coil purcashind</t>
  </si>
  <si>
    <t>to iftikhar for july 19</t>
  </si>
  <si>
    <t>to a lateef for july 19</t>
  </si>
  <si>
    <t>cash for fire work item purchasing</t>
  </si>
  <si>
    <t>for utilities bills paid nasir colony</t>
  </si>
  <si>
    <t>cash for insulation at zeelaf</t>
  </si>
  <si>
    <t>EFU</t>
  </si>
  <si>
    <t>to haneef</t>
  </si>
  <si>
    <t>given to laywer waqeel by waqas</t>
  </si>
  <si>
    <t>return to rehan office</t>
  </si>
  <si>
    <t>cash paid ok cleared</t>
  </si>
  <si>
    <t>cash paid sent thru abdullah</t>
  </si>
  <si>
    <t>to talha for july 19</t>
  </si>
  <si>
    <t>cash for site expense</t>
  </si>
  <si>
    <t>bakhti give misc hisaab from 19-7-19  to 27-7-19</t>
  </si>
  <si>
    <t>purchased 06 nos coil form fast cool from hyundai</t>
  </si>
  <si>
    <t>for pullies washal cleared 1500-1220=280</t>
  </si>
  <si>
    <t>for riksahw fare for sire at mhr</t>
  </si>
  <si>
    <t>Zeeshan AC</t>
  </si>
  <si>
    <t>paid advance in the place</t>
  </si>
  <si>
    <t>to bilal auto for july 19</t>
  </si>
  <si>
    <t>to noman for july 19 he resigned</t>
  </si>
  <si>
    <t>paid to noman for jpmc refereshemt</t>
  </si>
  <si>
    <t>to mubarak for july 19</t>
  </si>
  <si>
    <t>to faisal for july salary</t>
  </si>
  <si>
    <t>paid for site expenses sent thru minhaal</t>
  </si>
  <si>
    <t>for purchiang 5000  + 280 cleared</t>
  </si>
  <si>
    <t>for printer refiller and repair</t>
  </si>
  <si>
    <t>taken form bilal</t>
  </si>
  <si>
    <t>suzki fate for grills</t>
  </si>
  <si>
    <t>taken form bilal autocad</t>
  </si>
  <si>
    <t>to khalid bhai for july salary</t>
  </si>
  <si>
    <t>to zulfiquar ftc for july salary</t>
  </si>
  <si>
    <t>for elbow, 45 and cable tie for hyundai cleared</t>
  </si>
  <si>
    <t>to minhaal for purchasign  6900-2663=4237</t>
  </si>
  <si>
    <t>to minhaal for purchasign  reduser bill pending</t>
  </si>
  <si>
    <t>DIB chq for salaries</t>
  </si>
  <si>
    <t>return to nadeem bhai which is taken by bilal auto fron his home</t>
  </si>
  <si>
    <t>paid against bill</t>
  </si>
  <si>
    <t>paid salary to painter for Rs 800/day 07 days and deduct rs 1000</t>
  </si>
  <si>
    <t>paid by nadeem bhai for his salary increase</t>
  </si>
  <si>
    <t>paid (this cash given to haneef bhai)</t>
  </si>
  <si>
    <t>paid by nadeem bhai</t>
  </si>
  <si>
    <t>to sufyan for july 19</t>
  </si>
  <si>
    <t>nasir colony bill</t>
  </si>
  <si>
    <t>for cable tie packets at hyundai</t>
  </si>
  <si>
    <t>bakhti give misc hisaab from 28-7-19  to 07-8-19</t>
  </si>
  <si>
    <t>2nd DIB chq for salaries for th emonth of july 19</t>
  </si>
  <si>
    <t>for drwwing print</t>
  </si>
  <si>
    <t>Khaadi</t>
  </si>
  <si>
    <t>Raees brothers</t>
  </si>
  <si>
    <t>paid cash in falcon deal</t>
  </si>
  <si>
    <t>mobile balance ufone and mobilink</t>
  </si>
  <si>
    <t>to shahbaz and his staff salaries</t>
  </si>
  <si>
    <t>paid for site expense given by office salaries cash cleated</t>
  </si>
  <si>
    <t>Irfan autocad</t>
  </si>
  <si>
    <t>paid his remaining bonus</t>
  </si>
  <si>
    <t>paid for ufone super card</t>
  </si>
  <si>
    <t>paid by bilal bhai for gift</t>
  </si>
  <si>
    <t>for purchasing misc purchases</t>
  </si>
  <si>
    <t>to omer for unit wiring at hyundai</t>
  </si>
  <si>
    <t>3rd DIB chq for salaries for th emonth of july 19</t>
  </si>
  <si>
    <t>to mubarak for august 19</t>
  </si>
  <si>
    <t>for mhr sir rehman medication</t>
  </si>
  <si>
    <t>for the place material</t>
  </si>
  <si>
    <t>to aqeel for august 19</t>
  </si>
  <si>
    <t>salaries paid</t>
  </si>
  <si>
    <t>cash  office cash all cleared but due rs 1230</t>
  </si>
  <si>
    <t>used shop rent</t>
  </si>
  <si>
    <t>paid trander in easy paisa account</t>
  </si>
  <si>
    <t>paid for suzku fair</t>
  </si>
  <si>
    <t>to asif efu for august 19</t>
  </si>
  <si>
    <t>bakhti give misc hisaab from 08-8-19  to 20-8-19</t>
  </si>
  <si>
    <t>purched insulation for zeelaf from forte flex</t>
  </si>
  <si>
    <t>paid for his given invocies</t>
  </si>
  <si>
    <t>for jpmc purchsing ok cleared</t>
  </si>
  <si>
    <t>for purchasing zeelaf fittigns ok cleared</t>
  </si>
  <si>
    <t>for purcashing ok cleared</t>
  </si>
  <si>
    <t>tapes silicon bush and ms fittings for hyndai</t>
  </si>
  <si>
    <t>riksahw fare form fast cool to hyundai</t>
  </si>
  <si>
    <t>for zeelaf purcashing pvc tapes</t>
  </si>
  <si>
    <t>for barrel nippe hyndai</t>
  </si>
  <si>
    <t>for tapes 2 carton</t>
  </si>
  <si>
    <t>paid for rental chiller shifitng at zeelaf</t>
  </si>
  <si>
    <t>used shop rent return</t>
  </si>
  <si>
    <t>paid advance in jpmc</t>
  </si>
  <si>
    <t>khaadi dmtr drawings</t>
  </si>
  <si>
    <t>to SALAHUDDIN for august 19</t>
  </si>
  <si>
    <t>to sheryar khalid for august 19</t>
  </si>
  <si>
    <t>paid for motor repairing ashger mechancal</t>
  </si>
  <si>
    <t>running verified bill copies</t>
  </si>
  <si>
    <t>paid at office</t>
  </si>
  <si>
    <t>cash paid sent thru nadeem bhai hand</t>
  </si>
  <si>
    <t>paid for suzuki fare for nasir colony to jpmc</t>
  </si>
  <si>
    <t>clamed fuel250</t>
  </si>
  <si>
    <t>paid for naved malik</t>
  </si>
  <si>
    <t>paid for c channel 3"</t>
  </si>
  <si>
    <t>for bilal bhai home light</t>
  </si>
  <si>
    <t>faheem elec</t>
  </si>
  <si>
    <t>for hyndai and falcon material inviouces</t>
  </si>
  <si>
    <t>for jpmc purchasing</t>
  </si>
  <si>
    <t>paid for fiber tank at zeelaf</t>
  </si>
  <si>
    <t>to bilal auto for august 19</t>
  </si>
  <si>
    <t>hold with minhaal cleared</t>
  </si>
  <si>
    <t>for paint material cleared</t>
  </si>
  <si>
    <t>paid sent thru bakhti</t>
  </si>
  <si>
    <t>suzuki fare from iqbal sons to jpmc for flexbile 6"</t>
  </si>
  <si>
    <t>cash taken for falcon</t>
  </si>
  <si>
    <t>cash paid from hndai to jpmc</t>
  </si>
  <si>
    <t>from bakhti</t>
  </si>
  <si>
    <t>cash taken for purcahsing, falcon, zeelaf and jpmc nut bolts</t>
  </si>
  <si>
    <t>huzaifa super card for jpmc</t>
  </si>
  <si>
    <t>insulation purcahsed 2 roll for zeelaf</t>
  </si>
  <si>
    <t>from cloth from office to jpmc</t>
  </si>
  <si>
    <t>bakhti give misc hisaab from 21-8-19  to 28-8-19</t>
  </si>
  <si>
    <t>invoices zmv</t>
  </si>
  <si>
    <t>paid for purchasing for falcon and jpmc  =55000-8000-27600</t>
  </si>
  <si>
    <t>to a lateef for august 19</t>
  </si>
  <si>
    <t>for co nipple kable brand for falcon cleared</t>
  </si>
  <si>
    <t>cash paid given by minhaal till now rs 15000 hold haneef</t>
  </si>
  <si>
    <t>cash paid by bkahti</t>
  </si>
  <si>
    <t>cash paid given to abdur rehman</t>
  </si>
  <si>
    <t>cash paid till now rs 16000</t>
  </si>
  <si>
    <t>bakhti give misc hisaab from 38-8-19  to 31-8-19</t>
  </si>
  <si>
    <t>masood auto tech</t>
  </si>
  <si>
    <t>paid, this cash actually paid to jahanzaib c/o nadeem bhai</t>
  </si>
  <si>
    <t>paid nadeem bhai salary</t>
  </si>
  <si>
    <t>paid waris salaries for two months</t>
  </si>
  <si>
    <t>hold cleared</t>
  </si>
  <si>
    <t>to minhaal for purcahsing</t>
  </si>
  <si>
    <t>to talha august 19</t>
  </si>
  <si>
    <t>tea and refreshment for ftc site for 2 months</t>
  </si>
  <si>
    <t>ufone balance</t>
  </si>
  <si>
    <t>zulfiquar ftc</t>
  </si>
  <si>
    <t>for computer servicing and repairing</t>
  </si>
  <si>
    <t>abdullah boy waqas rs 4250</t>
  </si>
  <si>
    <t>abdullah boy shamroz rs 2600</t>
  </si>
  <si>
    <t>paid wire suzki fare to faheem elec</t>
  </si>
  <si>
    <t>to faheem for falcon mall</t>
  </si>
  <si>
    <t>paid to mossi old</t>
  </si>
  <si>
    <t>faisal salary paid after advanc e deduct</t>
  </si>
  <si>
    <t>office cash</t>
  </si>
  <si>
    <t>to zeehan ac</t>
  </si>
  <si>
    <t>talha auto</t>
  </si>
  <si>
    <t>claimed conveyance</t>
  </si>
  <si>
    <t>paid for paint and other material</t>
  </si>
  <si>
    <t>paid for khaadi DMTR</t>
  </si>
  <si>
    <t>mhr home bill paid</t>
  </si>
  <si>
    <t>bakhti give misc hisaab from 01-9-19  to 05-9-19</t>
  </si>
  <si>
    <t>cash paid (this cash received from EBM 02 Nos Vos core and rental chiller</t>
  </si>
  <si>
    <t>received against zeelaf adhoc agaisnt core VO and rental chiller vo</t>
  </si>
  <si>
    <t>to shahid for august 19</t>
  </si>
  <si>
    <t>to ahmed for august 19</t>
  </si>
  <si>
    <t>to chutta; for august 19</t>
  </si>
  <si>
    <t>to jahangeer for august 19</t>
  </si>
  <si>
    <t>to waseem for august 19</t>
  </si>
  <si>
    <t>to saeed lala for august 19</t>
  </si>
  <si>
    <t>jpmc and khaadi</t>
  </si>
  <si>
    <t xml:space="preserve">tender </t>
  </si>
  <si>
    <t>jamia tender purchased</t>
  </si>
  <si>
    <t>fare for forteflex to zeelaf</t>
  </si>
  <si>
    <t>from office to khaadi dmtr for insuaktuin rolls</t>
  </si>
  <si>
    <t>welding rods and heat gun</t>
  </si>
  <si>
    <t>to khalid bhai zeelaf for august 19 sent thru ali son</t>
  </si>
  <si>
    <t>zeelaf pump repair</t>
  </si>
  <si>
    <t>paid for pump and other items for zeelaf till now rs 19000</t>
  </si>
  <si>
    <t>cash taken now up to date 19,300</t>
  </si>
  <si>
    <t>bakhti give misc hisaab from 06-9-19  to 11-9-19</t>
  </si>
  <si>
    <t>hold  with minhaal cleared</t>
  </si>
  <si>
    <t>cash for purchasign for tape duct sealt and screw box</t>
  </si>
  <si>
    <t>to waseem for falcon</t>
  </si>
  <si>
    <t xml:space="preserve">to bilal aut0  for august 19 </t>
  </si>
  <si>
    <t>KE bill</t>
  </si>
  <si>
    <t>office bill</t>
  </si>
  <si>
    <t>for insulation roll of kaytess from office to khaadi dmtr</t>
  </si>
  <si>
    <t>for vfds from prem to falcon to office to prem</t>
  </si>
  <si>
    <t>paid for wire purchased for hyundai</t>
  </si>
  <si>
    <t xml:space="preserve">to feroz sahab  for august 19 </t>
  </si>
  <si>
    <t>cash for purcaisng</t>
  </si>
  <si>
    <t>for purcasjing cleared</t>
  </si>
  <si>
    <t>cash for purchasing cleared</t>
  </si>
  <si>
    <t>shafqat</t>
  </si>
  <si>
    <t>3rd salary chq MCB chq</t>
  </si>
  <si>
    <t>2nd salarydib  chq</t>
  </si>
  <si>
    <t>All salaries paid except EFU staff which is 93,756</t>
  </si>
  <si>
    <t>paid his staff advance salaries</t>
  </si>
  <si>
    <t>MCB chq for SST tax</t>
  </si>
  <si>
    <t>paid to bilal bhai wife for home misc invoices</t>
  </si>
  <si>
    <t>cash for purcashing cleared</t>
  </si>
  <si>
    <t>paid cash for adjust his petty account</t>
  </si>
  <si>
    <t>for purcchasing cleared</t>
  </si>
  <si>
    <t>bakhti give misc hisaab from 12-9-19  to 16-9-19</t>
  </si>
  <si>
    <t>ufone card</t>
  </si>
  <si>
    <t>purchasing fittings from malik traders at khy jaami</t>
  </si>
  <si>
    <t xml:space="preserve">MCB chq </t>
  </si>
  <si>
    <t>cash paid for azeem purchasing cleared</t>
  </si>
  <si>
    <t>cash paid for site purcashing</t>
  </si>
  <si>
    <t xml:space="preserve">cash paid cleared   </t>
  </si>
  <si>
    <t>advance given now uptodate total rs 6000</t>
  </si>
  <si>
    <t>EFU staff salaries paid</t>
  </si>
  <si>
    <t>Bilal bhai child fee cash used</t>
  </si>
  <si>
    <t>cash paid advance in jamc now uptodate 50,000</t>
  </si>
  <si>
    <t>for cuttings disc khaadi dmtr</t>
  </si>
  <si>
    <t>hold</t>
  </si>
  <si>
    <t>cash oaid for usb</t>
  </si>
  <si>
    <t>bilal bhai child fee used</t>
  </si>
  <si>
    <t>given to electricican</t>
  </si>
  <si>
    <t>cash for 02 roll insulation and other purchasing</t>
  </si>
  <si>
    <t>mobile balance super card</t>
  </si>
  <si>
    <t>cash for gasket and flanges</t>
  </si>
  <si>
    <t>khaadi dmtr</t>
  </si>
  <si>
    <t>bakhti give misc hisaab from 17-9-19  to 18-9-19</t>
  </si>
  <si>
    <t>purcahsing</t>
  </si>
  <si>
    <t>given to zeeshan AC</t>
  </si>
  <si>
    <t>pump purchased for zeelaf</t>
  </si>
  <si>
    <t>paid by minhaal</t>
  </si>
  <si>
    <t xml:space="preserve">paid cash </t>
  </si>
  <si>
    <t xml:space="preserve">MCB </t>
  </si>
  <si>
    <t xml:space="preserve">purchasing fittings </t>
  </si>
  <si>
    <t>advance to card printing</t>
  </si>
  <si>
    <t>from office to khaadi dmtr for insulation rolls</t>
  </si>
  <si>
    <t>for purcahing cleared</t>
  </si>
  <si>
    <t>to imran s/o feroz shb</t>
  </si>
  <si>
    <t>given to shahbaz in khadi DMTR</t>
  </si>
  <si>
    <t>bakhti give misc hisaab from 19-9-19  to 23-9-19</t>
  </si>
  <si>
    <t>for bilal bhai room phone issue resolved</t>
  </si>
  <si>
    <t>to asif efu for september 19</t>
  </si>
  <si>
    <t>PAID self</t>
  </si>
  <si>
    <t xml:space="preserve">cash paid for utilities bill </t>
  </si>
  <si>
    <t>paid for site expenses kumail bhai</t>
  </si>
  <si>
    <t>for fan rikshaw fare</t>
  </si>
  <si>
    <t>FTZ traders</t>
  </si>
  <si>
    <t>paid for foot valve charged in gulshan project</t>
  </si>
  <si>
    <t>paid by order nadeem bhai</t>
  </si>
  <si>
    <t>for somosas and tea for jahangeer and sheryar</t>
  </si>
  <si>
    <t>purcahased 4 roll insualtion for zeelaf + riksahw fare</t>
  </si>
  <si>
    <t>to talha for september 19</t>
  </si>
  <si>
    <t>bakhti give misc hisaab from 24-9-19  to 27-9-19</t>
  </si>
  <si>
    <t>pump motor repair for office</t>
  </si>
  <si>
    <t>tranfer pump zeelaf purchased</t>
  </si>
  <si>
    <t>pump purchased from ayyan engr</t>
  </si>
  <si>
    <t>bakhti give misc hisaab from 28-9-19  to 30-9-19</t>
  </si>
  <si>
    <t>cash apid</t>
  </si>
  <si>
    <t>for newspaper</t>
  </si>
  <si>
    <t>fuel and other things</t>
  </si>
  <si>
    <t>utilities bills paid</t>
  </si>
  <si>
    <t>falcon and zeelaf to dawwod suzuki and hyundai</t>
  </si>
  <si>
    <t>office phone wiring work</t>
  </si>
  <si>
    <t xml:space="preserve">feroz </t>
  </si>
  <si>
    <t>paid for photocopies</t>
  </si>
  <si>
    <t>paid to amir for drawings</t>
  </si>
  <si>
    <t>hub tender purchased</t>
  </si>
  <si>
    <t>From Bilal bhai</t>
  </si>
  <si>
    <t>incco</t>
  </si>
  <si>
    <t>transfr pump for hundai</t>
  </si>
  <si>
    <t xml:space="preserve">paid for site </t>
  </si>
  <si>
    <t xml:space="preserve">to rehan </t>
  </si>
  <si>
    <t>to khalid bhai for september 19</t>
  </si>
  <si>
    <t>for naveed malik , given by minhaal uptodate  20,300 - 6000 (for pump bill) now balance rem = 13700</t>
  </si>
  <si>
    <t>to haneef for september 19 by order nadeem bhai</t>
  </si>
  <si>
    <t>cash for falcon up to date rs 10,000 then rs 1000 given by azeem now 11,000 cleared</t>
  </si>
  <si>
    <t>paid  cleared</t>
  </si>
  <si>
    <t>for bike</t>
  </si>
  <si>
    <t>envelop</t>
  </si>
  <si>
    <t>ufine card</t>
  </si>
  <si>
    <t>for purchasing of jpmc paint abd then rs 2000 given by nadeem bhai</t>
  </si>
  <si>
    <t>Receivedd from faheem elec after purchasing</t>
  </si>
  <si>
    <t xml:space="preserve">mouse </t>
  </si>
  <si>
    <t>for ftc tea expenses</t>
  </si>
  <si>
    <t>for tender corrier paper sancks hub</t>
  </si>
  <si>
    <t>Salary chq</t>
  </si>
  <si>
    <t>Total Salaries paid yet for September 19</t>
  </si>
  <si>
    <t>bakhti give misc hisaab from 01-10-19  to 05-10-19</t>
  </si>
  <si>
    <t>for purchasing falcon</t>
  </si>
  <si>
    <t>cash for site expenses for hyundai falcon and zeelaf</t>
  </si>
  <si>
    <t>jpmc invocies float switch double valve</t>
  </si>
  <si>
    <t>paid for wire at jpmc</t>
  </si>
  <si>
    <t>Cash given to Bilal Bhai</t>
  </si>
  <si>
    <t>to sufyan for salary adv</t>
  </si>
  <si>
    <t>paid to anwar fittings (given by bilal bhai thru his personal)</t>
  </si>
  <si>
    <t>MCC panel transportation at jpmc</t>
  </si>
  <si>
    <t xml:space="preserve">for purcahsing   </t>
  </si>
  <si>
    <r>
      <t xml:space="preserve">for purcahsing  </t>
    </r>
    <r>
      <rPr>
        <sz val="11"/>
        <color rgb="FFFF0000"/>
        <rFont val="Calibri"/>
        <family val="2"/>
        <scheme val="minor"/>
      </rPr>
      <t>insulation bill pending (from forte flex)</t>
    </r>
  </si>
  <si>
    <t xml:space="preserve">to talha for september 19 </t>
  </si>
  <si>
    <t>invocies office</t>
  </si>
  <si>
    <t>paid for extra leave deducted from his salary two months ago</t>
  </si>
  <si>
    <t xml:space="preserve">karman refill &amp; drum and taflon + fuser repair </t>
  </si>
  <si>
    <t>advance paid  till nov 19</t>
  </si>
  <si>
    <t>Owais salary for the month August 2019 used in office cash</t>
  </si>
  <si>
    <t>cash paid for site expenses sent thru amjad bhai</t>
  </si>
  <si>
    <t>faisal slary paid</t>
  </si>
  <si>
    <t>cash paid (imran salary)</t>
  </si>
  <si>
    <t>purcahses flanges, niples,  tape fittings and joinder (cash taken Rs 32500 + 15000+5000)</t>
  </si>
  <si>
    <t>bakhti give misc hisaab from 06-10-19  to 09-10-19</t>
  </si>
  <si>
    <t>cash paid for final his account all cleared</t>
  </si>
  <si>
    <t>sadqa for bakra</t>
  </si>
  <si>
    <t>paid for unit installation</t>
  </si>
  <si>
    <t>bakhti give misc hisaab from 09-10-19  to 10-10-19</t>
  </si>
  <si>
    <t>master trap</t>
  </si>
  <si>
    <t>imran c/o feroz salary paid</t>
  </si>
  <si>
    <t>for purcashing cleared</t>
  </si>
  <si>
    <t xml:space="preserve">cash paid for site expenses sent thru kamran </t>
  </si>
  <si>
    <t xml:space="preserve">for purchasing </t>
  </si>
  <si>
    <t>cash paid nadeem bhai bhanja he wil return</t>
  </si>
  <si>
    <t>bakhti give misc hisaab from 11-10-19  to 14-10-19</t>
  </si>
  <si>
    <t>paid for unit basement gas</t>
  </si>
  <si>
    <t>to asif efu for oct 19</t>
  </si>
  <si>
    <t>paid sent thru zeeshan ac paid for supply chain room</t>
  </si>
  <si>
    <t>zakat</t>
  </si>
  <si>
    <t>paid to khurram c/o bilal wife</t>
  </si>
  <si>
    <t>to abbas pkumber for oct 19</t>
  </si>
  <si>
    <t>cash paid for zeelaf</t>
  </si>
  <si>
    <t>for cup and glass tapes cleared remaining 500 remaining 220</t>
  </si>
  <si>
    <t>invoics naveed malik</t>
  </si>
  <si>
    <t xml:space="preserve">invoice the cinema </t>
  </si>
  <si>
    <t>for puurfahsing zeelaf flanges</t>
  </si>
  <si>
    <t>to riaz driver for oct 19</t>
  </si>
  <si>
    <t>cash paid for puchasing cleared</t>
  </si>
  <si>
    <t>hold for rubber bill</t>
  </si>
  <si>
    <t>for color copy</t>
  </si>
  <si>
    <t>for zeelaf draing</t>
  </si>
  <si>
    <t>paid for bilal bhai work</t>
  </si>
  <si>
    <t>to aamir for jpmc drawings</t>
  </si>
  <si>
    <t>purchasing cleared</t>
  </si>
  <si>
    <t>bakhti give misc hisaab from 15-10-19  to 21-10-19</t>
  </si>
  <si>
    <t>received from khaadi 2nd payment shakeel my interior</t>
  </si>
  <si>
    <t>raza engineering</t>
  </si>
  <si>
    <t>paid for ss sheet purchsing at zeelaf</t>
  </si>
  <si>
    <t>paid for 02 nos circular duct fans for khaadi dmtr</t>
  </si>
  <si>
    <t>paid for utilities bills for sept 29</t>
  </si>
  <si>
    <t>paid for site expenses sent thru bilal</t>
  </si>
  <si>
    <t>for isolator falcon and cuttings disc for zeelaf</t>
  </si>
  <si>
    <t>cash paid now upto date 17700 (for naveed malik pipe fittings</t>
  </si>
  <si>
    <t>paid for ss grease trap</t>
  </si>
  <si>
    <t>paid cash</t>
  </si>
  <si>
    <t>paid in falcon atrium area</t>
  </si>
  <si>
    <t>invoices ahmed villa</t>
  </si>
  <si>
    <t>received from naveed malik cash received from nadeem bhai</t>
  </si>
  <si>
    <t>cash paid for settlement his account</t>
  </si>
  <si>
    <t>suler card</t>
  </si>
  <si>
    <t>paid which was pending</t>
  </si>
  <si>
    <t>owais salary for the month of august 19</t>
  </si>
  <si>
    <t>to raheel for oct 19</t>
  </si>
  <si>
    <t>for mis expenses</t>
  </si>
  <si>
    <t>azaad duct</t>
  </si>
  <si>
    <t>cash paid advance in jpmc</t>
  </si>
  <si>
    <t>for news paper</t>
  </si>
  <si>
    <t>child fees</t>
  </si>
  <si>
    <t>for carbon</t>
  </si>
  <si>
    <t>paid to azeem for bilal bhai work</t>
  </si>
  <si>
    <t>paid to azeem for core cuttings</t>
  </si>
  <si>
    <t>to azeem</t>
  </si>
  <si>
    <t>imtiaz lahore haripur</t>
  </si>
  <si>
    <t>return back by minhaal</t>
  </si>
  <si>
    <t>rafay engr</t>
  </si>
  <si>
    <t>paid to rafay for khaadi dmtr thermostat</t>
  </si>
  <si>
    <t>Akber Zaheer</t>
  </si>
  <si>
    <t>farhan bhai billl paid</t>
  </si>
  <si>
    <t>farhan bhai bill paid</t>
  </si>
  <si>
    <t>bakhti give misc hisaab from 22-10-19  to 26-10-19</t>
  </si>
  <si>
    <t>for l key set purchased</t>
  </si>
  <si>
    <t>to ali khalid  for oct 19</t>
  </si>
  <si>
    <t>cash sent thru minhaal</t>
  </si>
  <si>
    <t>to Talha for  oct 19</t>
  </si>
  <si>
    <t>to Bilal auto for  oct 19</t>
  </si>
  <si>
    <t>Rubber isolater</t>
  </si>
  <si>
    <t>paid for rubber isolator for falcon</t>
  </si>
  <si>
    <t>paid salary for mr Chuttal for oct 19</t>
  </si>
  <si>
    <t>cash paid uptodaete 20,700 - 7,840 = 12,860</t>
  </si>
  <si>
    <t>cash paid sent thru azaad</t>
  </si>
  <si>
    <t>cash paid for bilal bhai work</t>
  </si>
  <si>
    <t>for tabba heart tools shiftings</t>
  </si>
  <si>
    <t>paid for ufone balance</t>
  </si>
  <si>
    <t>nizakat</t>
  </si>
  <si>
    <t>to zeeshan ac for  oct 19</t>
  </si>
  <si>
    <t>cash paid for falcon purchasing</t>
  </si>
  <si>
    <t>to rafeeq</t>
  </si>
  <si>
    <t>drawin</t>
  </si>
  <si>
    <t>cash paid for insualtion</t>
  </si>
  <si>
    <t>bakhti give misc hisaab from 27-10-19  to 31-10-19</t>
  </si>
  <si>
    <t>to kamran for  oct 19 given by bakhti</t>
  </si>
  <si>
    <t>cash given to imran</t>
  </si>
  <si>
    <t xml:space="preserve">drill core </t>
  </si>
  <si>
    <t>paid to iqbal drill at zeelaf</t>
  </si>
  <si>
    <t>paid cash to settlise his account</t>
  </si>
  <si>
    <t>given to sir rehman thru his personal</t>
  </si>
  <si>
    <t>given to tariq nueplex for ZCV purchased 04 nos</t>
  </si>
  <si>
    <t>received from my interior 3rd payment (given to bilal bhai)</t>
  </si>
  <si>
    <t>khaadi DMTR 3rd payment</t>
  </si>
  <si>
    <t>for tender submiited photocopy</t>
  </si>
  <si>
    <t>fuel for various days</t>
  </si>
  <si>
    <t>for purcashiing</t>
  </si>
  <si>
    <t>paid for misc fuel</t>
  </si>
  <si>
    <t>paid thru jazz cash</t>
  </si>
  <si>
    <t>noman shareff at falcon saalry paid as his residgned</t>
  </si>
  <si>
    <t>cash paid for 06 nos gas cylinder</t>
  </si>
  <si>
    <t xml:space="preserve">to kamran electrician for  oct 19 </t>
  </si>
  <si>
    <t>paid internet paid</t>
  </si>
  <si>
    <t>Bukhari Travel</t>
  </si>
  <si>
    <t>paid for tickets sir rehman</t>
  </si>
  <si>
    <t>sweeper zafar half salary paid</t>
  </si>
  <si>
    <t>cash paid for purcasing</t>
  </si>
  <si>
    <t>enveopl</t>
  </si>
  <si>
    <t>bakhti give hisaab misc expenses</t>
  </si>
  <si>
    <t xml:space="preserve">to talha for  oct 19 </t>
  </si>
  <si>
    <t>fuel claimed by nizaqat</t>
  </si>
  <si>
    <t xml:space="preserve">to zeeshan ac for  oct 19 </t>
  </si>
  <si>
    <t>bakhti give misc hisaab from 01-11-19  to 06-11-19</t>
  </si>
  <si>
    <t>Received from GG</t>
  </si>
  <si>
    <t>sana salary paid</t>
  </si>
  <si>
    <t>bakhtio for car wash</t>
  </si>
  <si>
    <t xml:space="preserve">to adil for  nov 19 </t>
  </si>
  <si>
    <t>for sir rehman jazz balances</t>
  </si>
  <si>
    <t>cash paid for jpmc advance</t>
  </si>
  <si>
    <t xml:space="preserve">to shaeryar khalid  for  nov 19 </t>
  </si>
  <si>
    <t>bilal bhai ufone card</t>
  </si>
  <si>
    <t>Paid to Huzaifa for marriage</t>
  </si>
  <si>
    <t>Paid to warda for marriage</t>
  </si>
  <si>
    <t>Paid to Saim bhai daughter</t>
  </si>
  <si>
    <t>bakhti give misc hisaab from 07-11-19  to 09-11-19</t>
  </si>
  <si>
    <t>cash paid rs 55,000 hisaab will give minhaal</t>
  </si>
  <si>
    <t>cash paid for site expenses 2" gate valve</t>
  </si>
  <si>
    <t>cash paid for 02 nos cylinder</t>
  </si>
  <si>
    <t>cash paid for mhr home thermostat changed</t>
  </si>
  <si>
    <t>received against Eye ward jpmc bill (This chq cashed for office oct month salarires</t>
  </si>
  <si>
    <t>amir ufone card</t>
  </si>
  <si>
    <t>cash paid for yasir</t>
  </si>
  <si>
    <t>cash paid for tools</t>
  </si>
  <si>
    <t>paid to bilal bhai he given to yasir</t>
  </si>
  <si>
    <t>suzuki fare in zeelaf</t>
  </si>
  <si>
    <t>bilal bhai car tracker service</t>
  </si>
  <si>
    <t>cash given to bilal bhai thru jpmc ipc 43 cash rs 10,000,000</t>
  </si>
  <si>
    <t>paid this cash given to nadeem bhai he forward ahead Child for cancer treatment</t>
  </si>
  <si>
    <t>bakhti give misc hisaab from 08-11-19  to 13-11-19</t>
  </si>
  <si>
    <t>cash paid for grease and screw pana</t>
  </si>
  <si>
    <t>paid to jahangeer for gas pump</t>
  </si>
  <si>
    <t>received against IPC 43 cash payment 10 Million</t>
  </si>
  <si>
    <t>nadeem bhai salary paid</t>
  </si>
  <si>
    <t>imran chori wala</t>
  </si>
  <si>
    <t>paid for advance as his brother died (instructed by nadeem)</t>
  </si>
  <si>
    <t>to zafar sweper</t>
  </si>
  <si>
    <t>to zeehsan AC</t>
  </si>
  <si>
    <t>Huzaifa salary paid</t>
  </si>
  <si>
    <t>paid for utilities bills for nov 19</t>
  </si>
  <si>
    <t>rehana aunty mobile balnce</t>
  </si>
  <si>
    <t>paid to rehana aunty for misc invoices</t>
  </si>
  <si>
    <t>paid for falcon and jpmc</t>
  </si>
  <si>
    <t>for welding rods</t>
  </si>
  <si>
    <t>Sindh club</t>
  </si>
  <si>
    <t>to Iftikhar for nov</t>
  </si>
  <si>
    <t>paid for dawing</t>
  </si>
  <si>
    <t>paid for jpmc and falcon</t>
  </si>
  <si>
    <t>shahid regger</t>
  </si>
  <si>
    <t>paid sami salary</t>
  </si>
  <si>
    <t>bakhti give misc hisaab from 14-11-19  to 19-11-19</t>
  </si>
  <si>
    <t>for mhr newspaper</t>
  </si>
  <si>
    <t>cash paid to khalid bhai salary advance</t>
  </si>
  <si>
    <t>cash paid to jahangeer for salary advance</t>
  </si>
  <si>
    <t>envelop and tissue paper</t>
  </si>
  <si>
    <t>suzuki fare to ashraf</t>
  </si>
  <si>
    <t>bakhri for car wash</t>
  </si>
  <si>
    <t>paid sst</t>
  </si>
  <si>
    <t>a3 pages</t>
  </si>
  <si>
    <t>cash paid for purcashing</t>
  </si>
  <si>
    <t xml:space="preserve">paid in jpmc </t>
  </si>
  <si>
    <t>paid in zeelaf</t>
  </si>
  <si>
    <t>Hissab nilled when I going  out of city</t>
  </si>
  <si>
    <t>Salary cash received from bilal bhai</t>
  </si>
  <si>
    <t>DIB chq for salary</t>
  </si>
  <si>
    <t>salary paid</t>
  </si>
  <si>
    <t>received from billa bhai (for air curtain)</t>
  </si>
  <si>
    <t>invoies</t>
  </si>
  <si>
    <t>cash paid by bilal bhai</t>
  </si>
  <si>
    <t>farhan salary increased</t>
  </si>
  <si>
    <t>bakhti give misc hisaab from 20-11-19  to 11-12-19</t>
  </si>
  <si>
    <t>UHU glue purcashed</t>
  </si>
  <si>
    <t>bilal bhai super card</t>
  </si>
  <si>
    <t>office lunch by huzaifa</t>
  </si>
  <si>
    <t>mhr gas bill</t>
  </si>
  <si>
    <t>sir rehman washrrom mariatnence</t>
  </si>
  <si>
    <t>drinking water at zmv</t>
  </si>
  <si>
    <t>bilal auto</t>
  </si>
  <si>
    <t>for purcashed c channel</t>
  </si>
  <si>
    <t>Areeb asad</t>
  </si>
  <si>
    <t>paid for bilal bhai system innovation</t>
  </si>
  <si>
    <t>paid for salary</t>
  </si>
  <si>
    <t>paid to ashraf for suzuki</t>
  </si>
  <si>
    <t>paid for office and falcon water</t>
  </si>
  <si>
    <t>Received from bilal bhai</t>
  </si>
  <si>
    <t>padi for jpmc fitting to supplioer</t>
  </si>
  <si>
    <t>noman efu salary increased</t>
  </si>
  <si>
    <t>asif efu salary incred</t>
  </si>
  <si>
    <t>angle purchased for zeelaf</t>
  </si>
  <si>
    <t>purchased fisher for zmv</t>
  </si>
  <si>
    <t>for mobile purcashed at gulshan project</t>
  </si>
  <si>
    <t>insulation purchased</t>
  </si>
  <si>
    <t>rehana rehmna balnce</t>
  </si>
  <si>
    <t>nazim</t>
  </si>
  <si>
    <t>cash paid sent thru abbas</t>
  </si>
  <si>
    <t>purcashing</t>
  </si>
  <si>
    <t xml:space="preserve">Zakat </t>
  </si>
  <si>
    <t>paid zakat to khurram c./o bilal wife</t>
  </si>
  <si>
    <t>purchsing</t>
  </si>
  <si>
    <t>irfan bhai salary paid</t>
  </si>
  <si>
    <t>to amjad ustad for dec 19</t>
  </si>
  <si>
    <t>to abbas for dec 19</t>
  </si>
  <si>
    <t>to zafar sweeper for dec 19</t>
  </si>
  <si>
    <t>receive from bilal bhai</t>
  </si>
  <si>
    <t>paid for invoices</t>
  </si>
  <si>
    <t>inhci tape</t>
  </si>
  <si>
    <t>jahangeer claimed fuel</t>
  </si>
  <si>
    <t>karman claimed fuel</t>
  </si>
  <si>
    <t>for purcsahing</t>
  </si>
  <si>
    <t>cash paid for cloth and other material purcashing</t>
  </si>
  <si>
    <t>to suleman efu for dec 19</t>
  </si>
  <si>
    <t>bakhti give misc hisaab from 12-12-19  to 26-12-19</t>
  </si>
  <si>
    <t>to minhaal for dec 19</t>
  </si>
  <si>
    <t>to bilal for dec 19</t>
  </si>
  <si>
    <t>arsalan duct</t>
  </si>
  <si>
    <t>paid for ss material purzcasjing</t>
  </si>
  <si>
    <t>paid to bilal wife</t>
  </si>
  <si>
    <t>paid for fans shifting at 3rd floor</t>
  </si>
  <si>
    <t>riskshaw fare form office to atrium mall Insulation and cloth</t>
  </si>
  <si>
    <t>paid for mibilink balance</t>
  </si>
  <si>
    <t>to khalid the place for dec 19</t>
  </si>
  <si>
    <t>cash paid for glue and brushes</t>
  </si>
  <si>
    <t>office k elec bill paid</t>
  </si>
  <si>
    <t>a3 pages bundle</t>
  </si>
  <si>
    <t>to lateed zmv for dec 19</t>
  </si>
  <si>
    <t>paid to amir for ufone cards for two months</t>
  </si>
  <si>
    <t>cash paid for naveed malik site fuel for two monthts</t>
  </si>
  <si>
    <t>to talha zmv for dec 19</t>
  </si>
  <si>
    <t>to kamran elec for dec 19</t>
  </si>
  <si>
    <t>to kamran auto for dec 19</t>
  </si>
  <si>
    <t>to zulfiquar for material</t>
  </si>
  <si>
    <t>to azeem d/w for jomc salary adv</t>
  </si>
  <si>
    <t>to shahid painter for salary adv</t>
  </si>
  <si>
    <t>paid for ftc2 month tea</t>
  </si>
  <si>
    <t>to zulfiquar for dec 19</t>
  </si>
  <si>
    <t>profile print</t>
  </si>
  <si>
    <t>letter head print</t>
  </si>
  <si>
    <t>to haneef for washroom work</t>
  </si>
  <si>
    <t>for pucahsing</t>
  </si>
  <si>
    <t>less paid last time</t>
  </si>
  <si>
    <t>zeeshan ac</t>
  </si>
  <si>
    <t>paid for falcon purcashing coil and aeroflex</t>
  </si>
  <si>
    <t>cash paid by nadeem bhai</t>
  </si>
  <si>
    <t>total salary paid</t>
  </si>
  <si>
    <t>nasir colony k elec bill paid</t>
  </si>
  <si>
    <t>bakhti give misc hisaab from 27-12-19  to 13-01-20</t>
  </si>
  <si>
    <t>cash paid for lucky one</t>
  </si>
  <si>
    <t>cash paid for falcon azeem</t>
  </si>
  <si>
    <t>receive from bilal bhai riaz sahab cash</t>
  </si>
  <si>
    <t>anwar piping</t>
  </si>
  <si>
    <t>waris nov 19 and dec 19 salary</t>
  </si>
  <si>
    <t>invocies naveed malik</t>
  </si>
  <si>
    <t>to shahid painter for site expenses</t>
  </si>
  <si>
    <t>cash paid sent by shahid painter</t>
  </si>
  <si>
    <t>bakhti give misc hisaab from 14-01-20  to 21-01-20</t>
  </si>
  <si>
    <t>for purasjing</t>
  </si>
  <si>
    <t>paid mhr and office</t>
  </si>
  <si>
    <t>to bilal auto for jan 20</t>
  </si>
  <si>
    <t>cash paid his account settled</t>
  </si>
  <si>
    <t>paid for ciema work</t>
  </si>
  <si>
    <t>paid KCCI fee</t>
  </si>
  <si>
    <t>paid farhan bhai co nadeem bhai k elec bill</t>
  </si>
  <si>
    <t>for farhan bhai k elec bill</t>
  </si>
  <si>
    <t>for stickter for stacnling advance for falcon</t>
  </si>
  <si>
    <t>for 7 than clothes</t>
  </si>
  <si>
    <t>return to bilal bhai</t>
  </si>
  <si>
    <t>for pucashing</t>
  </si>
  <si>
    <t>bilal bhai child fees charges</t>
  </si>
  <si>
    <t>paid for cash tranfer charges to karor sir rehman acc</t>
  </si>
  <si>
    <t>paid for cash tranfer charges to karoor ibad account</t>
  </si>
  <si>
    <t>for purchasing atrium material</t>
  </si>
  <si>
    <t>to shahid</t>
  </si>
  <si>
    <t>vohra cloth</t>
  </si>
  <si>
    <t>paid for 10 thans</t>
  </si>
  <si>
    <t>to suleman dilawar c/o jahangeeer for jan 20</t>
  </si>
  <si>
    <t>for office motor repair</t>
  </si>
  <si>
    <t>received from bilal auto</t>
  </si>
  <si>
    <t>to khalid the place for jan 20</t>
  </si>
  <si>
    <t>paid for falcon and office</t>
  </si>
  <si>
    <t xml:space="preserve">for zeelaf insulation </t>
  </si>
  <si>
    <t>epoxy</t>
  </si>
  <si>
    <t>paid for epoxy</t>
  </si>
  <si>
    <t>for site expenses insulation</t>
  </si>
  <si>
    <t>given for utilities bills</t>
  </si>
  <si>
    <t>nadeem bhai and uncle riaz lunch</t>
  </si>
  <si>
    <t>bilal bhai cigratee</t>
  </si>
  <si>
    <t>received from Total Hashmani cash</t>
  </si>
  <si>
    <t>to Asif EFU the place for jan 20</t>
  </si>
  <si>
    <t>paid to dawood suzuki</t>
  </si>
  <si>
    <t>for nadeem bhai bill</t>
  </si>
  <si>
    <t>bakhti give misc hisaab from 22-01-20  to 31-01-20</t>
  </si>
  <si>
    <t>paid now uptodate 25000</t>
  </si>
  <si>
    <t>for site expenses  fuel</t>
  </si>
  <si>
    <t>cash paid for site expenses for falcon zeeshan</t>
  </si>
  <si>
    <t>to Khalid bhai zmv for jan 20</t>
  </si>
  <si>
    <t>shahid panter</t>
  </si>
  <si>
    <t>paid for site expenses naveed malik given by nadeem bhai</t>
  </si>
  <si>
    <t>to zafar sweeper for jan 20</t>
  </si>
  <si>
    <t>for puchasing</t>
  </si>
  <si>
    <t xml:space="preserve">muzzamil </t>
  </si>
  <si>
    <t>paid in hashmani deal</t>
  </si>
  <si>
    <t>paid for hashmani purchaing will retuen invoices</t>
  </si>
  <si>
    <t>paid for tea refreshment</t>
  </si>
  <si>
    <t>to shahbaz emplyee zmv for jan 20</t>
  </si>
  <si>
    <t>paid  he wil return cash</t>
  </si>
  <si>
    <t>receoved from Imran Orient paid chq Rs 395,000 but his inoices was Rs 350,000 then he return Rs 45,000</t>
  </si>
  <si>
    <t>imran c/o feroz salary adv</t>
  </si>
  <si>
    <t>bakhti give misc hisaab from 01-02-20  to 06-01-20</t>
  </si>
  <si>
    <t>charity by bilal bhai</t>
  </si>
  <si>
    <t>paid cash thruogh nadeem bhai hands</t>
  </si>
  <si>
    <t>to iftikhar for jan 20 by jahangeer</t>
  </si>
  <si>
    <t>to ahmed for jan 20 by jahan geer</t>
  </si>
  <si>
    <t>to iftikhar  for jan 20</t>
  </si>
  <si>
    <t>to kamran auto for jan 20</t>
  </si>
  <si>
    <t>nadeem bhai balance</t>
  </si>
  <si>
    <t>waris jan 20 salary</t>
  </si>
  <si>
    <t>tissue boz</t>
  </si>
  <si>
    <t>received from bilal bhai Hashmani cash</t>
  </si>
  <si>
    <t>for purcashing of insulation and pipes</t>
  </si>
  <si>
    <t>cash for site hashmani purchasing</t>
  </si>
  <si>
    <t>to talha for jan 20</t>
  </si>
  <si>
    <t>cash paid for zeelaf receiving on register</t>
  </si>
  <si>
    <t>waris salary paid for burhani mehal pool maintenance</t>
  </si>
  <si>
    <t>Rafay engr</t>
  </si>
  <si>
    <t>fare</t>
  </si>
  <si>
    <t>rikshaw from jpmc to zmv duct piece</t>
  </si>
  <si>
    <t xml:space="preserve">cash paid for site expenses atrium and hashmani </t>
  </si>
  <si>
    <t>invoices for flue duct jpmc</t>
  </si>
  <si>
    <t>to Rafay for jan 20</t>
  </si>
  <si>
    <t>bilal bhai car wash</t>
  </si>
  <si>
    <t>inchi tape</t>
  </si>
  <si>
    <t>cash paid for naddem bhai child fee charges</t>
  </si>
  <si>
    <t>for printer</t>
  </si>
  <si>
    <t>to haneef for jan 20</t>
  </si>
  <si>
    <t>bakhti give misc hisaab from 07-02-20  to 12-01-20</t>
  </si>
  <si>
    <t>from islamuddin to office insulation</t>
  </si>
  <si>
    <t>for purcahsing for 2 roll from forte for zmv</t>
  </si>
  <si>
    <t>zmv</t>
  </si>
  <si>
    <t>damer tapes for zmv by minhaal</t>
  </si>
  <si>
    <t>sadqa for pioneer office</t>
  </si>
  <si>
    <t>received from Zeelaf 9th adhoc payment total received chq amount rs 1500,000 rec on 13-2-20</t>
  </si>
  <si>
    <t xml:space="preserve">for purcashing  </t>
  </si>
  <si>
    <t>for purcahsing carton tapes</t>
  </si>
  <si>
    <t>paid advance in ideas atrium deal</t>
  </si>
  <si>
    <t>cash paid for site</t>
  </si>
  <si>
    <t>paid in jpmc chq pipe cladding advance</t>
  </si>
  <si>
    <t>paid for flare nut and dammer tapes for sindh club</t>
  </si>
  <si>
    <t>Rs 15,000 paid to bilal bhai he then paid this for office zakat</t>
  </si>
  <si>
    <t>cash paid at hashmani bill</t>
  </si>
  <si>
    <t>recceived from sindh club 1st payment after mobilziation</t>
  </si>
  <si>
    <t>for hashmani purchasing</t>
  </si>
  <si>
    <t>paid 21,000 at hashmani and rs 14,000 at ideas atrium</t>
  </si>
  <si>
    <t>to abbas feb 20</t>
  </si>
  <si>
    <t>paid to imran engr Rs 20,000 for old invoices and rs 10,000 for advance</t>
  </si>
  <si>
    <t>paid for mhr and office</t>
  </si>
  <si>
    <t>paid zeelaf salary advance total sal 55,000 paid 40,000 for the month jan 20</t>
  </si>
  <si>
    <t>jpmc raheel fuel claimed</t>
  </si>
  <si>
    <t>bakhti give misc hisaab from 13-02-20  to 18-02-20</t>
  </si>
  <si>
    <t>for site at atrium</t>
  </si>
  <si>
    <t>atrium</t>
  </si>
  <si>
    <t>to shahid painter for naveed malik</t>
  </si>
  <si>
    <t>welding plant jpmc plant</t>
  </si>
  <si>
    <t>welding plant hashmani</t>
  </si>
  <si>
    <t>Moiz zahabiya</t>
  </si>
  <si>
    <t>for jpmc purchasing ftc and atrium</t>
  </si>
  <si>
    <t>paid for insulation roll</t>
  </si>
  <si>
    <t>to Adil ftc feb 20</t>
  </si>
  <si>
    <t>rec from total chq rs 150,000 kia ni chq</t>
  </si>
  <si>
    <t>paid final salary amount for feb 20</t>
  </si>
  <si>
    <t>cash paid for atrium valves</t>
  </si>
  <si>
    <t>tapes 2 carton atrium 1 zeelaf</t>
  </si>
  <si>
    <t>paid for site expnsse sent thru amir jpmc</t>
  </si>
  <si>
    <t>paid for ufone card + feul</t>
  </si>
  <si>
    <t>claimed for bike maintenance</t>
  </si>
  <si>
    <t>paid to masjid aacount (given by riaz uncle)</t>
  </si>
  <si>
    <t>to kamran auto feb 20</t>
  </si>
  <si>
    <t>cash taken for sara baji lunch</t>
  </si>
  <si>
    <t>rikshaw</t>
  </si>
  <si>
    <t>for duct selen</t>
  </si>
  <si>
    <t>nizaka r fuel</t>
  </si>
  <si>
    <t>cash for site excpen</t>
  </si>
  <si>
    <t xml:space="preserve">cash paid for atruim </t>
  </si>
  <si>
    <t>cash paid for site expenses uptodate 4000 cleared</t>
  </si>
  <si>
    <t>paid for zeelaf stationery</t>
  </si>
  <si>
    <t>paid to imran c/o feroz for salary</t>
  </si>
  <si>
    <t>for jpmc vcd rikshaw</t>
  </si>
  <si>
    <t>rehnan aunty jazz balance</t>
  </si>
  <si>
    <t>shahid painter for navved malik</t>
  </si>
  <si>
    <t>paid for site expenses for glue 2 barni</t>
  </si>
  <si>
    <t>to sheryar feb 20</t>
  </si>
  <si>
    <t>purcashed grindr for zmv</t>
  </si>
  <si>
    <t>cash paid (prv 400 rem) uptodate 1400</t>
  </si>
  <si>
    <t xml:space="preserve">cash paid rs 5000 </t>
  </si>
  <si>
    <t>newpaper</t>
  </si>
  <si>
    <t>paid for site expnse</t>
  </si>
  <si>
    <t>to amir engr jpmc feb 20</t>
  </si>
  <si>
    <t>master tank</t>
  </si>
  <si>
    <t>paid for 03 nos water tank</t>
  </si>
  <si>
    <t>minhaal claimed 2 super card for bilal bhai</t>
  </si>
  <si>
    <t>hold with bilal bhai</t>
  </si>
  <si>
    <t>for printer purcahsed</t>
  </si>
  <si>
    <t>for welding rod for jpmc</t>
  </si>
  <si>
    <t>from office to bah ftc</t>
  </si>
  <si>
    <t>to shahid oainter in naveed malik</t>
  </si>
  <si>
    <t>paid for sqaure pipe</t>
  </si>
  <si>
    <t>paid for sqaure pipe from mughal</t>
  </si>
  <si>
    <t>paid for gul ahmed purchs</t>
  </si>
  <si>
    <t>paid for year 2019 remaining zakat cash (May Allah Accept)</t>
  </si>
  <si>
    <t>bakhti salary paid</t>
  </si>
  <si>
    <t>madni cloth</t>
  </si>
  <si>
    <t>paid for 10 than clothes</t>
  </si>
  <si>
    <t>SALARY ADV KHALID BHAI</t>
  </si>
  <si>
    <t>cash paid for jameel baig villa</t>
  </si>
  <si>
    <t>paid for 03 nos water tank shifitng</t>
  </si>
  <si>
    <t>to mughal for sqaure pipe</t>
  </si>
  <si>
    <t xml:space="preserve">weldon </t>
  </si>
  <si>
    <t xml:space="preserve">avari lahore tender purcahsed from YH </t>
  </si>
  <si>
    <t>tosuleman feb 20</t>
  </si>
  <si>
    <t>bakhti give misc hisaab from 19-02-20  to 29-02-20</t>
  </si>
  <si>
    <t>given to kamran for kitchen stuff purcahsed from IMTIAZ MARKET</t>
  </si>
  <si>
    <t>paid to riaz driver for home fuel</t>
  </si>
  <si>
    <t>claimed fiel</t>
  </si>
  <si>
    <t>paid for red oxide and brush for ideas</t>
  </si>
  <si>
    <t>paid for pipe purchased from waseem</t>
  </si>
  <si>
    <t>paid for sucuki fare</t>
  </si>
  <si>
    <t>paid for site sindh club</t>
  </si>
  <si>
    <t>for jpmc surgical ward purcahsing</t>
  </si>
  <si>
    <t xml:space="preserve">mujahid cylinder </t>
  </si>
  <si>
    <t>paid for 06 nos oxygen cylinder</t>
  </si>
  <si>
    <t>to zafar for salary for the month feb 20</t>
  </si>
  <si>
    <t>ssgc bill paid with charges</t>
  </si>
  <si>
    <t>cash paid for purchasing for jpmc surgical</t>
  </si>
  <si>
    <t>to talha feb 20</t>
  </si>
  <si>
    <t xml:space="preserve">sindh club </t>
  </si>
  <si>
    <t>for misc efu invoices</t>
  </si>
  <si>
    <t>fuel jpmc</t>
  </si>
  <si>
    <t>nasir colony bill paid</t>
  </si>
  <si>
    <t>received against IPC 44 rceived on 111-2-20</t>
  </si>
  <si>
    <t>paid rs 4600 for 2 than</t>
  </si>
  <si>
    <t>kamran autoclaied fuel</t>
  </si>
  <si>
    <t>to ahmed feb 20</t>
  </si>
  <si>
    <t>given by minhaal</t>
  </si>
  <si>
    <t>cash givne to azeem for jameel bai</t>
  </si>
  <si>
    <t>EFU salary paid</t>
  </si>
  <si>
    <t>FTC staff salary</t>
  </si>
  <si>
    <t>envelop purcashed</t>
  </si>
  <si>
    <t>ftc</t>
  </si>
  <si>
    <t>tea and refreshment</t>
  </si>
  <si>
    <t>cash paid for baf 06th floor bond</t>
  </si>
  <si>
    <t>cash paid for site expenses uptoday  7400 + 5000 = 12400 - 5150 = 7250</t>
  </si>
  <si>
    <t>to jahangeer feb 20</t>
  </si>
  <si>
    <t>screw purchased for ftc 6 th floor</t>
  </si>
  <si>
    <t>cash paid for site expenses up to date 200 + 2000 = 2200</t>
  </si>
  <si>
    <t>received from nadeem 3rd floor</t>
  </si>
  <si>
    <t>ali raza insulation</t>
  </si>
  <si>
    <t>Talha insulator</t>
  </si>
  <si>
    <t>paid in ideas atrium mall</t>
  </si>
  <si>
    <t>UZAIR salary paid</t>
  </si>
  <si>
    <t>zeelaf 10th adhoc payment received</t>
  </si>
  <si>
    <t>paid for jameel baig redsidn</t>
  </si>
  <si>
    <t>paid to shoaib by bilal habib</t>
  </si>
  <si>
    <t>to lateef mar 20</t>
  </si>
  <si>
    <t>SST tax paid</t>
  </si>
  <si>
    <t>RMR</t>
  </si>
  <si>
    <t>The Place</t>
  </si>
  <si>
    <t>FTC</t>
  </si>
  <si>
    <t>paid for hashmani purcashing</t>
  </si>
  <si>
    <t>kamran claimed fuel and sst paid cahrges</t>
  </si>
  <si>
    <t>ideas gul</t>
  </si>
  <si>
    <t>from sami workshop to ftc o6th floor</t>
  </si>
  <si>
    <t>Faseeh ur rehman</t>
  </si>
  <si>
    <t>fees paid to faseeh ur rehman account</t>
  </si>
  <si>
    <t>thermosata for gul ahmed by azeem</t>
  </si>
  <si>
    <t>painter</t>
  </si>
  <si>
    <t xml:space="preserve"> paid to painter at naveed malik by order nadeem bhai</t>
  </si>
  <si>
    <t>charity by bilal bhai to saylani</t>
  </si>
  <si>
    <t>bakhti given hisaab kitchen expenses</t>
  </si>
  <si>
    <t>claimed fuel by farhan ftc</t>
  </si>
  <si>
    <t>paid for cable purcahsed from ideas (will give invoices)</t>
  </si>
  <si>
    <t>charity paid meat (ghost) to bakhti</t>
  </si>
  <si>
    <t>cash paidnter for site expenses naveed malik</t>
  </si>
  <si>
    <t>cash paid to bilal auto</t>
  </si>
  <si>
    <t>paid for tapes for ideas dammer tapes</t>
  </si>
  <si>
    <t>cash paid for truck fare in falcon pipe to nadeem baloch</t>
  </si>
  <si>
    <t>received cash from Naveed Malik</t>
  </si>
  <si>
    <t>sindh club</t>
  </si>
  <si>
    <t>nadeem bhai mobile balance paid</t>
  </si>
  <si>
    <t>paid for site expenses by order bilal bhi</t>
  </si>
  <si>
    <t xml:space="preserve">washroom farnyl and photo copy for office ---- </t>
  </si>
  <si>
    <t>fruit, club sanwich cigrt for bilal bhi</t>
  </si>
  <si>
    <t>naveed malik</t>
  </si>
  <si>
    <t>epoxy purchd near rahat milk corner</t>
  </si>
  <si>
    <t>rafeeq engr</t>
  </si>
  <si>
    <t>paid for hilti repair, ms bend, g I screww, elbow, glasses, and fuel</t>
  </si>
  <si>
    <t>paid for site exp (order by nadem bhi)</t>
  </si>
  <si>
    <t>cash paid for sindh club PPRC pipes from US traders</t>
  </si>
  <si>
    <t>claimed fuel and purchd c.p. nipple</t>
  </si>
  <si>
    <t>cash return ny shahid painter after purcashing</t>
  </si>
  <si>
    <t>made greating piece by nadeem bhi + shahid fuel claimd</t>
  </si>
  <si>
    <t xml:space="preserve">paid for site expenses naveed malik </t>
  </si>
  <si>
    <t>cash paid for hashmani purhcasing</t>
  </si>
  <si>
    <t>hashmani</t>
  </si>
  <si>
    <t>cash paid for site expenses sent thru lateef chacha</t>
  </si>
  <si>
    <t>invoices paid to haneef</t>
  </si>
  <si>
    <t>invoices efu</t>
  </si>
  <si>
    <t>cash paid for naveed malik</t>
  </si>
  <si>
    <t>shahbaz zeelaf staff salary paid feb 20</t>
  </si>
  <si>
    <t>paid to azaad</t>
  </si>
  <si>
    <t>paid to saeed sons</t>
  </si>
  <si>
    <t>paid to rizwan core</t>
  </si>
  <si>
    <t>saeed sons</t>
  </si>
  <si>
    <t>rizwan core</t>
  </si>
  <si>
    <t>received from hashmani lucky one</t>
  </si>
  <si>
    <t>purchased dadex tee</t>
  </si>
  <si>
    <t>paid for site expenses  uptodaye  14,200</t>
  </si>
  <si>
    <t>invoies jameel</t>
  </si>
  <si>
    <t>endorresed</t>
  </si>
  <si>
    <t>paid for jpmc cloth</t>
  </si>
  <si>
    <t>paid mhr and office (all paid except K ele bill)</t>
  </si>
  <si>
    <t>labour at jameeel baig</t>
  </si>
  <si>
    <t>zeelaf chq 7th payment</t>
  </si>
  <si>
    <t>office enterance door lock cylinder changed</t>
  </si>
  <si>
    <t>cash return by azeem</t>
  </si>
  <si>
    <t>bilal bhai lunch, water cigtt</t>
  </si>
  <si>
    <t>nadeem bhai lunch and biskuots</t>
  </si>
  <si>
    <t>bakhti give hisab photocopy and kitchen expenses</t>
  </si>
  <si>
    <t>given to haneef for his mother</t>
  </si>
  <si>
    <t>given to haneef salary adv</t>
  </si>
  <si>
    <t>given to rehan for peety cash</t>
  </si>
  <si>
    <t xml:space="preserve">given to zubair duct in jinnah deal </t>
  </si>
  <si>
    <t>cash paid for farhan c/o nadeem bhai</t>
  </si>
  <si>
    <t>paid for union for zeelaf</t>
  </si>
  <si>
    <t>paid for atrium material</t>
  </si>
  <si>
    <t>cash paid for naveed malik purcahsing cleared</t>
  </si>
  <si>
    <t>given to Rehan for petty cash</t>
  </si>
  <si>
    <t>cash paid in jpmc uo todate   ea 23,000</t>
  </si>
  <si>
    <t>cash used in salary</t>
  </si>
  <si>
    <t xml:space="preserve">bakhti give hisab misc expenses </t>
  </si>
  <si>
    <t>given to bhakhti advance</t>
  </si>
  <si>
    <t>paid in hasmani and gul ahmed</t>
  </si>
  <si>
    <t>Tariqcorporation</t>
  </si>
  <si>
    <t>received from Nadeem bhai</t>
  </si>
  <si>
    <t>for bilal bhai home medicine</t>
  </si>
  <si>
    <t>paid for pipes at jpmc</t>
  </si>
  <si>
    <t>paid fuel</t>
  </si>
  <si>
    <t>JPMC IPC 44 payment tanken</t>
  </si>
  <si>
    <t>given to rehan for imran engr petty cash</t>
  </si>
  <si>
    <t>paid advance to zafar sweeper</t>
  </si>
  <si>
    <t>lunch for bilal bhai and other items</t>
  </si>
  <si>
    <t>PTCL BILLS PAID OFFICE</t>
  </si>
  <si>
    <t>PTCL BILLS PAID MHR HOME</t>
  </si>
  <si>
    <t>paid for suzuki paid</t>
  </si>
  <si>
    <t>imran ducting</t>
  </si>
  <si>
    <t>given to azaad ducting</t>
  </si>
  <si>
    <t xml:space="preserve">paid for groceries, medication and water at mhr home </t>
  </si>
  <si>
    <t>purchased sheet purcahssing</t>
  </si>
  <si>
    <t xml:space="preserve">given to rehan </t>
  </si>
  <si>
    <t>paid to dawwod</t>
  </si>
  <si>
    <t>received against IPC 45 payment (hold with bilal bhai)</t>
  </si>
  <si>
    <t>depossited in DIB</t>
  </si>
  <si>
    <t>given to rehan for petty cash</t>
  </si>
  <si>
    <t>40% remaining salary</t>
  </si>
  <si>
    <t>MHR KESC bills paid</t>
  </si>
  <si>
    <t>Office KESC bills paid</t>
  </si>
  <si>
    <t>jpmc invoices</t>
  </si>
  <si>
    <t>rehana aunty jazz balance</t>
  </si>
  <si>
    <t>paid in falcon</t>
  </si>
  <si>
    <t>to jahangeer</t>
  </si>
  <si>
    <t>to imran engr for gas kit</t>
  </si>
  <si>
    <t>r mbile load</t>
  </si>
  <si>
    <t>paid cash for mughal iron for choras pipe + 5000 given by nadeem bhai for gaskets</t>
  </si>
  <si>
    <t>mineral water for previous month</t>
  </si>
  <si>
    <t>paid to farhan bhai for k electic bill</t>
  </si>
  <si>
    <t>office bill paid</t>
  </si>
  <si>
    <t>paid internet</t>
  </si>
  <si>
    <t>cash paid (purchsed ball valve, nipple bush cuttinmg disc hold tite from burhani tradres</t>
  </si>
  <si>
    <t>paid for 10 cator tapes</t>
  </si>
  <si>
    <t>recceid 11th payment from zeelaf taken by bilal bhai</t>
  </si>
  <si>
    <t>paid to zafar sweeper</t>
  </si>
  <si>
    <t>shabbir brothers</t>
  </si>
  <si>
    <t>paid  in jameel baig residence</t>
  </si>
  <si>
    <t>paid for zeelaf insulation</t>
  </si>
  <si>
    <t>paid to haneef for pipe cutter at zeelaf</t>
  </si>
  <si>
    <t>to raheel jpmc for april 20</t>
  </si>
  <si>
    <t xml:space="preserve">from lucky one to office </t>
  </si>
  <si>
    <t>paid from iqbal sons to jpmc</t>
  </si>
  <si>
    <t>jahangeer advance salary</t>
  </si>
  <si>
    <t>paid for rashan packets +rikshaw (zakat)</t>
  </si>
  <si>
    <t>Bilal bhai take this cash in his profit taking for the previous year 2018 to 2019</t>
  </si>
  <si>
    <t>waris salary for the month of feb 20</t>
  </si>
  <si>
    <t>paid to rehan for office salaries April 2020</t>
  </si>
  <si>
    <t>paid to muzamil for installation in hashmani</t>
  </si>
  <si>
    <t>paid to muzamil for material in hashmani deal</t>
  </si>
  <si>
    <t>paid to faizan in falcon installation duct</t>
  </si>
  <si>
    <t>paid for mobile balance</t>
  </si>
  <si>
    <t>paid to saleem cloth in jpmc deal</t>
  </si>
  <si>
    <t>paid to feroz eastern sanitry in jpmc deal</t>
  </si>
  <si>
    <t>received from bilal bhai for Office salaries</t>
  </si>
  <si>
    <t>office April salaries paid</t>
  </si>
  <si>
    <t>fareeh ur rehman</t>
  </si>
  <si>
    <t>Bilal Wife</t>
  </si>
  <si>
    <t>paid to Zakat Khurram</t>
  </si>
  <si>
    <t>SMC tender</t>
  </si>
  <si>
    <t>salahuddin prv month salary remaining due to shahrukh issue</t>
  </si>
  <si>
    <t>paid for naveed malik pump repairing</t>
  </si>
  <si>
    <t>rehana aunty ufone balance</t>
  </si>
  <si>
    <t>paid Proposed office NIP Karachi</t>
  </si>
  <si>
    <t>kamran claimed fuel</t>
  </si>
  <si>
    <t>salaryies envelop purchased</t>
  </si>
  <si>
    <t>paid for nasir colony k elec bill</t>
  </si>
  <si>
    <t>paid for mhr home invoices given to shaaf</t>
  </si>
  <si>
    <t>paid may 20 fees</t>
  </si>
  <si>
    <t>paid to nadeem bhai for jpmc exhaust fans and zeelaf insulation from forte</t>
  </si>
  <si>
    <t>given to rehan for office petty cash</t>
  </si>
  <si>
    <t>Arif Panel</t>
  </si>
  <si>
    <t>received from Bilal bhai</t>
  </si>
  <si>
    <t>purcahsed exhast fans voldam for jpmc</t>
  </si>
  <si>
    <t>return cash to nadeem bhai</t>
  </si>
  <si>
    <t>paid for suzuki ashraf from jpmc</t>
  </si>
  <si>
    <t>khalid bhai salary advanc return</t>
  </si>
  <si>
    <t>Haneef salary advance return</t>
  </si>
  <si>
    <t>Amir jpmc salary advance return</t>
  </si>
  <si>
    <t xml:space="preserve">Khalid mansoor salary revised </t>
  </si>
  <si>
    <t>Ahsan Salary revised</t>
  </si>
  <si>
    <t>PTCL Bills  Office Paid</t>
  </si>
  <si>
    <t>PTCL Bills MHR Paid</t>
  </si>
  <si>
    <t>unsulation and other items for zeelaf</t>
  </si>
  <si>
    <t>cash paid in jpmc</t>
  </si>
  <si>
    <t>raees brothers</t>
  </si>
  <si>
    <t>MCB Chq</t>
  </si>
  <si>
    <t>To Shahbaz jpmc for salary advance</t>
  </si>
  <si>
    <t>to khalid the place salary advance</t>
  </si>
  <si>
    <t>Azeem for purchasing</t>
  </si>
  <si>
    <t>Rehan for petty cash</t>
  </si>
  <si>
    <t>SEM tebder</t>
  </si>
  <si>
    <t>SEM intiaz ponam warehouse tender puchased</t>
  </si>
  <si>
    <t>cash paid for nadeem bhai home pump repair</t>
  </si>
  <si>
    <t>paid in naveed malik site by order nadeem bhai</t>
  </si>
  <si>
    <t>paid in jpmc kitchen</t>
  </si>
  <si>
    <t>JPMC FOOD COURT RECEIVEING  TOTAL CHEQUE</t>
  </si>
  <si>
    <t>paid to jahangeer for 10 packet rashans zakat + suzuki</t>
  </si>
  <si>
    <t>paid to kamran auto for fateh cheque corrier</t>
  </si>
  <si>
    <t>to haneef bhai for nadeem bhai home pump</t>
  </si>
  <si>
    <t>salary envelop</t>
  </si>
  <si>
    <t>50 % salary</t>
  </si>
  <si>
    <t>Bharmal</t>
  </si>
  <si>
    <t>All staff 50% salaries released except following:
Nadeem bhai
RMR Cinema
The Place Cinema
Rafay
Jahangeer</t>
  </si>
  <si>
    <t>paid for butterfly vavles 3" + 500 suzuki JPMC</t>
  </si>
  <si>
    <t>MCB cash depositted charges (in mandi bahauddin)</t>
  </si>
  <si>
    <t>paid to sunny</t>
  </si>
  <si>
    <t>given to zeeshan AC may 20 salary</t>
  </si>
  <si>
    <t>given to Aleem Falcon mall</t>
  </si>
  <si>
    <t>paid for mhr home april and may 20 medicines groceries and water tanker</t>
  </si>
  <si>
    <t>Zeeshan ac salary used</t>
  </si>
  <si>
    <t>zeehan ac</t>
  </si>
  <si>
    <t>paid for material purcahsed for Iqbal sahab jpmc</t>
  </si>
  <si>
    <t>paid for site expenses sent thru amir plumber</t>
  </si>
  <si>
    <t>amir plumber claimed fuel</t>
  </si>
  <si>
    <t>Mossi home and riaz drver slary used</t>
  </si>
  <si>
    <t>office and mhr home k elec bills paid</t>
  </si>
  <si>
    <t>office mineral water tea and bilal bhai lunch</t>
  </si>
  <si>
    <t>Naveed malik receiving against bill num 069- 921</t>
  </si>
  <si>
    <t>Ehsan Trader</t>
  </si>
  <si>
    <t>Imran choori</t>
  </si>
  <si>
    <t>cash paid for fuel and mobile cards</t>
  </si>
  <si>
    <t>paid in naveed malik</t>
  </si>
  <si>
    <t>paid to rafeeq rikshaw fare from jpmc to zeelaf ducting material</t>
  </si>
  <si>
    <t>purchased office printer</t>
  </si>
  <si>
    <t>given to imran for jpmc mirror</t>
  </si>
  <si>
    <t>Forte pak</t>
  </si>
  <si>
    <t>paid for insulation purchased for zeelaf</t>
  </si>
  <si>
    <t>paid for naveed world wide publishers</t>
  </si>
  <si>
    <t>paid for naveed malik site</t>
  </si>
  <si>
    <t>paid for fuel and mobile card</t>
  </si>
  <si>
    <t>paid in jpmc and baf 06th deal</t>
  </si>
  <si>
    <t>IPC 46 adhoc received (this chq hold with bilal bhai)</t>
  </si>
  <si>
    <t>bakhti give office hisab</t>
  </si>
  <si>
    <t>nadeem bhai home utilities bill paid</t>
  </si>
  <si>
    <t>khalid bhai naveed</t>
  </si>
  <si>
    <t>rafeeq for zela</t>
  </si>
  <si>
    <t>to nadeem bhai</t>
  </si>
  <si>
    <t>Ideas gul ahmed 3rd payment received (this chq hold with bilal bhai)</t>
  </si>
  <si>
    <t>Given to rehan for office petty cash</t>
  </si>
  <si>
    <t>paid for freir tools at jameel baig residence</t>
  </si>
  <si>
    <t>to zafar for june 20</t>
  </si>
  <si>
    <t>farhan c/o farhan</t>
  </si>
  <si>
    <t>paid c/o nadeem bhai</t>
  </si>
  <si>
    <t>to farhan</t>
  </si>
  <si>
    <t>paid for bike maintenance at naveed malik site</t>
  </si>
  <si>
    <t>paid for 100 nos grills springs for zeelaf</t>
  </si>
  <si>
    <t>Ahmed fees paid</t>
  </si>
  <si>
    <t>A rehman fees paid</t>
  </si>
  <si>
    <t>may bill paid</t>
  </si>
  <si>
    <t>paid t0 nadeem bhai</t>
  </si>
  <si>
    <t>ahmed fees paid</t>
  </si>
  <si>
    <t>a rehman fees paid</t>
  </si>
  <si>
    <t>Rs 50,000 given to Amir engr in nov 19</t>
  </si>
  <si>
    <t>paid for jpmc</t>
  </si>
  <si>
    <t xml:space="preserve">RS 385,000 given to Rehan </t>
  </si>
  <si>
    <t>rehan aunty</t>
  </si>
  <si>
    <t>cash oaid for site exp sent thru jahangeer</t>
  </si>
  <si>
    <t>paid for miror glass</t>
  </si>
  <si>
    <t>paid for tapes 02 nos carton for jpmc</t>
  </si>
  <si>
    <t>Tube traders</t>
  </si>
  <si>
    <t>offic expenses by bakhti</t>
  </si>
  <si>
    <t>paid advance by order nadeem bhai</t>
  </si>
  <si>
    <t>Karman elec salary used</t>
  </si>
  <si>
    <t>for mhr home expenses</t>
  </si>
  <si>
    <t>gizri se nasir colony</t>
  </si>
  <si>
    <t>paid in jpmc</t>
  </si>
  <si>
    <t>Rs 200,000 to rehan</t>
  </si>
  <si>
    <t>Rs 60,000 mhr home (MHR home mossi and driver salaries)</t>
  </si>
  <si>
    <t>Rs 300,000 to rehan</t>
  </si>
  <si>
    <t>paid for Shaf school fees</t>
  </si>
  <si>
    <t>naddeem bhai mobile</t>
  </si>
  <si>
    <t>paid to azaad for switch for machine</t>
  </si>
  <si>
    <t>atrium mall</t>
  </si>
  <si>
    <t>paid shaaf school fees</t>
  </si>
  <si>
    <t>zafar grill</t>
  </si>
  <si>
    <t>for jpmc purcahseng invoices given</t>
  </si>
  <si>
    <t>paid to azeem for jameel biag site expenses</t>
  </si>
  <si>
    <t>paid to azeem against invoices</t>
  </si>
  <si>
    <t>paid for magoes petties + rikshaw fare fromamir jpmc</t>
  </si>
  <si>
    <t>cash paid for purcjaseng</t>
  </si>
  <si>
    <t xml:space="preserve">Haneef salary adv </t>
  </si>
  <si>
    <t>jahangeer salary ad</t>
  </si>
  <si>
    <t>April + May tea and kitchen expense at ftc site</t>
  </si>
  <si>
    <t>amir plumber</t>
  </si>
  <si>
    <t>paid for pipe nozzle adapter and other item for jpmc</t>
  </si>
  <si>
    <t>paid for insulation from fortepak purcahsed by kamran auto</t>
  </si>
  <si>
    <t xml:space="preserve">received from ZMv against purchasing of chemo feeder and expantion tank </t>
  </si>
  <si>
    <t xml:space="preserve">office expenses by bakhti </t>
  </si>
  <si>
    <t>Epoxy</t>
  </si>
  <si>
    <t>epoxy purcahsed for naveed malik villa</t>
  </si>
  <si>
    <t>All staff salaries released except following:
Nadeem bhai, Rafay, Khalid Bhai, Ali Khalid, Kamran elec, Rafeeq and  The Place Cinema staff</t>
  </si>
  <si>
    <t>Farhan FTC Salary used</t>
  </si>
  <si>
    <t>paid for EFU april to june billing</t>
  </si>
  <si>
    <t>Rehan pump</t>
  </si>
  <si>
    <t>paid for 100 ltr expantion tank</t>
  </si>
  <si>
    <t>received from Bilal bhai (yasir)</t>
  </si>
  <si>
    <t>umer zahid</t>
  </si>
  <si>
    <t>paid for donation in the name Pioneer</t>
  </si>
  <si>
    <t>for mhr home mangoes</t>
  </si>
  <si>
    <t>for mhr home milk</t>
  </si>
  <si>
    <t>rehana aunty mobile balance</t>
  </si>
  <si>
    <t>jinnah to rizri</t>
  </si>
  <si>
    <t>saleem cloth</t>
  </si>
  <si>
    <t>cash paid for zmv purcahsing cemente, dhaaga and other items</t>
  </si>
  <si>
    <t>azeem mobile card for site</t>
  </si>
  <si>
    <t>khalid the place salary</t>
  </si>
  <si>
    <t>ahsan  the place salary</t>
  </si>
  <si>
    <t>Khizer the place salary</t>
  </si>
  <si>
    <t>hamza the place salary</t>
  </si>
  <si>
    <t>purcashed office printer data cable and cash memo books for rent record</t>
  </si>
  <si>
    <t>to shafqat jatoi easy paisa + chargesc/o bilal bhai</t>
  </si>
  <si>
    <t>for purchasing tapes zeelaf and flexible cables and coil jameel baig</t>
  </si>
  <si>
    <t>cash paid now uptodate 38000</t>
  </si>
  <si>
    <t>paid to shahid in zeelaf</t>
  </si>
  <si>
    <t>paid for duct clothes jpmc</t>
  </si>
  <si>
    <t>cash paid to saeed nhai saim bros</t>
  </si>
  <si>
    <t>cash paid to rehan pump</t>
  </si>
  <si>
    <t>to faheem elec in falcon electrical</t>
  </si>
  <si>
    <t>for mhr medicines</t>
  </si>
  <si>
    <t>cash paid for site expense</t>
  </si>
  <si>
    <t>received from Bilal bhai (azeem bring this cash Near ayaz mehmood mosque)</t>
  </si>
  <si>
    <t>cash paid sent thru salahuddin by order nadeem bhai</t>
  </si>
  <si>
    <r>
      <t xml:space="preserve">remaining salarires paid </t>
    </r>
    <r>
      <rPr>
        <b/>
        <sz val="11"/>
        <color rgb="FF00B0F0"/>
        <rFont val="Calibri"/>
        <family val="2"/>
        <scheme val="minor"/>
      </rPr>
      <t>except minhaal salary</t>
    </r>
  </si>
  <si>
    <t>office printer service and repaieing</t>
  </si>
  <si>
    <t>rafay salary paid</t>
  </si>
  <si>
    <t>paid to shaaf ur rehman for trnsfer to moiz ubl account</t>
  </si>
  <si>
    <t>to adil plumber</t>
  </si>
  <si>
    <t>for site expense</t>
  </si>
  <si>
    <t>for hilti repairing</t>
  </si>
  <si>
    <t>cash paid for farhan c/o nadeem bhai utilitoes bill</t>
  </si>
  <si>
    <t>DIB CHq</t>
  </si>
  <si>
    <t>mhr K ele and ptcl bills paid</t>
  </si>
  <si>
    <t>Office K ele and ptcl bills paid</t>
  </si>
  <si>
    <t>rafeeq salary</t>
  </si>
  <si>
    <t>to shahid rigger in jpmc</t>
  </si>
  <si>
    <t>to adil plumber in naveed malik</t>
  </si>
  <si>
    <t>to bharmal for gas regulator 1-1/2</t>
  </si>
  <si>
    <t>paid for purcahsing thru tube trader in jpmc upvc fittings</t>
  </si>
  <si>
    <t>received from JPMC IPC 46 adhoc</t>
  </si>
  <si>
    <t>Used Riaz uncle nasir colony chq</t>
  </si>
  <si>
    <t>Iqbal core</t>
  </si>
  <si>
    <t>PADI FOR diesl level control swithc 01 nos</t>
  </si>
  <si>
    <t xml:space="preserve">received from Bilal bhai (azeem bring this cash </t>
  </si>
  <si>
    <t>paid to tariq insulator jpmc</t>
  </si>
  <si>
    <t>paid to tariq insulator zeelaf</t>
  </si>
  <si>
    <t>Rs 100,000 to rehan</t>
  </si>
  <si>
    <t>for newspaper for two months</t>
  </si>
  <si>
    <t>kamran office claimed fuel</t>
  </si>
  <si>
    <t>received from Bilal bhai from himself</t>
  </si>
  <si>
    <t>to zulfiquar ftc for june 20 sent thru hamid</t>
  </si>
  <si>
    <t>paid for unit repair at naveed malik</t>
  </si>
  <si>
    <t>gland</t>
  </si>
  <si>
    <t>split ac</t>
  </si>
  <si>
    <t>paid to mazdoor for kataai at zeelaf</t>
  </si>
  <si>
    <t>paid for labour lunch at zeelaf</t>
  </si>
  <si>
    <t>paid for kitchen stuff from imtiaz</t>
  </si>
  <si>
    <t>paid to Feroz shb for june 20</t>
  </si>
  <si>
    <t>for mineral water for office</t>
  </si>
  <si>
    <t>paid for 02 balti duct sealent</t>
  </si>
  <si>
    <t>Voldam fans NEC</t>
  </si>
  <si>
    <t>paid for 02 no inline exhaust fan</t>
  </si>
  <si>
    <t>paid for water tanker for falcon</t>
  </si>
  <si>
    <t>cash paid as a zakat to mr waqas cousin of bilal bhai</t>
  </si>
  <si>
    <t>mobie balance</t>
  </si>
  <si>
    <t>to jahangeer for june 20`</t>
  </si>
  <si>
    <t>to kamran auto june 20`</t>
  </si>
  <si>
    <t>paid to haneef for june 20</t>
  </si>
  <si>
    <t>Groceries and water tanker</t>
  </si>
  <si>
    <t>for mulmal cloth</t>
  </si>
  <si>
    <t>jpmc lunch</t>
  </si>
  <si>
    <t>atrium draings</t>
  </si>
  <si>
    <t>Rs 95,000 to rehan</t>
  </si>
  <si>
    <t>FTC site salary paid</t>
  </si>
  <si>
    <t>EFU staff salary paid except Ali khalid</t>
  </si>
  <si>
    <t>SSGC bill paid</t>
  </si>
  <si>
    <t>K elec bill paid</t>
  </si>
  <si>
    <t>Rs 200,000 to rehan (for salaries)</t>
  </si>
  <si>
    <t>Rs 400,000 to rehan (for salaries)</t>
  </si>
  <si>
    <t>The place staff salaries</t>
  </si>
  <si>
    <t>JPMC staff salaries</t>
  </si>
  <si>
    <t>Azeem salary</t>
  </si>
  <si>
    <t>Zeeshan AC salary</t>
  </si>
  <si>
    <t xml:space="preserve">Ali khalid salary </t>
  </si>
  <si>
    <t>MHR misc invoices</t>
  </si>
  <si>
    <t>MHR home salaries paid by bilal bhai</t>
  </si>
  <si>
    <t>MHR sir rehman pedestal  fan purcahsed</t>
  </si>
  <si>
    <t>water tander</t>
  </si>
  <si>
    <t xml:space="preserve">MCBchq </t>
  </si>
  <si>
    <t>paid to akber zaheer for his employee</t>
  </si>
  <si>
    <t>chacha lateef salary</t>
  </si>
  <si>
    <t>Lateef salary</t>
  </si>
  <si>
    <t>Jahangeer salary</t>
  </si>
  <si>
    <t>bakhti give hisaab for office</t>
  </si>
  <si>
    <t>adil ftc</t>
  </si>
  <si>
    <t>paid for cementex at site</t>
  </si>
  <si>
    <t>cash from bilal bhai</t>
  </si>
  <si>
    <t>a4 pages rim purchased</t>
  </si>
  <si>
    <t>paid for PABX telephone and cameras sevicing and repairing</t>
  </si>
  <si>
    <t>purchased a3 paper 30 nos for zeelaf log sheet</t>
  </si>
  <si>
    <t>RMR staff salaries</t>
  </si>
  <si>
    <t>salaries leaves allowed</t>
  </si>
  <si>
    <t>paid for pin valve and copper rod</t>
  </si>
  <si>
    <t>for cutting disc zeelaf</t>
  </si>
  <si>
    <t>Zeelaf 12th payment received</t>
  </si>
  <si>
    <t>cash from bilal bhai (yasir siddique)</t>
  </si>
  <si>
    <t>to rehan for office expenses (from yasir siddiqi)</t>
  </si>
  <si>
    <t>paid to ali khalid</t>
  </si>
  <si>
    <t xml:space="preserve">paid to shahid painter </t>
  </si>
  <si>
    <t>cash from nadeem bhai</t>
  </si>
  <si>
    <t>for bank alfakah invoices given</t>
  </si>
  <si>
    <t>for efu printing</t>
  </si>
  <si>
    <t>paid for wire and screw for diffuer and grill at hasmani</t>
  </si>
  <si>
    <t>paid for hashmani</t>
  </si>
  <si>
    <t>Arham</t>
  </si>
  <si>
    <t>Haneef</t>
  </si>
  <si>
    <t xml:space="preserve">Rehan </t>
  </si>
  <si>
    <t>fuel invoice</t>
  </si>
  <si>
    <t>advance to amir plumber for july</t>
  </si>
  <si>
    <t>paid to labourer at jpmc</t>
  </si>
  <si>
    <t>cash paid for wiring for jpmc</t>
  </si>
  <si>
    <t>suleman dilawer</t>
  </si>
  <si>
    <t>cash padi given by nadeem bhai and 2000 fro mnadeem bhai total 17000</t>
  </si>
  <si>
    <t>cash paid sent thru abbas upto date 23000</t>
  </si>
  <si>
    <t>atrium drawings</t>
  </si>
  <si>
    <t xml:space="preserve">cash from bilal bhai </t>
  </si>
  <si>
    <t>1 roll insulation for ZMV 
Rs  21,500 + suzuki fare 1500</t>
  </si>
  <si>
    <t>tapes 3 carton for zeelaf + fuel</t>
  </si>
  <si>
    <t xml:space="preserve">Bilal bhai &amp; his guests' lunch </t>
  </si>
  <si>
    <t>ptcl bills paid</t>
  </si>
  <si>
    <t>paid for cast iron manhole colver</t>
  </si>
  <si>
    <t>imtiaz tender ponam store</t>
  </si>
  <si>
    <t>to azaad duct</t>
  </si>
  <si>
    <t>to abbas salary advance</t>
  </si>
  <si>
    <t>to faheem elec he will give invoices</t>
  </si>
  <si>
    <t>paid for refreshment and tea expenses</t>
  </si>
  <si>
    <t>naveed malik connector purcahed</t>
  </si>
  <si>
    <t>bilal bhai guset super card</t>
  </si>
  <si>
    <t xml:space="preserve">paid advance in jpmc and ftc </t>
  </si>
  <si>
    <t>paid for bank al-falah purchasing invoices given</t>
  </si>
  <si>
    <t>The place 02 months</t>
  </si>
  <si>
    <t>RMR 03 months</t>
  </si>
  <si>
    <t>FTC 02 months</t>
  </si>
  <si>
    <t xml:space="preserve">Bilal bhai salary June 2020 </t>
  </si>
  <si>
    <t>to lateef duct for july 20</t>
  </si>
  <si>
    <t>cash paid for site hashmani</t>
  </si>
  <si>
    <t>paid for fans fidao for hashmani
1000 mobile balance 
500 fuel and 
500 meeting and 
150 fuel</t>
  </si>
  <si>
    <t>invoices hashmani</t>
  </si>
  <si>
    <t>from zmv to nasir to jpmc</t>
  </si>
  <si>
    <t>paid salary april may and june 20</t>
  </si>
  <si>
    <t>cash paid for site expemses by order nadeem bhai</t>
  </si>
  <si>
    <t>paid cash advance in jpmc</t>
  </si>
  <si>
    <t>Maskin SHO</t>
  </si>
  <si>
    <t>paid for ??</t>
  </si>
  <si>
    <t>to zeeshan for july 20</t>
  </si>
  <si>
    <t>paid for zmv insulation roll</t>
  </si>
  <si>
    <t>Din brother</t>
  </si>
  <si>
    <t>paid for epoxy for sindh club</t>
  </si>
  <si>
    <t>paid for qurbani for sir rehman to Al khidmat welfare</t>
  </si>
  <si>
    <t>Alpha engr</t>
  </si>
  <si>
    <t>paid for 02 nos chemical</t>
  </si>
  <si>
    <t>Zeeshan AC salary paid</t>
  </si>
  <si>
    <t>cash sent thru nadeem</t>
  </si>
  <si>
    <t>claimed</t>
  </si>
  <si>
    <t>to jahanger for july 20</t>
  </si>
  <si>
    <t>cash paid to bilal bahi c/o jahangeeer</t>
  </si>
  <si>
    <t>cash paid to bilal bhai c/o jahangeer</t>
  </si>
  <si>
    <t>riksahw fare form jpmc to zmv</t>
  </si>
  <si>
    <t>bkahti give hisaab</t>
  </si>
  <si>
    <t>cash paid in zeelaf</t>
  </si>
  <si>
    <t>cheqye corrier to hassan abbas</t>
  </si>
  <si>
    <t>to amir engr tranfer easy paisa by kamran auto</t>
  </si>
  <si>
    <t>to Ali khalid EFU</t>
  </si>
  <si>
    <t>to Noman hussain EFU</t>
  </si>
  <si>
    <t>to ASIF EFU</t>
  </si>
  <si>
    <t>30-07-020</t>
  </si>
  <si>
    <t>to shahid painter salary advance</t>
  </si>
  <si>
    <t>Us traders</t>
  </si>
  <si>
    <t xml:space="preserve">to Lateef duct </t>
  </si>
  <si>
    <t xml:space="preserve">to lateef chacha </t>
  </si>
  <si>
    <t>cash paid asif</t>
  </si>
  <si>
    <t>labourer salaries at jpmc</t>
  </si>
  <si>
    <t>to JPMC staff cash given to imran engr</t>
  </si>
  <si>
    <t>cash sent thru amir</t>
  </si>
  <si>
    <t>cash sent thru nadeem bhai</t>
  </si>
  <si>
    <t>Mukhtiar advance</t>
  </si>
  <si>
    <t>rehan aunty ufine super card</t>
  </si>
  <si>
    <t>from forte deal</t>
  </si>
  <si>
    <t xml:space="preserve">to rehan for office expenses </t>
  </si>
  <si>
    <t>paid for falcon mall material</t>
  </si>
  <si>
    <t>bill paid</t>
  </si>
  <si>
    <t>mearment scale purchased by kamran auto</t>
  </si>
  <si>
    <t>bakhti car wash</t>
  </si>
  <si>
    <t>paid for office mineral</t>
  </si>
  <si>
    <t>paid in jpmc by order nadeem</t>
  </si>
  <si>
    <t>cash paid to fakhrul islam c/o nadeem bhai in his share in against dib chq #02086954 which was cancelled  + bank cahrges</t>
  </si>
  <si>
    <t>cash paid for site zeelaf</t>
  </si>
  <si>
    <t>For mhr home expenses</t>
  </si>
  <si>
    <t>mossi home and driver salaries July 20</t>
  </si>
  <si>
    <t>water tankers 03 nos</t>
  </si>
  <si>
    <t>charity paid</t>
  </si>
  <si>
    <t>paid to tariq insulator</t>
  </si>
  <si>
    <t>receoved from bilal bhai</t>
  </si>
  <si>
    <t>HJPMC IPC 46</t>
  </si>
  <si>
    <t>faheem ele</t>
  </si>
  <si>
    <t>rehan aunty jazz</t>
  </si>
  <si>
    <t>11-08-020</t>
  </si>
  <si>
    <t>cash paid for falcon material</t>
  </si>
  <si>
    <t>office sweeper mossi salary</t>
  </si>
  <si>
    <t>cash paid sent trhu shahid for tapes and glues</t>
  </si>
  <si>
    <t>paid to faseeh ur rehman</t>
  </si>
  <si>
    <t>zeelaf except (Rafeeq, haneef and Arham)</t>
  </si>
  <si>
    <t>cash paid for jpmc site</t>
  </si>
  <si>
    <t>paid for july tea expenses</t>
  </si>
  <si>
    <t>paid for banck cahrges for faseeh transfer</t>
  </si>
  <si>
    <t xml:space="preserve">paid for bank al-falah purchasing </t>
  </si>
  <si>
    <t>PABX power supply changed</t>
  </si>
  <si>
    <t>depositted cash in Sir Rehman MCB Karor branch against his sir rehman share</t>
  </si>
  <si>
    <t>jameel baig</t>
  </si>
  <si>
    <t>paid to labourer sent thru zeeshan ac</t>
  </si>
  <si>
    <t>cash paid sent thru amir jpmc</t>
  </si>
  <si>
    <t>cash paid sent thru amir engr</t>
  </si>
  <si>
    <t>lateef duct</t>
  </si>
  <si>
    <t>ptcl bills office</t>
  </si>
  <si>
    <t>depositted cash in Sir Rehman DIB account against his sir rehman share</t>
  </si>
  <si>
    <t>Received from bilal bhai against jpmc Food Court IPC 08</t>
  </si>
  <si>
    <t>against misc invoices</t>
  </si>
  <si>
    <t>purcahsed a4 paper rim 01 nos carton</t>
  </si>
  <si>
    <t>rikshaw fare &amp; fuel for grills and other material</t>
  </si>
  <si>
    <t>umer give hissab</t>
  </si>
  <si>
    <t>charity with salylani rs 5000</t>
  </si>
  <si>
    <t>12-08-020</t>
  </si>
  <si>
    <t>jpmc drawings</t>
  </si>
  <si>
    <t>zeelaf drawings</t>
  </si>
  <si>
    <t>hold with print wala</t>
  </si>
  <si>
    <t>suleman dilawer salary leaves 01 nos</t>
  </si>
  <si>
    <t>claimed 02 months fuel adjusted in JPMC, zeelaf, RMR and the place site visits</t>
  </si>
  <si>
    <t>to abbas plumber for august 20</t>
  </si>
  <si>
    <t>purcashed kitchen stuff from imtiaz super store</t>
  </si>
  <si>
    <t>cementax and fuel 150</t>
  </si>
  <si>
    <t>paid for the place black tapes</t>
  </si>
  <si>
    <t>20-08-020</t>
  </si>
  <si>
    <t>paid for machine</t>
  </si>
  <si>
    <t>to amir engr sent thru nadeem bhai</t>
  </si>
  <si>
    <t>22-08-020</t>
  </si>
  <si>
    <t>mhr home K elec bills paid</t>
  </si>
  <si>
    <t xml:space="preserve">paid for compressor oil </t>
  </si>
  <si>
    <t>cash paid for falcon  material</t>
  </si>
  <si>
    <t>paid to M. Akram Jazz cash account c/o bilal bhai</t>
  </si>
  <si>
    <t>to bilal bhai</t>
  </si>
  <si>
    <t>cash paid against his share profit account this cash paid for fees for zainab latif d/o m asif</t>
  </si>
  <si>
    <t>cheq</t>
  </si>
  <si>
    <t>claimed fuel and bilal bhai medicine</t>
  </si>
  <si>
    <t>paid to khalid bhai post in neplex site</t>
  </si>
  <si>
    <t>cash paid for bike maintenance</t>
  </si>
  <si>
    <t>02-09-020</t>
  </si>
  <si>
    <t>moshin air flow</t>
  </si>
  <si>
    <t>cash paid for zeelaf site received by Mr. khurram</t>
  </si>
  <si>
    <t>paid for 2 nos insulation  + suzuki fare</t>
  </si>
  <si>
    <t>RMR salary</t>
  </si>
  <si>
    <t>FTC Staff salary</t>
  </si>
  <si>
    <t>EFU staff</t>
  </si>
  <si>
    <t>jpmc copmuter repair</t>
  </si>
  <si>
    <t>cash paid sent thru Irfan bhai</t>
  </si>
  <si>
    <t>Office staff salary</t>
  </si>
  <si>
    <t>Nadeem bhai</t>
  </si>
  <si>
    <t>August 20 refreshment and tea</t>
  </si>
  <si>
    <t>04-09-020</t>
  </si>
  <si>
    <t>bank alfalah misc</t>
  </si>
  <si>
    <t>rashid at bank alfalah</t>
  </si>
  <si>
    <t>azaad at bank alfalah</t>
  </si>
  <si>
    <t>salary advance to shahid painter</t>
  </si>
  <si>
    <t>ms pipe threading 6" and 8"</t>
  </si>
  <si>
    <t>rubber plug in falcon</t>
  </si>
  <si>
    <t>jpmc misc</t>
  </si>
  <si>
    <t>suzuki fare jpmc</t>
  </si>
  <si>
    <t>computer repair jpmc</t>
  </si>
  <si>
    <t>amir plumber for marterial</t>
  </si>
  <si>
    <t>salary advance to amir</t>
  </si>
  <si>
    <t>paid to mukhtiaz</t>
  </si>
  <si>
    <t>naveed malik invocies</t>
  </si>
  <si>
    <t>JPMC MOSQUE receiving</t>
  </si>
  <si>
    <t xml:space="preserve"> jpmc Food Court IPC 08</t>
  </si>
  <si>
    <t>Jpmc Food Court IPC 08</t>
  </si>
  <si>
    <t>Zeeshan at jameel baig</t>
  </si>
  <si>
    <t>Shahid painter at naveed malik</t>
  </si>
  <si>
    <t>The place salary</t>
  </si>
  <si>
    <t>sir rehman mobile balance charged in mhr</t>
  </si>
  <si>
    <t>paid for pipe and elbow for jameel baig</t>
  </si>
  <si>
    <t>ibraheem fittings</t>
  </si>
  <si>
    <t>paid for zeelaf and jpmc</t>
  </si>
  <si>
    <t>07-09-020</t>
  </si>
  <si>
    <t>PAID to faheem elec for office stairs LED light</t>
  </si>
  <si>
    <t>to raheel jpmc for august 20</t>
  </si>
  <si>
    <t>azeem and ahmed at falcon</t>
  </si>
  <si>
    <t>cash paid sent thro umer office</t>
  </si>
  <si>
    <t>cash paid for zeelaf site, drop anchor, valves ms fittings, 
and tapes for jpmc</t>
  </si>
  <si>
    <t>cash paid for zmv purcahsing</t>
  </si>
  <si>
    <t>cash return to rehan</t>
  </si>
  <si>
    <t>invoices for bilal bhai</t>
  </si>
  <si>
    <t>cash return by azeem after purcashing</t>
  </si>
  <si>
    <t>cash paid rec by himself</t>
  </si>
  <si>
    <t>Talha salary 26 days</t>
  </si>
  <si>
    <t>paid 6 cheques returned from Fateh amounting rs 50,000 each and  Rs 50,000 cash total paid to bharmal Rs 350,000</t>
  </si>
  <si>
    <t>Beach avenue phase VI memship payment charged in bilal bhai personal account</t>
  </si>
  <si>
    <t>paid RMR and the place</t>
  </si>
  <si>
    <t>to bilal bhai sent thro umer</t>
  </si>
  <si>
    <t>MHr mossi salaries</t>
  </si>
  <si>
    <t>to bilal bhai (c/o mr fahad property panel)</t>
  </si>
  <si>
    <t>bilal bhai guest lunch</t>
  </si>
  <si>
    <t>cash paid for rikhaw fare</t>
  </si>
  <si>
    <t>mukhtiar</t>
  </si>
  <si>
    <t>cash paid for labourer at jpmc</t>
  </si>
  <si>
    <t>10-09-020</t>
  </si>
  <si>
    <t>salary adv to shahid painter</t>
  </si>
  <si>
    <t>given to shahid in his salary</t>
  </si>
  <si>
    <t>cash paid to azaad advance</t>
  </si>
  <si>
    <t>PAID FOR the place material</t>
  </si>
  <si>
    <t>paid for riksahw fare and fuel</t>
  </si>
  <si>
    <t>cash paid in falcon labour</t>
  </si>
  <si>
    <t>Returned this cheque from Fateh steel</t>
  </si>
  <si>
    <t>lateef zeelaf salary</t>
  </si>
  <si>
    <t>chcha lateef zeelaf salary</t>
  </si>
  <si>
    <t>haneef zeelaf salary</t>
  </si>
  <si>
    <t>Suleman dilawer zeelaf salary</t>
  </si>
  <si>
    <t>to rehan for office expenses sent thru jahangeer</t>
  </si>
  <si>
    <t>cash paid given by nadeem bhai</t>
  </si>
  <si>
    <t>cash paid sent thru shahid</t>
  </si>
  <si>
    <t>14-09-020</t>
  </si>
  <si>
    <t>invoives</t>
  </si>
  <si>
    <t>paid for ac at RMR units leakeges</t>
  </si>
  <si>
    <t>cash paid for misc mhr expenses</t>
  </si>
  <si>
    <t>stamp papers for bank Alfalah</t>
  </si>
  <si>
    <t>from falcon to nasir colony</t>
  </si>
  <si>
    <t>15-09-020</t>
  </si>
  <si>
    <t>invoives jpmc</t>
  </si>
  <si>
    <t>to mukhtiar advance</t>
  </si>
  <si>
    <r>
      <t xml:space="preserve">zeelaf 13th payment received </t>
    </r>
    <r>
      <rPr>
        <b/>
        <sz val="10"/>
        <color rgb="FFFF0000"/>
        <rFont val="Calibri"/>
        <family val="2"/>
        <scheme val="minor"/>
      </rPr>
      <t>(hold with bilal bhai)</t>
    </r>
  </si>
  <si>
    <t>riksahw fare from office to zeelaf insualtion roll and rods</t>
  </si>
  <si>
    <t>mehmood pipes</t>
  </si>
  <si>
    <t>paid for jpmc and falcon material</t>
  </si>
  <si>
    <t>paid for zeelaf unit intallation</t>
  </si>
  <si>
    <t>paid for fittings from tube trader cash deal</t>
  </si>
  <si>
    <t>to ASIF EFU for sept 20</t>
  </si>
  <si>
    <t>paid for the place mfan repairing</t>
  </si>
  <si>
    <t>paid in jpmac</t>
  </si>
  <si>
    <t>to imran engr sent thru shahid painter</t>
  </si>
  <si>
    <t>cash paid sent thru shahid for mterial</t>
  </si>
  <si>
    <t>paid for drawing jpmc</t>
  </si>
  <si>
    <t xml:space="preserve">Arham adhoc salary paid  zeelaf </t>
  </si>
  <si>
    <t>paid to zeeshan ac for office fridge compressor</t>
  </si>
  <si>
    <t>paid for ban al -falah stamp paper notary public verification</t>
  </si>
  <si>
    <t>cash paid sent thru nadeem bhai</t>
  </si>
  <si>
    <t>18-09-020</t>
  </si>
  <si>
    <t>to amir engr for imran engr</t>
  </si>
  <si>
    <t>to imran engr for purcashing</t>
  </si>
  <si>
    <t>ufone super card rehana aunty</t>
  </si>
  <si>
    <t>19-09-020</t>
  </si>
  <si>
    <t>paid to hammad flang wala</t>
  </si>
  <si>
    <t>invoices 3 nos ac installation</t>
  </si>
  <si>
    <t>mhr ptcl paid</t>
  </si>
  <si>
    <t>office ptcl bills</t>
  </si>
  <si>
    <t>cash paid for machine</t>
  </si>
  <si>
    <t>21-09-020</t>
  </si>
  <si>
    <t>office telephone line direct because pabx system out of order</t>
  </si>
  <si>
    <t>hamid</t>
  </si>
  <si>
    <t>claimed fuel at ftc</t>
  </si>
  <si>
    <t>To faheem for cable purcahsing</t>
  </si>
  <si>
    <t>To rehan for office expenses</t>
  </si>
  <si>
    <t>for Faseeh air tickets (mhr account)</t>
  </si>
  <si>
    <t>cash paid sent thru kamran auto</t>
  </si>
  <si>
    <t>to talha for sept 20</t>
  </si>
  <si>
    <t xml:space="preserve">Hasham stopped salary relaesed </t>
  </si>
  <si>
    <t>to nadeem bhia</t>
  </si>
  <si>
    <t>22-09-020</t>
  </si>
  <si>
    <t>to shahid painter for jpmc materila</t>
  </si>
  <si>
    <t>World wide publisher</t>
  </si>
  <si>
    <t xml:space="preserve">Rafeeq salary relaesed </t>
  </si>
  <si>
    <t xml:space="preserve">Arham remaining salary relaesed </t>
  </si>
  <si>
    <t>bank al-falah</t>
  </si>
  <si>
    <t>paid for labourer to kamran ali, ali khalid and owais</t>
  </si>
  <si>
    <t>invoiversd zeelaf and hashmani</t>
  </si>
  <si>
    <t>cash paid for falcon site</t>
  </si>
  <si>
    <t>cash paid for zeelaf site for die</t>
  </si>
  <si>
    <t>cash given by nadeem bhai</t>
  </si>
  <si>
    <t>cash paid thro office</t>
  </si>
  <si>
    <t>cash paid for jameel baig villa control wire</t>
  </si>
  <si>
    <t>to zeeshan ac for purcahsing</t>
  </si>
  <si>
    <t>to mukhtiar for purcahsing</t>
  </si>
  <si>
    <t>hashmani purcahsing</t>
  </si>
  <si>
    <t>mobile balance nadeem bhai</t>
  </si>
  <si>
    <t>office dirver lunch as instructed by bilal bhai</t>
  </si>
  <si>
    <t>bakhti medicices</t>
  </si>
  <si>
    <t>bilal bhai guest lunch + cold drink</t>
  </si>
  <si>
    <t>Returned by zeeshan ac</t>
  </si>
  <si>
    <t>paid for 3/4 pipe purchased from bukhari</t>
  </si>
  <si>
    <t>salary advance to imran s/o feroz in falcon mal</t>
  </si>
  <si>
    <t>25-09-020</t>
  </si>
  <si>
    <t>for transportation from bharmal to jpmc and then jpmc to bharmal</t>
  </si>
  <si>
    <t>to sir rehman for misc invoices</t>
  </si>
  <si>
    <t>to rehan for petty cash</t>
  </si>
  <si>
    <t>cash paid for Farhan bhai k ele bill</t>
  </si>
  <si>
    <t>cash paid for farhan bhai k elec bill</t>
  </si>
  <si>
    <t>cash paid given by bilal bhai</t>
  </si>
  <si>
    <t>to azaad in jpmc</t>
  </si>
  <si>
    <t xml:space="preserve">paid for smc office labourer </t>
  </si>
  <si>
    <t>paid to ahmed he will return</t>
  </si>
  <si>
    <t>kamran fuel and talha mask</t>
  </si>
  <si>
    <t>Office 15 months bill paid</t>
  </si>
  <si>
    <t>paid for suzuki fare from tube traders to jameel baig</t>
  </si>
  <si>
    <t>CBC bills</t>
  </si>
  <si>
    <t>calimed fuel</t>
  </si>
  <si>
    <t>the place misc invoices</t>
  </si>
  <si>
    <t>Cash paid to Bilal bhai</t>
  </si>
  <si>
    <t>Returned by faheem</t>
  </si>
  <si>
    <t>cash paid (cash giveb by faheem)</t>
  </si>
  <si>
    <t>cash paid to faheen in falcon labourer</t>
  </si>
  <si>
    <t>cash paid to bilal bhai</t>
  </si>
  <si>
    <t>cash paid given by faheem</t>
  </si>
  <si>
    <t>at site</t>
  </si>
  <si>
    <t>cash paid for the place site</t>
  </si>
  <si>
    <t>to shahid painter for jpmc purchasing</t>
  </si>
  <si>
    <t>28-09-020</t>
  </si>
  <si>
    <t>rehana aunty ufone super card</t>
  </si>
  <si>
    <t>shadab</t>
  </si>
  <si>
    <t>paid for karchar and red oxide cementx neplex</t>
  </si>
  <si>
    <t>cash paid for credit card fee</t>
  </si>
  <si>
    <t>bilal bhai credit card fees paid</t>
  </si>
  <si>
    <t>paid for corrier charges for zohaib tax</t>
  </si>
  <si>
    <t>Al-ansar enginnering</t>
  </si>
  <si>
    <t>paid against diesel tank deal advance</t>
  </si>
  <si>
    <t>paid final payment</t>
  </si>
  <si>
    <t>paid for suzuki fare from jpmc to zmv</t>
  </si>
  <si>
    <t>paid in jpmc to nasir colony materila shifting</t>
  </si>
  <si>
    <t>01-10-020</t>
  </si>
  <si>
    <t>to feroz sahab for septmber 20</t>
  </si>
  <si>
    <t>Muzzafar</t>
  </si>
  <si>
    <t>paid for the place chiller inspection</t>
  </si>
  <si>
    <t>02-10-020</t>
  </si>
  <si>
    <t>SSGC bill paid Home MHR and office</t>
  </si>
  <si>
    <t>K elec bill paid Mhr</t>
  </si>
  <si>
    <t>cash paid for suzuki fare</t>
  </si>
  <si>
    <t>cash paid as advance for jpmc labourer</t>
  </si>
  <si>
    <t>paid for DA beach view club</t>
  </si>
  <si>
    <t>Fuel for septembder 20</t>
  </si>
  <si>
    <t>paid for da baech club</t>
  </si>
  <si>
    <t>03-10-020</t>
  </si>
  <si>
    <t>cash paid for chiller transformer</t>
  </si>
  <si>
    <t>cash paid for JS bank purcahsig</t>
  </si>
  <si>
    <t>cash paid in jpmc labourer</t>
  </si>
  <si>
    <t>cash paid against nadeem bhai home utilities bills</t>
  </si>
  <si>
    <t>05-10-020</t>
  </si>
  <si>
    <t>zeeshan ac salary</t>
  </si>
  <si>
    <t>to gul sher for sept 20 (easy paisa to his brother khalid)</t>
  </si>
  <si>
    <t>paid for easy paisa charges in gul salary</t>
  </si>
  <si>
    <t>material shifting from kaytes to zmv</t>
  </si>
  <si>
    <t xml:space="preserve">paid to his brother shahid at the time of jpmc accident </t>
  </si>
  <si>
    <t>paid for 06 thans</t>
  </si>
  <si>
    <t>rafay salary for the month of August 20</t>
  </si>
  <si>
    <t>06-10-020</t>
  </si>
  <si>
    <t>office kitchen stuff from imtiaz</t>
  </si>
  <si>
    <t>mobile load</t>
  </si>
  <si>
    <t>zahabiya</t>
  </si>
  <si>
    <t>duct sealent for js bank</t>
  </si>
  <si>
    <t>to jahangeer for sept 20</t>
  </si>
  <si>
    <t>umer for car wash</t>
  </si>
  <si>
    <t>mobile load super card</t>
  </si>
  <si>
    <t>fuel claimed in falcon mall</t>
  </si>
  <si>
    <t>EFU Staff salaries</t>
  </si>
  <si>
    <t>september 20 refreshment and tea</t>
  </si>
  <si>
    <t>paid for stationery and colour material he will give invoices</t>
  </si>
  <si>
    <t>to kamran auto for sept 20</t>
  </si>
  <si>
    <t>08-10-020</t>
  </si>
  <si>
    <t>nadeem bhai salary for the month of september 20</t>
  </si>
  <si>
    <t>mobile balancee on 0300-9242253</t>
  </si>
  <si>
    <t>cash paid for zmv paint labourer</t>
  </si>
  <si>
    <t>for mobile balance</t>
  </si>
  <si>
    <t>09-10-020</t>
  </si>
  <si>
    <t>salary adv to amir engr</t>
  </si>
  <si>
    <t>cash paid for pump</t>
  </si>
  <si>
    <t>cash paid for purcahsing</t>
  </si>
  <si>
    <t>Falcon mall Staff salary</t>
  </si>
  <si>
    <t>The place Cinema Staff salary</t>
  </si>
  <si>
    <t>RMR Cinema Staff salary</t>
  </si>
  <si>
    <t>Office Staff salary</t>
  </si>
  <si>
    <t>JPMC  Staff salary</t>
  </si>
  <si>
    <t>Mujeed rehman jameel baig salary</t>
  </si>
  <si>
    <t>cash paid against misc invoices</t>
  </si>
  <si>
    <t>to gul sher for oct 20 (easy paisa to his brother khalid)</t>
  </si>
  <si>
    <t>Talha salary release</t>
  </si>
  <si>
    <t>cash paid for jpmc purchasing</t>
  </si>
  <si>
    <t>Returned by Shadab after purchaing</t>
  </si>
  <si>
    <t>claimed mobile card sept</t>
  </si>
  <si>
    <t>paid for mobile card oct  20</t>
  </si>
  <si>
    <t>cash paid for ftc site (balance 1700)</t>
  </si>
  <si>
    <t>khan brother services</t>
  </si>
  <si>
    <t>paid to rizwan for vrf servicing</t>
  </si>
  <si>
    <t>10-10-020</t>
  </si>
  <si>
    <t>Eastern Sanitry</t>
  </si>
  <si>
    <t>paid now balance NIL</t>
  </si>
  <si>
    <t>Eesha fees paid in bank al habib</t>
  </si>
  <si>
    <t>12-10-020</t>
  </si>
  <si>
    <t>JS bank receiveing</t>
  </si>
  <si>
    <t>hammad flang</t>
  </si>
  <si>
    <t>cash paid for 16 nos exhaust fans</t>
  </si>
  <si>
    <t>cash paid for efu lunch</t>
  </si>
  <si>
    <t>mobile balace jpmc and js bank</t>
  </si>
  <si>
    <t>14-10-020</t>
  </si>
  <si>
    <t>from zmv to office store bt haneef</t>
  </si>
  <si>
    <t>to lateef chacha for setp 20</t>
  </si>
  <si>
    <t>Received from JPMC FOOD COURT IPC 09</t>
  </si>
  <si>
    <t>cash paid for purcashing jameel baig (invoie given 250</t>
  </si>
  <si>
    <t>cash paid (balance 3550)</t>
  </si>
  <si>
    <t>Lateef salary release</t>
  </si>
  <si>
    <t>purcahsed duct sealent from chemicon</t>
  </si>
  <si>
    <t>15-10-020</t>
  </si>
  <si>
    <t>to mukhtiar advance (0ct 20</t>
  </si>
  <si>
    <t>paid advance (oct 20)</t>
  </si>
  <si>
    <t>to mukhtiaz</t>
  </si>
  <si>
    <t>cash paid sent thri mukhtiar</t>
  </si>
  <si>
    <t>paid for zeelaf purcashing</t>
  </si>
  <si>
    <t>to haneef for sept 20</t>
  </si>
  <si>
    <t>to adil ftc for oct 20</t>
  </si>
  <si>
    <t>to zulfiquar for oct 20</t>
  </si>
  <si>
    <t>suleman salary release</t>
  </si>
  <si>
    <t>haneef salary release</t>
  </si>
  <si>
    <t>rafeeq salary release</t>
  </si>
  <si>
    <t>bilal bhai room door repaired</t>
  </si>
  <si>
    <t>ptcl bills paid
Office         2300
MHr home 7350</t>
  </si>
  <si>
    <t>to kamran auto for falcon</t>
  </si>
  <si>
    <t>home salaries (mossi and drivers)</t>
  </si>
  <si>
    <t>for computer</t>
  </si>
  <si>
    <t>saeed mama</t>
  </si>
  <si>
    <t>cash paid to saeed mama for excavation work sent thru shahid painter</t>
  </si>
  <si>
    <t>cash paid for damer tape and copper rod</t>
  </si>
  <si>
    <t>mubeen season master</t>
  </si>
  <si>
    <t>paid for extra electric board for 2nd floor</t>
  </si>
  <si>
    <t>to sajjad ftc for oct 20</t>
  </si>
  <si>
    <t>Mungo</t>
  </si>
  <si>
    <t>cash paid against jpmc clamp bills</t>
  </si>
  <si>
    <t>cash paid against prv balance</t>
  </si>
  <si>
    <t>cash paid sent thro shahid painer</t>
  </si>
  <si>
    <t>to talha for oct 20</t>
  </si>
  <si>
    <t>cash paid for tape glue and duct sealent</t>
  </si>
  <si>
    <t>paid for zmv as built drawings</t>
  </si>
  <si>
    <t>forte pak</t>
  </si>
  <si>
    <t>purcashed 1 insulation roll from forte pak + riksahw fare</t>
  </si>
  <si>
    <t>duct selent</t>
  </si>
  <si>
    <t>purchased for zeelaf</t>
  </si>
  <si>
    <t>for falcon</t>
  </si>
  <si>
    <t>to Umer for oct 20</t>
  </si>
  <si>
    <t>cash paid sent thro kamran</t>
  </si>
  <si>
    <t>cash paid (sent thru kamran)</t>
  </si>
  <si>
    <t>chacha lateef release</t>
  </si>
  <si>
    <t>Arham salary release</t>
  </si>
  <si>
    <t>21-10-020</t>
  </si>
  <si>
    <t>cash paid from jpmc food cour cash</t>
  </si>
  <si>
    <t>salary adv to shahid painter for oct 20</t>
  </si>
  <si>
    <t>paid for purcahsing (will give hisab of 800 and 7000)</t>
  </si>
  <si>
    <t>Naveed Akhtar Salary release</t>
  </si>
  <si>
    <t>cash paid for falcon</t>
  </si>
  <si>
    <t>cash paid (by nadeem bhai hands)</t>
  </si>
  <si>
    <t>23-10-020</t>
  </si>
  <si>
    <t>invoice jpmc nut and washers</t>
  </si>
  <si>
    <t>cash paid sent thri nadeem bhai</t>
  </si>
  <si>
    <t xml:space="preserve">paid for fuel valve regger transporation of tank </t>
  </si>
  <si>
    <t>office computer changed</t>
  </si>
  <si>
    <t>to kamran auto for oct 20</t>
  </si>
  <si>
    <t>cash paid advance in jpmc now rs 14000</t>
  </si>
  <si>
    <t>Kumain Younis Villa advance received</t>
  </si>
  <si>
    <t>purchased 1 length pipe pak arab</t>
  </si>
  <si>
    <t>cash paid for farhan sahab utililtes bill</t>
  </si>
  <si>
    <t>for office water tanker</t>
  </si>
  <si>
    <t>talha for bykia conveyance for zeelaf drw verification to jhangeer</t>
  </si>
  <si>
    <t>26-10-020</t>
  </si>
  <si>
    <t>to  khalid bhai but not post in his salary</t>
  </si>
  <si>
    <t>rehana aunty jazz balance for 2 months</t>
  </si>
  <si>
    <t>js bank invoices</t>
  </si>
  <si>
    <t>Zeelaf invocies</t>
  </si>
  <si>
    <t>rehana aunty ufone car</t>
  </si>
  <si>
    <t>misc exp (to police man) given by bilal bhai</t>
  </si>
  <si>
    <t>cash paid for farhan bhai utililtes bill</t>
  </si>
  <si>
    <t>27-10-020</t>
  </si>
  <si>
    <t>given by nadeem bhai</t>
  </si>
  <si>
    <t>office falcon schduel prnting</t>
  </si>
  <si>
    <t>from zeelaf to nasir colony for insualtion and cladding</t>
  </si>
  <si>
    <t>paid for zeelaf purcahsing from taheriya + fuel</t>
  </si>
  <si>
    <t xml:space="preserve">Arham </t>
  </si>
  <si>
    <t>paid for zeelaf purcashuing</t>
  </si>
  <si>
    <t>k elec and SSGC office 1st floor and 2nd floor</t>
  </si>
  <si>
    <t>k elec mhr home bills</t>
  </si>
  <si>
    <t>paid (jpmc)</t>
  </si>
  <si>
    <t>for office buskuits</t>
  </si>
  <si>
    <t>for insulation from off to js bank ftc</t>
  </si>
  <si>
    <t>office cat 6 internet cable</t>
  </si>
  <si>
    <t>cash paid sent thru amir and mehmood</t>
  </si>
  <si>
    <t>29-10-020</t>
  </si>
  <si>
    <t>to sagheer ac advance</t>
  </si>
  <si>
    <t>to amir engr salary advance for oct 20</t>
  </si>
  <si>
    <t>Adjust this cash from Nadeem bhai profit share 2019 to 2020</t>
  </si>
  <si>
    <t xml:space="preserve">paid for fuel tank regger transporation of tank </t>
  </si>
  <si>
    <t xml:space="preserve">paid for jpmc </t>
  </si>
  <si>
    <t>paid for AHU motor c.o tariq rana greaves</t>
  </si>
  <si>
    <t>Greaves ltd</t>
  </si>
  <si>
    <t>to kamran for falcon drawings</t>
  </si>
  <si>
    <t>tender purcahsed the form shooping from yh</t>
  </si>
  <si>
    <t>The forum tender</t>
  </si>
  <si>
    <t xml:space="preserve">paid for 10mm bolt and washer </t>
  </si>
  <si>
    <t>for cloth and tapes</t>
  </si>
  <si>
    <t>cash paid for site zeelaf purch (set thru mukhtiar) balance rs 14550</t>
  </si>
  <si>
    <t>cash paid for drill machine, grinder plaas etc ok cleared</t>
  </si>
  <si>
    <t>paid advance in oct 20 salaries</t>
  </si>
  <si>
    <t>02-11-020</t>
  </si>
  <si>
    <t>04-11-020</t>
  </si>
  <si>
    <t>cash paid in salary</t>
  </si>
  <si>
    <t>paid for misc invoices in hashmani</t>
  </si>
  <si>
    <t>for oct salaries home mhr</t>
  </si>
  <si>
    <t>to imran at site</t>
  </si>
  <si>
    <t xml:space="preserve">cash paid for  misc </t>
  </si>
  <si>
    <t>MCB chq cash for Oct 20 salaries chq # 1765307180</t>
  </si>
  <si>
    <t>Rehan salary</t>
  </si>
  <si>
    <t>for office salaries</t>
  </si>
  <si>
    <t>sagheer ac</t>
  </si>
  <si>
    <t>paid remaining amount</t>
  </si>
  <si>
    <t>cinema the place</t>
  </si>
  <si>
    <t>Jameel baig zeeshan and mujeeb</t>
  </si>
  <si>
    <t>Kamran office salaries</t>
  </si>
  <si>
    <t>Ali efu for tools and photocopies</t>
  </si>
  <si>
    <t>Suleman dilawer salary</t>
  </si>
  <si>
    <t>A. Lateef salary</t>
  </si>
  <si>
    <t>Haneef salary</t>
  </si>
  <si>
    <t>Rafeeq salary</t>
  </si>
  <si>
    <t>Lateef chacha</t>
  </si>
  <si>
    <t>Shahbaz zeelaf salary</t>
  </si>
  <si>
    <t>cash paid agaisnt misc invoices</t>
  </si>
  <si>
    <t>to mukhtiar</t>
  </si>
  <si>
    <t>Fateh retunn chq in 19-10-20 deal</t>
  </si>
  <si>
    <t>to kamran for sst tax and storm fiber bill</t>
  </si>
  <si>
    <t>talha salary</t>
  </si>
  <si>
    <t>Purcahsed red oxidem brushm fittings carbon and other item for zeelaf (remaining rs 1250) now remaining 910</t>
  </si>
  <si>
    <t>lateef, haneef and chacha lateef remaining salary</t>
  </si>
  <si>
    <t>paid to kashif suz from jpmc to nasir colony</t>
  </si>
  <si>
    <t>qadri pool</t>
  </si>
  <si>
    <t>cash paid for kumail villa heater repairing, servicing and over hauling</t>
  </si>
  <si>
    <t>Fateh return chq cashed in 12-11-20 deal</t>
  </si>
  <si>
    <t>to kashif suzuki for jpmc</t>
  </si>
  <si>
    <t>to fareed for fire panel repair in falcom</t>
  </si>
  <si>
    <t>paid for naveed maili hot water issue</t>
  </si>
  <si>
    <t>paid for efu misc</t>
  </si>
  <si>
    <t>imran c/o feroz</t>
  </si>
  <si>
    <t>paid in falcon for misc</t>
  </si>
  <si>
    <t>cash paid final amount in his salaries</t>
  </si>
  <si>
    <t>to adeel ftc for nov 20 advance (now start)</t>
  </si>
  <si>
    <t>October 20 refreshment and tea</t>
  </si>
  <si>
    <t>naveed malik puchasieng</t>
  </si>
  <si>
    <t>to shahid regger for jpmc material shifting</t>
  </si>
  <si>
    <t>jpmc invoices by mukhtiar</t>
  </si>
  <si>
    <t>mhr k electri bil paid</t>
  </si>
  <si>
    <t>purchased office stuff</t>
  </si>
  <si>
    <t>paid with bank cahrges</t>
  </si>
  <si>
    <t xml:space="preserve">zeelaf </t>
  </si>
  <si>
    <t>cash paid for site exp (sent thro lateef duct)</t>
  </si>
  <si>
    <t>naveed salary paid</t>
  </si>
  <si>
    <t>from nadeem bhai at site</t>
  </si>
  <si>
    <t>jameel baig invoices</t>
  </si>
  <si>
    <t>ideas atrium mall invoices</t>
  </si>
  <si>
    <t>Zeelaf invoices</t>
  </si>
  <si>
    <t>Arham salary paid</t>
  </si>
  <si>
    <t>ENSOL (engineering solution)</t>
  </si>
  <si>
    <t>purchased HDPE fittings and MS Flanges</t>
  </si>
  <si>
    <t>cash paid for site jpmc</t>
  </si>
  <si>
    <t>given to imran engr</t>
  </si>
  <si>
    <t>cash paid for 04 nos fans</t>
  </si>
  <si>
    <t>invoices jameel</t>
  </si>
  <si>
    <t>paid for gas bati of welding plant</t>
  </si>
  <si>
    <t>misc for trolly</t>
  </si>
  <si>
    <t>given to Rizwan VRF</t>
  </si>
  <si>
    <t>invocies zmv</t>
  </si>
  <si>
    <t>farhan bhai k ele bill</t>
  </si>
  <si>
    <t>farhan bhai k elec bill</t>
  </si>
  <si>
    <t>cash paid (from umer)</t>
  </si>
  <si>
    <t>a3 paper</t>
  </si>
  <si>
    <t>to khalid bhai the place for nov 20</t>
  </si>
  <si>
    <t>cash paid advance in nov salaries</t>
  </si>
  <si>
    <t>haneef claimed fuel</t>
  </si>
  <si>
    <t xml:space="preserve">abbas plumber </t>
  </si>
  <si>
    <t>paid for js bank ftc</t>
  </si>
  <si>
    <t>for fuel sent thru ahmed</t>
  </si>
  <si>
    <t>to chacha lateef for nov 20</t>
  </si>
  <si>
    <t>to haneef for nov 20</t>
  </si>
  <si>
    <t>cash paid (for farhan bhai)</t>
  </si>
  <si>
    <t>cash paid for material shifitng</t>
  </si>
  <si>
    <t>tax</t>
  </si>
  <si>
    <t>take cash of shop rent for the month of Oct 20 from rasheed shop wala</t>
  </si>
  <si>
    <t>paid for tax for 2-C building for rehana aunty</t>
  </si>
  <si>
    <t>k elec and ssgc bill paid for memon group house</t>
  </si>
  <si>
    <t>mhr home and office bill and nasir colony k elec bill</t>
  </si>
  <si>
    <t>kamran claimed fuel and photocopy</t>
  </si>
  <si>
    <t>paid for 02 nos thans for falcon</t>
  </si>
  <si>
    <t>cladding sheet purchased Ruby traders 245 kgs</t>
  </si>
  <si>
    <t>paid for revit and bit for zeelaf</t>
  </si>
  <si>
    <t>paid for 01 nos 8" exhaust fan</t>
  </si>
  <si>
    <t>Khizer RMR</t>
  </si>
  <si>
    <t>paid for unit gas charging</t>
  </si>
  <si>
    <t>nadeem bhai drawing</t>
  </si>
  <si>
    <t>cash paid for tools and other items</t>
  </si>
  <si>
    <t>paid advance in rood cladding</t>
  </si>
  <si>
    <t>claimed fuel at jpmc by order nadeem bhai</t>
  </si>
  <si>
    <t>paid for water tanker for office</t>
  </si>
  <si>
    <t>paid for clips and fisher zeelaf</t>
  </si>
  <si>
    <t>to jahangeer for Nov 20</t>
  </si>
  <si>
    <t>Arif Interprised</t>
  </si>
  <si>
    <t>paid for shaaf institution fee to mr moiz ubl acc</t>
  </si>
  <si>
    <t>CASH paid to imran engr sent thru amir plumber</t>
  </si>
  <si>
    <t>cash paid against honey well motors 16 nos</t>
  </si>
  <si>
    <t>for MHR home salaries</t>
  </si>
  <si>
    <t>padi for super card ufone</t>
  </si>
  <si>
    <t>paid advance no updo date 50,000</t>
  </si>
  <si>
    <t>cash paid to mukhtiar for nut bolt and flanges</t>
  </si>
  <si>
    <t>paid for nut bolt and flang remaining invocie</t>
  </si>
  <si>
    <t>cash to mukhtiar</t>
  </si>
  <si>
    <t>zeelaf falcon and atirum invocies</t>
  </si>
  <si>
    <t>cash paid sent rthru amir plumber</t>
  </si>
  <si>
    <t>invoicdes</t>
  </si>
  <si>
    <t>to Feroz sahab for Nov 20 (for his wife FAALIJ attack)</t>
  </si>
  <si>
    <t>cash paid for purcashig zeelaf, falcon and atrium</t>
  </si>
  <si>
    <t>to rehan for November 20 salaries</t>
  </si>
  <si>
    <t>to rafeeq salary advcance for nov 20</t>
  </si>
  <si>
    <t>paid for zeelaf purhasing elbow 1-1/4 8 pcs hold title dhaga</t>
  </si>
  <si>
    <t>Mukhtiar staff salaries</t>
  </si>
  <si>
    <t>claimed dinner expenses for 2 day for efu closing</t>
  </si>
  <si>
    <r>
      <t xml:space="preserve">JPMC att staff </t>
    </r>
    <r>
      <rPr>
        <b/>
        <sz val="11"/>
        <rFont val="Calibri"/>
        <family val="2"/>
        <scheme val="minor"/>
      </rPr>
      <t>(Except Imran Amir &amp; irfan)</t>
    </r>
  </si>
  <si>
    <t>for car wash to umer office</t>
  </si>
  <si>
    <t>for purchasing (sent thru nadeem bhai)</t>
  </si>
  <si>
    <t>To rafay for hashmani</t>
  </si>
  <si>
    <t>from jpmc to nasir colony</t>
  </si>
  <si>
    <t>office expenses soap</t>
  </si>
  <si>
    <t>bilal bhai bank statement to zohaib</t>
  </si>
  <si>
    <t>advance return (ftc)</t>
  </si>
  <si>
    <t>zeelaf staff salary</t>
  </si>
  <si>
    <t>Falcon zeem and Imran son of feroz</t>
  </si>
  <si>
    <t>Driver salary</t>
  </si>
  <si>
    <t>tea and refrehsment expenses</t>
  </si>
  <si>
    <t>paid sent thru abbas plumber</t>
  </si>
  <si>
    <t>paid for elbow 10" for jpmc</t>
  </si>
  <si>
    <t>cash paid for dumper</t>
  </si>
  <si>
    <t>driver salary paid</t>
  </si>
  <si>
    <t>purchased from tube traders fittigns</t>
  </si>
  <si>
    <t xml:space="preserve">paid pre month salary remaining </t>
  </si>
  <si>
    <t>paid for purchsaing</t>
  </si>
  <si>
    <t>to imran engr Saturday</t>
  </si>
  <si>
    <t>cash returned from PORTA touheed commericial</t>
  </si>
  <si>
    <t>salary advance to haneef for dec 20</t>
  </si>
  <si>
    <t>decreased salary released</t>
  </si>
  <si>
    <t>office and mhr ptcl bill</t>
  </si>
  <si>
    <t>paid for pre month shop rent remaining cash</t>
  </si>
  <si>
    <t>paid for invocies</t>
  </si>
  <si>
    <t>cash paid + bank cahrges</t>
  </si>
  <si>
    <t>cash paid for ideas control wiring</t>
  </si>
  <si>
    <t>junaid hojar cinema salary increased</t>
  </si>
  <si>
    <t>cash paid sent thru abbas ishaq</t>
  </si>
  <si>
    <t>cash paid sent thru abbas ishaq (for elbow)</t>
  </si>
  <si>
    <t>paid for copper rod at jpmc</t>
  </si>
  <si>
    <t>CBC amount ground floor</t>
  </si>
  <si>
    <t>cash paid advance in dec salary (sent thru nadeem bhai0</t>
  </si>
  <si>
    <t>zameer total</t>
  </si>
  <si>
    <t xml:space="preserve">paid for zameer shb total for heater </t>
  </si>
  <si>
    <t>paid from zmv to office</t>
  </si>
  <si>
    <t>Amir eng salary paid</t>
  </si>
  <si>
    <t>paid for super card</t>
  </si>
  <si>
    <t>cash paid for falcon site purcashing</t>
  </si>
  <si>
    <t>for feroz textile purcahsing</t>
  </si>
  <si>
    <t>mobile balance mobilink for 2 months</t>
  </si>
  <si>
    <t>for print</t>
  </si>
  <si>
    <t>rikshaw fare form sindh club to office for geyser</t>
  </si>
  <si>
    <t>rikshaw fare from office to sadder</t>
  </si>
  <si>
    <t>cash paid for zeelaf purchasing fittings now jahangeer will give hisaab of 8000-5540=2460</t>
  </si>
  <si>
    <t>Receeived from tariq rana</t>
  </si>
  <si>
    <t>cash paid for purchasing (now bal is 2460+7000 = 9460</t>
  </si>
  <si>
    <t>Receeived from bilal bhai</t>
  </si>
  <si>
    <t>dib chq paid for purcahsing</t>
  </si>
  <si>
    <t>irfan salary</t>
  </si>
  <si>
    <t>from office to shaheen complex for electric geyser</t>
  </si>
  <si>
    <t>to imran s/o feroz for falcon</t>
  </si>
  <si>
    <t>to abid for dec salary advance</t>
  </si>
  <si>
    <t>for pump from kumail t office</t>
  </si>
  <si>
    <t>to khalid bhai in feroz textile</t>
  </si>
  <si>
    <t>salary advance to zahid jpmc</t>
  </si>
  <si>
    <t>for pump repairng tools</t>
  </si>
  <si>
    <t xml:space="preserve">mhr ssgc office ssgc </t>
  </si>
  <si>
    <t>to haneef for dec 20 (suz cash remaining)</t>
  </si>
  <si>
    <t>js bank + lamination coating</t>
  </si>
  <si>
    <t>to shahid painter for dec 20 sen thru jahan</t>
  </si>
  <si>
    <t>paid for site js 9460 + 3000 = 12460</t>
  </si>
  <si>
    <t>for js bank shaheen com</t>
  </si>
  <si>
    <t>mobile balace for 02 months</t>
  </si>
  <si>
    <t>to salary advace to imran s o feroz</t>
  </si>
  <si>
    <t>to umer for jan 20</t>
  </si>
  <si>
    <t>paid to amir (in bilal  bhai acc)</t>
  </si>
  <si>
    <t>to imran s/o feroz for falcon (given invoices)</t>
  </si>
  <si>
    <t>PAID FOR JS BANK TOOLS</t>
  </si>
  <si>
    <t>to KAMRAN AUTO FOR DEC 20</t>
  </si>
  <si>
    <t>Returned by Faheem after purchasing</t>
  </si>
  <si>
    <t>[urhcasd 2 balti</t>
  </si>
  <si>
    <t>paid for mhr home work</t>
  </si>
  <si>
    <t>to shahid painter  jansalary advance</t>
  </si>
  <si>
    <t>to azeem for js bank shaheen purfahsing</t>
  </si>
  <si>
    <t>paid for jpmc psychiatry depart</t>
  </si>
  <si>
    <t>cash paid thro office (for new site)</t>
  </si>
  <si>
    <t>mossi salary paid</t>
  </si>
  <si>
    <t>azeem decreased salary paid</t>
  </si>
  <si>
    <t>paid for falcon puracshing</t>
  </si>
  <si>
    <t>to azeem for falcon</t>
  </si>
  <si>
    <t>cash paid for JS bank purcahsig now 4460</t>
  </si>
  <si>
    <t>jahangeer salary paid for the mnth of jan 20</t>
  </si>
  <si>
    <t>paid for his remaining balance</t>
  </si>
  <si>
    <t>from nagan chwrangi to nasir colony</t>
  </si>
  <si>
    <t>given invoices for js bank</t>
  </si>
  <si>
    <t xml:space="preserve">JS bank </t>
  </si>
  <si>
    <t>paid to Najmul huda hbl account</t>
  </si>
  <si>
    <t>paid for tapes at js bank</t>
  </si>
  <si>
    <t>asif us traders</t>
  </si>
  <si>
    <t>paid for js bank</t>
  </si>
  <si>
    <t>office staff salaries</t>
  </si>
  <si>
    <t>for rikshaw and office washroom comode pipe changed (now he will give hsaab of 2500</t>
  </si>
  <si>
    <t>envelop purchased</t>
  </si>
  <si>
    <t>paid advance in js bank shaheen complex</t>
  </si>
  <si>
    <t xml:space="preserve">JPMC att staff </t>
  </si>
  <si>
    <t xml:space="preserve">salary advance to haneef </t>
  </si>
  <si>
    <t>BHAMARMAL VALVE 08NOS</t>
  </si>
  <si>
    <t>KHALID BHAI IN FEROZ</t>
  </si>
  <si>
    <t>PAID FOR FEROZ TEXTILE</t>
  </si>
  <si>
    <t>bakhti car cash</t>
  </si>
  <si>
    <t>Js bank salary paid</t>
  </si>
  <si>
    <t>Falcon azeem and Imran son of feroz</t>
  </si>
  <si>
    <t>kunna lunch for bilal bhai guest</t>
  </si>
  <si>
    <t>cash paid for jameel baig</t>
  </si>
  <si>
    <t>Global tech</t>
  </si>
  <si>
    <t>PAID FOR FEROZ TEXTILE insulation</t>
  </si>
  <si>
    <t>Received against JS bank shaheen complex 20% mob advance</t>
  </si>
  <si>
    <t>azeem claimed fuel</t>
  </si>
  <si>
    <t>to lateef duct for jan 21</t>
  </si>
  <si>
    <t>printer refilling and another printer repair</t>
  </si>
  <si>
    <t>paid to bilal bhai for mhr home TV purchased</t>
  </si>
  <si>
    <t>paid for charity (jahangeer)</t>
  </si>
  <si>
    <t>M. Ismail jee Porta</t>
  </si>
  <si>
    <t>paid for Jpmc</t>
  </si>
  <si>
    <t>Alpha engineering</t>
  </si>
  <si>
    <t>paid to munir for dosing pumo=p and other items</t>
  </si>
  <si>
    <t>mobile bal</t>
  </si>
  <si>
    <t>paid for tea and refereshmend (to sahfeeq) for jan 21</t>
  </si>
  <si>
    <t>Hussain &amp; Co</t>
  </si>
  <si>
    <t>paid cash for DBs</t>
  </si>
  <si>
    <t>paid for falcon mall</t>
  </si>
  <si>
    <t>to mukhtiar for feroz pucchasing hissab cleared</t>
  </si>
  <si>
    <t>for al hamd</t>
  </si>
  <si>
    <t>from office (bakhti)</t>
  </si>
  <si>
    <t>cash paid in feroz</t>
  </si>
  <si>
    <t>paid for mhr home work for geyser</t>
  </si>
  <si>
    <t>js bank the forum</t>
  </si>
  <si>
    <t>paid for efu lunch</t>
  </si>
  <si>
    <t>ali khalid claimed fuel</t>
  </si>
  <si>
    <t>cash paid 2 carton duct sealent and heater</t>
  </si>
  <si>
    <t>invoices feroz textile</t>
  </si>
  <si>
    <t>shahbaz salary paid</t>
  </si>
  <si>
    <t>ptcl bills paid
Office         4120
MHr home 8120</t>
  </si>
  <si>
    <t>to raheel for jan 21</t>
  </si>
  <si>
    <t>to feroz sahab in jan 21</t>
  </si>
  <si>
    <t>to abbas ishaq in jan 21</t>
  </si>
  <si>
    <t>cash paid for falcon mall</t>
  </si>
  <si>
    <t>for al hamd and the forum</t>
  </si>
  <si>
    <t>sami efu</t>
  </si>
  <si>
    <t>paid for kumail site pump bearing repairing</t>
  </si>
  <si>
    <t>20-01-021</t>
  </si>
  <si>
    <t>to feroz</t>
  </si>
  <si>
    <t>to lateef duct for jan 21 for shaheen</t>
  </si>
  <si>
    <t>mouse and windows cd pucahse</t>
  </si>
  <si>
    <t>for office dinner late sitting</t>
  </si>
  <si>
    <t>js bank</t>
  </si>
  <si>
    <t>bill print</t>
  </si>
  <si>
    <t xml:space="preserve">bilal bhai lunch, </t>
  </si>
  <si>
    <t>22-01-021</t>
  </si>
  <si>
    <t>23-01-021</t>
  </si>
  <si>
    <t>waris july to dec 20   06 months salary</t>
  </si>
  <si>
    <t>paid for falcon mall tagging</t>
  </si>
  <si>
    <t>cash paid in js bank shaheen</t>
  </si>
  <si>
    <t>cash paid to jahangeer for jan 21</t>
  </si>
  <si>
    <t>to haneef bhai for jan 21</t>
  </si>
  <si>
    <t>paid for site expenses feroz</t>
  </si>
  <si>
    <t>paid for kumail site</t>
  </si>
  <si>
    <t>paid for falcon purchasing</t>
  </si>
  <si>
    <t>paid for prv bal for jameel baig villa</t>
  </si>
  <si>
    <t>office k elec bill paid for ground and 1st floor</t>
  </si>
  <si>
    <t>cash for the forum</t>
  </si>
  <si>
    <t>khalid mansoor</t>
  </si>
  <si>
    <t>paid advance by order bilal bhai</t>
  </si>
  <si>
    <t>paid for falcon purcahsing</t>
  </si>
  <si>
    <t>cash paid for purchasing sent thri shahid painter now 9460-5437=4023</t>
  </si>
  <si>
    <t>Prv</t>
  </si>
  <si>
    <t>invoices the forum</t>
  </si>
  <si>
    <t>for the forum</t>
  </si>
  <si>
    <t>paid for material shifting from fakhri to the forum mall</t>
  </si>
  <si>
    <t>fuel and uber tazxi charges</t>
  </si>
  <si>
    <t>kamran clained fuel</t>
  </si>
  <si>
    <t>computer repair</t>
  </si>
  <si>
    <t>computer system purchased</t>
  </si>
  <si>
    <t>ali raza insulator</t>
  </si>
  <si>
    <t>cash paid now hissab cleared</t>
  </si>
  <si>
    <t>nasir colony and office bills k ele and ssgc</t>
  </si>
  <si>
    <t>Vital</t>
  </si>
  <si>
    <t>nadeem bhai dec 20 salary</t>
  </si>
  <si>
    <t>purcahsed2 mouses and computer internet dongle</t>
  </si>
  <si>
    <t>invoce</t>
  </si>
  <si>
    <t xml:space="preserve">for car wash </t>
  </si>
  <si>
    <t>deduct in advance</t>
  </si>
  <si>
    <t xml:space="preserve">paid for falcon purachsing </t>
  </si>
  <si>
    <t>kitchen stuff from imtiaza</t>
  </si>
  <si>
    <t>the forum</t>
  </si>
  <si>
    <t>cash paid for js bank shaheen complex</t>
  </si>
  <si>
    <t>FEROZ TEXTILE</t>
  </si>
  <si>
    <t>paid in feroz</t>
  </si>
  <si>
    <t xml:space="preserve">jpMC att staff </t>
  </si>
  <si>
    <t>office staff except kamran auto</t>
  </si>
  <si>
    <t>shafeeq ftc</t>
  </si>
  <si>
    <t>paid for tea and refreshment</t>
  </si>
  <si>
    <t>paid for muslim shower</t>
  </si>
  <si>
    <t>qaiser the forum salary</t>
  </si>
  <si>
    <t>Arsalan the forum salary</t>
  </si>
  <si>
    <t>The forum salary</t>
  </si>
  <si>
    <t>08-02-021</t>
  </si>
  <si>
    <t>paid in feroz (location shah jee shop)</t>
  </si>
  <si>
    <t>cash paid 9023-2400-7350 (-727)</t>
  </si>
  <si>
    <t>kamran aliemd fuel</t>
  </si>
  <si>
    <t>paid for remaioning baalnce</t>
  </si>
  <si>
    <t>Prv remaing bal</t>
  </si>
  <si>
    <t>paid salary adv to chahca lateef</t>
  </si>
  <si>
    <t>invopvios</t>
  </si>
  <si>
    <t>paid for fcu from zahid</t>
  </si>
  <si>
    <t>paid for transportation by order nadeem bhai</t>
  </si>
  <si>
    <t>claimed fuel and parking the forum</t>
  </si>
  <si>
    <t>shaheryar khalid</t>
  </si>
  <si>
    <t>nisar salary</t>
  </si>
  <si>
    <t xml:space="preserve">HS Ahmed Ally </t>
  </si>
  <si>
    <t>paid for jangling clips and fisher for al hamd international</t>
  </si>
  <si>
    <t>09-02-021</t>
  </si>
  <si>
    <t>to gul sher for feb 21</t>
  </si>
  <si>
    <t>to Ali Insulator for feb 21</t>
  </si>
  <si>
    <t>Prv taken form mukhtiar</t>
  </si>
  <si>
    <t>inccoies</t>
  </si>
  <si>
    <t>paid this chq hand over by bilal bhai</t>
  </si>
  <si>
    <t>cash paid thru azeem</t>
  </si>
  <si>
    <t>kamran salary</t>
  </si>
  <si>
    <t>abid salary</t>
  </si>
  <si>
    <t>10-02-021</t>
  </si>
  <si>
    <t>nadeem bhai Jan 21 salary</t>
  </si>
  <si>
    <t>waris Jan 21 salary</t>
  </si>
  <si>
    <t>claimed fuel for 2 months</t>
  </si>
  <si>
    <t>12-02-021</t>
  </si>
  <si>
    <t>TO shabbir regger in the forum</t>
  </si>
  <si>
    <t xml:space="preserve">azam </t>
  </si>
  <si>
    <t>indus drawings</t>
  </si>
  <si>
    <t>lateef</t>
  </si>
  <si>
    <t>paid for lock and fuel claimed for js shaheen</t>
  </si>
  <si>
    <t>paid for fcu carton fare for zahid dot com</t>
  </si>
  <si>
    <t>cash form bilal bhai</t>
  </si>
  <si>
    <t>paid for LCD</t>
  </si>
  <si>
    <t>13-02-021</t>
  </si>
  <si>
    <t>paid on feroz</t>
  </si>
  <si>
    <t>15-02-021</t>
  </si>
  <si>
    <t>the forum invoices</t>
  </si>
  <si>
    <t>cash paid for the forum</t>
  </si>
  <si>
    <t>from nasir colony to jpmc</t>
  </si>
  <si>
    <t>agains misc invoivers</t>
  </si>
  <si>
    <t>to amir engr for deb 21 advance</t>
  </si>
  <si>
    <t>the forum invoives</t>
  </si>
  <si>
    <t>falcon invoies</t>
  </si>
  <si>
    <t>abid leave adjusted by nadeem bhai</t>
  </si>
  <si>
    <t>agains misc invoivers sent thru ahmed</t>
  </si>
  <si>
    <t>Flow tab ahsan</t>
  </si>
  <si>
    <t>paid in js bank FTC</t>
  </si>
  <si>
    <t>paid sent thru easy paisa</t>
  </si>
  <si>
    <t>16-02-021</t>
  </si>
  <si>
    <t>Cash Book Statement</t>
  </si>
  <si>
    <t>Payments</t>
  </si>
  <si>
    <t>Hold with Bilal habib</t>
  </si>
  <si>
    <t>Hold with Nadeem Iqbal</t>
  </si>
  <si>
    <t>Total Cash in Hand</t>
  </si>
  <si>
    <t>Receipts</t>
  </si>
  <si>
    <t>Chq #</t>
  </si>
  <si>
    <t>02234993</t>
  </si>
  <si>
    <t>02234994</t>
  </si>
  <si>
    <t>02234995</t>
  </si>
  <si>
    <t>02234996</t>
  </si>
  <si>
    <t>02234997</t>
  </si>
  <si>
    <t>02234998</t>
  </si>
  <si>
    <t>02234999</t>
  </si>
  <si>
    <t>02235000</t>
  </si>
  <si>
    <t>02235001</t>
  </si>
  <si>
    <t>1765307194</t>
  </si>
  <si>
    <t>issue for office use</t>
  </si>
  <si>
    <t>issue for payment to Tahiri Sanitry</t>
  </si>
  <si>
    <t>issue for payment to Shabbir Rigger</t>
  </si>
  <si>
    <t>Ali raza engineering</t>
  </si>
  <si>
    <t>issue for Ali raza engineering</t>
  </si>
  <si>
    <t>issue for Rizwan core</t>
  </si>
  <si>
    <t>issue for payment to Fateh Steel</t>
  </si>
  <si>
    <t>issue for Ciname askari IV Jan 21 salaries</t>
  </si>
  <si>
    <t>The forum 3rd payment</t>
  </si>
  <si>
    <t>The forum 4th payment</t>
  </si>
  <si>
    <t>O/m The place Jan 21</t>
  </si>
  <si>
    <t>O/m Nueplex Askari IV Jan 21</t>
  </si>
  <si>
    <t>Total Receipts</t>
  </si>
  <si>
    <t>For the Month of Feb 21</t>
  </si>
  <si>
    <t>Total Payments</t>
  </si>
  <si>
    <t xml:space="preserve">ufone super card </t>
  </si>
  <si>
    <t>from jpmc to nasir colony and islamuddin to office</t>
  </si>
  <si>
    <t>1765307195</t>
  </si>
  <si>
    <t>02235002</t>
  </si>
  <si>
    <t>02235003</t>
  </si>
  <si>
    <t>02235004</t>
  </si>
  <si>
    <t>issue for payment to eastern sanitry</t>
  </si>
  <si>
    <t>issue for payment to gulfam insulator</t>
  </si>
  <si>
    <t>issue for payment to advance mustafa</t>
  </si>
  <si>
    <t>paid for feb 21</t>
  </si>
  <si>
    <t>paid for ptcl bill
office 3580
mhr 8290</t>
  </si>
  <si>
    <t>piad for chiller diesel filter</t>
  </si>
  <si>
    <t>to raheel for feb 21</t>
  </si>
  <si>
    <t>18-02-021</t>
  </si>
  <si>
    <t xml:space="preserve">to khalid </t>
  </si>
  <si>
    <t>19-02-021</t>
  </si>
  <si>
    <t>to asif for hilti exchanged</t>
  </si>
  <si>
    <t>zahid dot com</t>
  </si>
  <si>
    <t>paid in js bank shaheen</t>
  </si>
  <si>
    <t>20-02-021</t>
  </si>
  <si>
    <t>to jahangeer by  nadeem</t>
  </si>
  <si>
    <t>to abid by nadeem bhai</t>
  </si>
  <si>
    <t>cash paid by nadeem</t>
  </si>
  <si>
    <t>by nadem bhai on saturday</t>
  </si>
  <si>
    <t>for fuel suzuki fare and cutting discs</t>
  </si>
  <si>
    <t>02235005</t>
  </si>
  <si>
    <t>issue for payment to asif US traders</t>
  </si>
  <si>
    <t>cash paid for paints</t>
  </si>
  <si>
    <t>cash paid in UBL</t>
  </si>
  <si>
    <t>UBL Bank</t>
  </si>
  <si>
    <t>paid from the forum to the place</t>
  </si>
  <si>
    <t>cash paid for fuel</t>
  </si>
  <si>
    <t>paid for cuttings disc and wt 40</t>
  </si>
  <si>
    <t>cash piad</t>
  </si>
  <si>
    <t>paid against prv balance the forum</t>
  </si>
  <si>
    <t>cash paid against coil and other fittings for the place
now zeehsan has to give hisaab for 1900</t>
  </si>
  <si>
    <t>DWP</t>
  </si>
  <si>
    <t>paid for unit at the place</t>
  </si>
  <si>
    <t>paid from raza engr to offcei for the forum</t>
  </si>
  <si>
    <t xml:space="preserve">paid for the forum </t>
  </si>
  <si>
    <t>to nisar by nadeem bhai for salary advance</t>
  </si>
  <si>
    <t>to nisar for salary advace</t>
  </si>
  <si>
    <t xml:space="preserve">ruturn to rehan </t>
  </si>
  <si>
    <t xml:space="preserve">invoices the forum , jameel baig, js shaheen </t>
  </si>
  <si>
    <t>to shahid painter for Feb 21 advance</t>
  </si>
  <si>
    <t>discharge date payment</t>
  </si>
  <si>
    <t>kamran auto claimed fuel lunch parking at js the forum</t>
  </si>
  <si>
    <t>to imran feroz for feb 21 sent thru hammad</t>
  </si>
  <si>
    <t>asif fiber</t>
  </si>
  <si>
    <t>stamp paper for re newewal for shop rent agreement and 3rd floor agreement</t>
  </si>
  <si>
    <t>paid advance total 15000-200 = 14800-700=14100</t>
  </si>
  <si>
    <t>cash paid for js shaheen</t>
  </si>
  <si>
    <t>tauqeer</t>
  </si>
  <si>
    <t>paid for the site the forum</t>
  </si>
  <si>
    <t>01-03-021</t>
  </si>
  <si>
    <t xml:space="preserve">cash to azeem for air curtian 2 nos </t>
  </si>
  <si>
    <t>paid for home lemon</t>
  </si>
  <si>
    <t>Current Balance on</t>
  </si>
  <si>
    <t>DIB CHQ</t>
  </si>
  <si>
    <t>paid against misc invoices</t>
  </si>
  <si>
    <t>office light purfhased for sir rehman room washroom</t>
  </si>
  <si>
    <t>02235006</t>
  </si>
  <si>
    <t>02235007</t>
  </si>
  <si>
    <t>Previous Balance on</t>
  </si>
  <si>
    <t>01-Feb 2021</t>
  </si>
  <si>
    <t>01-Mar 2021</t>
  </si>
  <si>
    <t>cash for purcjasing</t>
  </si>
  <si>
    <t>form bank alfalah to office fan shifting</t>
  </si>
  <si>
    <t>to asif</t>
  </si>
  <si>
    <t>invoices for air curtain</t>
  </si>
  <si>
    <t>nadeem bhai Feb 21 salary</t>
  </si>
  <si>
    <t>waris Feb 21 salary</t>
  </si>
  <si>
    <t>piad for farhan shb k elec bill</t>
  </si>
  <si>
    <t>mhr home 14380  office 9025</t>
  </si>
  <si>
    <t>to shahjee in bank al falah head office against cooling tower gear seice</t>
  </si>
  <si>
    <t>for farhan k eke bill</t>
  </si>
  <si>
    <t>paid jalal salary</t>
  </si>
  <si>
    <t>invoies the place</t>
  </si>
  <si>
    <t>invoices the fforum globe valve</t>
  </si>
  <si>
    <t>invociews</t>
  </si>
  <si>
    <t>to sajjad for mar 21</t>
  </si>
  <si>
    <t>paid for the forum and the place</t>
  </si>
  <si>
    <t>to KAMRAN AUTO FOR feb 21</t>
  </si>
  <si>
    <t>02235008</t>
  </si>
  <si>
    <t>issue for payment to flow tabs</t>
  </si>
  <si>
    <t>paid for the forum and jpmc and jameel baig</t>
  </si>
  <si>
    <t>invoices misc</t>
  </si>
  <si>
    <t>02-03-021</t>
  </si>
  <si>
    <t>to mukhtiar salary adv</t>
  </si>
  <si>
    <t>to imran feroz for material</t>
  </si>
  <si>
    <t>02235009</t>
  </si>
  <si>
    <t>02235010</t>
  </si>
  <si>
    <t>02235011</t>
  </si>
  <si>
    <t>paid to zafer iron man for the place cinema</t>
  </si>
  <si>
    <t>Paid to noman zeeshan FCU 40 nos the forum</t>
  </si>
  <si>
    <t xml:space="preserve">Given to bilal bhai in his petty cash </t>
  </si>
  <si>
    <t xml:space="preserve">for office cash </t>
  </si>
  <si>
    <t>03-03-021</t>
  </si>
  <si>
    <t>the forum misc expenses</t>
  </si>
  <si>
    <t>to asif fiber at home</t>
  </si>
  <si>
    <t>to khalid in ubl</t>
  </si>
  <si>
    <t>paid cleared</t>
  </si>
  <si>
    <t xml:space="preserve">paid againt the forum </t>
  </si>
  <si>
    <t>ak shamim</t>
  </si>
  <si>
    <t>to imran engr for Nov 20 salary</t>
  </si>
  <si>
    <t>paid for income tax consultancy charges 2020</t>
  </si>
  <si>
    <t>kashif suzuki from islamuddin to office then office to the forum</t>
  </si>
  <si>
    <t>For the Month of March 21</t>
  </si>
  <si>
    <t>MCB CHQ</t>
  </si>
  <si>
    <t>02235012</t>
  </si>
  <si>
    <t>cancelled</t>
  </si>
  <si>
    <t>02235013</t>
  </si>
  <si>
    <t>Paid to payment to Eastern Sanitry</t>
  </si>
  <si>
    <t>invocie</t>
  </si>
  <si>
    <t>to police man order by bilal bhai</t>
  </si>
  <si>
    <t>02235014</t>
  </si>
  <si>
    <t>02235015</t>
  </si>
  <si>
    <t>Paid to payment to Imran ducting</t>
  </si>
  <si>
    <t>The Forum 3rd payment adhoc</t>
  </si>
  <si>
    <t>04-03-021</t>
  </si>
  <si>
    <t>invoices UBL</t>
  </si>
  <si>
    <t>imran feroz</t>
  </si>
  <si>
    <t>advance receied form naveed malik</t>
  </si>
  <si>
    <t>05-03-021</t>
  </si>
  <si>
    <t xml:space="preserve">to abid </t>
  </si>
  <si>
    <t>glue stick</t>
  </si>
  <si>
    <t>cash piad bykia for alhamd fisher</t>
  </si>
  <si>
    <t>paid against fuel</t>
  </si>
  <si>
    <t>office staff</t>
  </si>
  <si>
    <t>Received from zeeshan AC</t>
  </si>
  <si>
    <t>purcahsed old material by bilal bhai</t>
  </si>
  <si>
    <t>cash paid send thri lateef</t>
  </si>
  <si>
    <t>cash paid sent thro lateef</t>
  </si>
  <si>
    <t>paid against invoices js bank the forum</t>
  </si>
  <si>
    <t>02235016</t>
  </si>
  <si>
    <t>issue chq for office salaries Feb 21</t>
  </si>
  <si>
    <t>cash paid sent thriugh amir plumnber</t>
  </si>
  <si>
    <t>for gutter blockage cleared</t>
  </si>
  <si>
    <t>06-03-021</t>
  </si>
  <si>
    <t>to mukhtiar hisaab cleared</t>
  </si>
  <si>
    <t>cash paid (actually given to mukhtiar)</t>
  </si>
  <si>
    <t>cash paid for purchasiing the place</t>
  </si>
  <si>
    <t>jpmc staff salaries</t>
  </si>
  <si>
    <t>amjad bhai salary in the forum</t>
  </si>
  <si>
    <t>08-03-021</t>
  </si>
  <si>
    <t>invoies ubl</t>
  </si>
  <si>
    <t>to asif by nadeem bhai 2000 + 3000</t>
  </si>
  <si>
    <t>paid to shadab</t>
  </si>
  <si>
    <t>imran feroz sakary</t>
  </si>
  <si>
    <t>azam plumber</t>
  </si>
  <si>
    <t>cash paid in al hamd uto date = 50000</t>
  </si>
  <si>
    <t>sheheryar in falcon</t>
  </si>
  <si>
    <t>hammad in falcon</t>
  </si>
  <si>
    <t>Touqeer 7 days salary at the rate of rs 38,000</t>
  </si>
  <si>
    <t>paid for purcahsing</t>
  </si>
  <si>
    <t>azeem salary</t>
  </si>
  <si>
    <t>zulfiqar</t>
  </si>
  <si>
    <t>paid for tea &amp; refreahment expenses sent throuh shafeeq</t>
  </si>
  <si>
    <t>world wide publisher</t>
  </si>
  <si>
    <t>invoices the place</t>
  </si>
  <si>
    <t>cash paid for finalization his account</t>
  </si>
  <si>
    <t>02235017</t>
  </si>
  <si>
    <t>issue for asif us traders</t>
  </si>
  <si>
    <t>02235018</t>
  </si>
  <si>
    <t>02235019</t>
  </si>
  <si>
    <t>02235020</t>
  </si>
  <si>
    <t>02235021</t>
  </si>
  <si>
    <t>paid to Dominars Engineer in the forum deal</t>
  </si>
  <si>
    <t>02235022</t>
  </si>
  <si>
    <t>paid to sami ducting in jpmc</t>
  </si>
  <si>
    <t>02235023</t>
  </si>
  <si>
    <t>paid to zafar grills</t>
  </si>
  <si>
    <t>cash paid for account final</t>
  </si>
  <si>
    <t>mukhtiar claimed fuel</t>
  </si>
  <si>
    <t>cash paid sent thri abid</t>
  </si>
  <si>
    <t>10-03-021</t>
  </si>
  <si>
    <t>cash paid farhan bhai</t>
  </si>
  <si>
    <t>paid for home washing mashine repairing sent thro ahmed</t>
  </si>
  <si>
    <t>to rehan shahjee for pump</t>
  </si>
  <si>
    <t>to khalid bhai in ubl</t>
  </si>
  <si>
    <t>material from hamza ahmed</t>
  </si>
  <si>
    <t>to shahid painter hisaab cleared</t>
  </si>
  <si>
    <t>paid cash for pumps</t>
  </si>
  <si>
    <t>to nisar for mar 21</t>
  </si>
  <si>
    <t>paid for js bank shaheen complex purcahsibg</t>
  </si>
  <si>
    <t>cash paid in in the forum</t>
  </si>
  <si>
    <t>11-03-021</t>
  </si>
  <si>
    <t>by nadeem bhai</t>
  </si>
  <si>
    <t>12-03-021</t>
  </si>
  <si>
    <t>rehan shah jee</t>
  </si>
  <si>
    <t>paid in bank al falah head office</t>
  </si>
  <si>
    <t>amjad ustad</t>
  </si>
  <si>
    <t>cash paid in the forum</t>
  </si>
  <si>
    <t>cash paid in ubl</t>
  </si>
  <si>
    <t xml:space="preserve">received from the place material remaining amount </t>
  </si>
  <si>
    <t>paid for incresed salary</t>
  </si>
  <si>
    <t xml:space="preserve">mineral </t>
  </si>
  <si>
    <t>paid for sir rehman car tyres</t>
  </si>
  <si>
    <t>zafar iron</t>
  </si>
  <si>
    <t>paid final payment in the forum</t>
  </si>
  <si>
    <t>13-03-021</t>
  </si>
  <si>
    <t>paid for kitchen light</t>
  </si>
  <si>
    <t>paid against pump cleared</t>
  </si>
  <si>
    <t>to abbas plumber for mar 21</t>
  </si>
  <si>
    <t>The Forum 3rd payment final</t>
  </si>
  <si>
    <t>02235024</t>
  </si>
  <si>
    <t>02235025</t>
  </si>
  <si>
    <t>02235026</t>
  </si>
  <si>
    <t>02235027</t>
  </si>
  <si>
    <t>02235028</t>
  </si>
  <si>
    <t>Master tank 1000 galon 02 nos for jpmc</t>
  </si>
  <si>
    <t xml:space="preserve">To faheem elec for labour in the forum </t>
  </si>
  <si>
    <t>for material precure by faheem in JS Shaheen</t>
  </si>
  <si>
    <t>for room light</t>
  </si>
  <si>
    <t>15-03-021</t>
  </si>
  <si>
    <t>to zulfiquar for march salary advance</t>
  </si>
  <si>
    <t xml:space="preserve">paid for anullay renewal of FBR Atl surcharge process for sir rehman and rehana rehaman </t>
  </si>
  <si>
    <t>paid to haneef for fisher and clip</t>
  </si>
  <si>
    <t>paid against js bank shaheen purchasing</t>
  </si>
  <si>
    <t>cash paid for grinder hilti</t>
  </si>
  <si>
    <t>cash apdi</t>
  </si>
  <si>
    <t>02235029</t>
  </si>
  <si>
    <t>02235030</t>
  </si>
  <si>
    <t>to rafay In js shaheen</t>
  </si>
  <si>
    <t>to gulfam in the forum</t>
  </si>
  <si>
    <t>to office cash</t>
  </si>
  <si>
    <t>to vohra cloth</t>
  </si>
  <si>
    <t>to lateef for march 21</t>
  </si>
  <si>
    <t>to lateef chacah for ma 21</t>
  </si>
  <si>
    <t>KCCI renewal</t>
  </si>
  <si>
    <t>cash paid to naveed for thermosata intalaltio th eforum</t>
  </si>
  <si>
    <t>Rehana aunty shop rent used</t>
  </si>
  <si>
    <t>invoie</t>
  </si>
  <si>
    <t>DIB CHQQ</t>
  </si>
  <si>
    <t>khizaer and junaid for cinema</t>
  </si>
  <si>
    <t>02235031</t>
  </si>
  <si>
    <t>02235032</t>
  </si>
  <si>
    <t>To noman FCU in the forum deal</t>
  </si>
  <si>
    <t>02235033</t>
  </si>
  <si>
    <t>to imran chori wala by ordered nadeem bhai</t>
  </si>
  <si>
    <t>paid cash send thru amir plumber</t>
  </si>
  <si>
    <t>paid for ufone suoer card</t>
  </si>
  <si>
    <t>to azam</t>
  </si>
  <si>
    <t>for Bosch tender</t>
  </si>
  <si>
    <t>to asif for marc 21</t>
  </si>
  <si>
    <t>paid now uptodate is rs 140,000</t>
  </si>
  <si>
    <t>paid for cooler rapair at falcon</t>
  </si>
  <si>
    <t>To amir engr for mar 21</t>
  </si>
  <si>
    <t>paid for ubl cutting disc and fare</t>
  </si>
  <si>
    <t>19-03-021</t>
  </si>
  <si>
    <t>bank alfalah invoices</t>
  </si>
  <si>
    <t>18-03-021</t>
  </si>
  <si>
    <t>inoices</t>
  </si>
  <si>
    <t>to rehan storm fiber payment</t>
  </si>
  <si>
    <t>tender</t>
  </si>
  <si>
    <t>by azeem</t>
  </si>
  <si>
    <t>to asif fiber</t>
  </si>
  <si>
    <t xml:space="preserve">owais </t>
  </si>
  <si>
    <t>for photcopy</t>
  </si>
  <si>
    <t>ptcl bill for 
office 5000
mhr  8010</t>
  </si>
  <si>
    <t>paid for communication cable</t>
  </si>
  <si>
    <t>cash paid advance in salary</t>
  </si>
  <si>
    <t>cash paid for paint</t>
  </si>
  <si>
    <t>paid for paint</t>
  </si>
  <si>
    <t>02235034</t>
  </si>
  <si>
    <t>for zakat</t>
  </si>
  <si>
    <t>02235035</t>
  </si>
  <si>
    <t>to adil ftc march</t>
  </si>
  <si>
    <t>kahlid mansoor and ahsan razak increased salary</t>
  </si>
  <si>
    <t>paid for purcahing</t>
  </si>
  <si>
    <t>shadab increeses salary</t>
  </si>
  <si>
    <t xml:space="preserve">shadab </t>
  </si>
  <si>
    <t>paid for the forum purchasing</t>
  </si>
  <si>
    <t>to zeeshan for fridge repairing</t>
  </si>
  <si>
    <t>22-03-021</t>
  </si>
  <si>
    <t>cash paid by  nadeem bjhai</t>
  </si>
  <si>
    <t>paid for bank alfalah sent thru haneef</t>
  </si>
  <si>
    <t>paid for labourer at shaheen complex</t>
  </si>
  <si>
    <t>to noman in efu for marc 21</t>
  </si>
  <si>
    <t>k elec bills paid</t>
  </si>
  <si>
    <t>paid for globe valve for the forum</t>
  </si>
  <si>
    <t>to gul sher for marc 21 (easy paisa)</t>
  </si>
  <si>
    <t xml:space="preserve">to raheel mar 21 </t>
  </si>
  <si>
    <t>paid for misc material at indus</t>
  </si>
  <si>
    <t>02235036</t>
  </si>
  <si>
    <t>Basheer pipe in the place</t>
  </si>
  <si>
    <t>to porta in alhamd</t>
  </si>
  <si>
    <t>to imran engr for payment to sami duct</t>
  </si>
  <si>
    <t>25-03-021</t>
  </si>
  <si>
    <t>indus</t>
  </si>
  <si>
    <t>02235037</t>
  </si>
  <si>
    <t>to porta against flush tank</t>
  </si>
  <si>
    <t>compressor for office fridge</t>
  </si>
  <si>
    <t>paid to haneef for suzuki fare for split ac</t>
  </si>
  <si>
    <t>for purcahsing (given by nadeem bhai)</t>
  </si>
  <si>
    <t>paid for the fiourm units</t>
  </si>
  <si>
    <t>invoicesd</t>
  </si>
  <si>
    <t>26-03-021</t>
  </si>
  <si>
    <t>cash paid sent thru amir plumber</t>
  </si>
  <si>
    <t>owais claimed fuel</t>
  </si>
  <si>
    <t>29-03-021</t>
  </si>
  <si>
    <t>paid in alhamd</t>
  </si>
  <si>
    <t>k elec bills and ssgc bill</t>
  </si>
  <si>
    <t>30-03-021</t>
  </si>
  <si>
    <t>shabbir regger</t>
  </si>
  <si>
    <t>paid in js bank the forum</t>
  </si>
  <si>
    <t>paid for remaining amoint</t>
  </si>
  <si>
    <t>to abbas plumber salary advacne</t>
  </si>
  <si>
    <t>to shahid painter for material</t>
  </si>
  <si>
    <t>31-03-021</t>
  </si>
  <si>
    <t>paid to street driver (Gali wala driver)</t>
  </si>
  <si>
    <t>paid for broken ceiling (given to jahangeer)</t>
  </si>
  <si>
    <t>2nd floor rent for april and may 21 used in office</t>
  </si>
  <si>
    <t>cash paid  now hisaab is 2235</t>
  </si>
  <si>
    <t>misc invoices</t>
  </si>
  <si>
    <t>02235038</t>
  </si>
  <si>
    <t>02235039</t>
  </si>
  <si>
    <t>02235040</t>
  </si>
  <si>
    <t>02235041</t>
  </si>
  <si>
    <t>to zubair duct</t>
  </si>
  <si>
    <t>Raza arsalan engr</t>
  </si>
  <si>
    <t>02235042</t>
  </si>
  <si>
    <t>Ayan engineering in sind club</t>
  </si>
  <si>
    <t>for office</t>
  </si>
  <si>
    <t>The place o/m feb 21 bill</t>
  </si>
  <si>
    <t>FTC Jan 21 o/m</t>
  </si>
  <si>
    <t>FTC Feb 21 o/m</t>
  </si>
  <si>
    <t>Jan 21 to March 21 operation and maintenance</t>
  </si>
  <si>
    <t>Askari IV RMR o/m feb 21 bill</t>
  </si>
  <si>
    <t>For the Month of April 21</t>
  </si>
  <si>
    <t>01-April 2021</t>
  </si>
  <si>
    <t>02-04-021</t>
  </si>
  <si>
    <t>strainer buff cahrges</t>
  </si>
  <si>
    <t>02235043</t>
  </si>
  <si>
    <t>to DWP for gree unit for indus</t>
  </si>
  <si>
    <t>paid against inoice</t>
  </si>
  <si>
    <t>khalid najmi</t>
  </si>
  <si>
    <r>
      <t xml:space="preserve">paid for </t>
    </r>
    <r>
      <rPr>
        <sz val="11"/>
        <color rgb="FFFF0000"/>
        <rFont val="Calibri"/>
        <family val="2"/>
        <scheme val="minor"/>
      </rPr>
      <t>??????????</t>
    </r>
  </si>
  <si>
    <t>as built drawing sindh club</t>
  </si>
  <si>
    <t>claimed fuel by owais</t>
  </si>
  <si>
    <t>to gulfam insulation in the forum</t>
  </si>
  <si>
    <t>for tea and refreshment</t>
  </si>
  <si>
    <t>purcahssed tea cattle and kitchen expenses</t>
  </si>
  <si>
    <t xml:space="preserve">to sami duct </t>
  </si>
  <si>
    <t>02235044</t>
  </si>
  <si>
    <t>cash bilal bhai</t>
  </si>
  <si>
    <t>cash pais</t>
  </si>
  <si>
    <t>invoices indus</t>
  </si>
  <si>
    <t xml:space="preserve">paid to bilal bhai </t>
  </si>
  <si>
    <t>cash paid to farhan bhai (sent thru his sons)</t>
  </si>
  <si>
    <t>06-04-021</t>
  </si>
  <si>
    <t>07-04-021</t>
  </si>
  <si>
    <t>cash paid by abid</t>
  </si>
  <si>
    <t>paid for uble rikshaw fare</t>
  </si>
  <si>
    <r>
      <t>Office salary 117,387
FTC Staff         87,448
EFU Staff      100,282
The Forum   170,859</t>
    </r>
    <r>
      <rPr>
        <b/>
        <sz val="12"/>
        <color theme="1"/>
        <rFont val="Calibri"/>
        <family val="2"/>
        <scheme val="minor"/>
      </rPr>
      <t xml:space="preserve"> </t>
    </r>
    <r>
      <rPr>
        <b/>
        <sz val="10"/>
        <color theme="1"/>
        <rFont val="Calibri"/>
        <family val="2"/>
        <scheme val="minor"/>
      </rPr>
      <t>(except shadab and salman</t>
    </r>
    <r>
      <rPr>
        <b/>
        <sz val="12"/>
        <color rgb="FFFF0000"/>
        <rFont val="Calibri"/>
        <family val="2"/>
        <scheme val="minor"/>
      </rPr>
      <t xml:space="preserve">
Azeem           33,875
Abid              30,820 
</t>
    </r>
  </si>
  <si>
    <t>from inam pren to office for panel</t>
  </si>
  <si>
    <t>paid for site purchasing</t>
  </si>
  <si>
    <t>Received against bill # 050 for unit and copper piping installed at the place ciname</t>
  </si>
  <si>
    <t>cash paid sent thru hammad</t>
  </si>
  <si>
    <t>cash paid (by hand bakhti)</t>
  </si>
  <si>
    <t>cash paid (bakhti hand)</t>
  </si>
  <si>
    <t>08-04-021</t>
  </si>
  <si>
    <t>nadeem bhai MAr 21 salary</t>
  </si>
  <si>
    <t>waris March 21 salary</t>
  </si>
  <si>
    <r>
      <t xml:space="preserve">Falcon        88,339  </t>
    </r>
    <r>
      <rPr>
        <b/>
        <sz val="12"/>
        <rFont val="Calibri"/>
        <family val="2"/>
        <scheme val="minor"/>
      </rPr>
      <t xml:space="preserve">
</t>
    </r>
    <r>
      <rPr>
        <b/>
        <sz val="12"/>
        <color rgb="FFFF0000"/>
        <rFont val="Calibri"/>
        <family val="2"/>
        <scheme val="minor"/>
      </rPr>
      <t xml:space="preserve">JPMC         246,484 
shadab         25,548
suleman       21,484
zeeshan        48,097 
Mujeeb        23,528
</t>
    </r>
  </si>
  <si>
    <t>salary increased</t>
  </si>
  <si>
    <t>paid for site expenses at the time of fire pump commissioing</t>
  </si>
  <si>
    <t>for SST tax</t>
  </si>
  <si>
    <t>02235045</t>
  </si>
  <si>
    <t>to ehsan traders against fans in jpmc moque</t>
  </si>
  <si>
    <t>Touqeer salary</t>
  </si>
  <si>
    <t>Hamza salary</t>
  </si>
  <si>
    <t>Riyaz salary</t>
  </si>
  <si>
    <t>Master group</t>
  </si>
  <si>
    <t>paid against fiber tank 500 gallon</t>
  </si>
  <si>
    <t>From ground floor advance payment</t>
  </si>
  <si>
    <t>02235046</t>
  </si>
  <si>
    <t>for salaries march 21</t>
  </si>
  <si>
    <t>02235047</t>
  </si>
  <si>
    <t>to qadri pool in kumail aacount</t>
  </si>
  <si>
    <t>naveed thermostat</t>
  </si>
  <si>
    <t>paid now uptodate is rs 40,000</t>
  </si>
  <si>
    <t>paid against invoices in naveed malik</t>
  </si>
  <si>
    <t>Cinema askari IV salary</t>
  </si>
  <si>
    <t>for as built jpmc given to amir engr</t>
  </si>
  <si>
    <t>02235048</t>
  </si>
  <si>
    <t>to sagheer AC in jpmc deal</t>
  </si>
  <si>
    <t>13-04-021</t>
  </si>
  <si>
    <t>claimed super card and fuel</t>
  </si>
  <si>
    <t>purchased a4 paper rim</t>
  </si>
  <si>
    <t>02235049</t>
  </si>
  <si>
    <t>cineam the place salary</t>
  </si>
  <si>
    <t>paid for rafay material</t>
  </si>
  <si>
    <t xml:space="preserve">paid for pre and current amount </t>
  </si>
  <si>
    <t>02235050</t>
  </si>
  <si>
    <t>to talha global tech for insulation deal</t>
  </si>
  <si>
    <t>raheel</t>
  </si>
  <si>
    <t>raheel salary increaed + prv overtime</t>
  </si>
  <si>
    <t>cash paid in al hamd uto date = 100,000</t>
  </si>
  <si>
    <t>paid for purchasing 2 nali pak arab</t>
  </si>
  <si>
    <t>16-04-021</t>
  </si>
  <si>
    <t>paid for remaining pending hold salary</t>
  </si>
  <si>
    <t>to zulfiquar for april 21</t>
  </si>
  <si>
    <t>paid for his hisaab</t>
  </si>
  <si>
    <t>paid for his bike maintenance</t>
  </si>
  <si>
    <t>sohail salary in naveed malik</t>
  </si>
  <si>
    <t>office ptcl bills paid and mhr hom</t>
  </si>
  <si>
    <t>20-04-021</t>
  </si>
  <si>
    <t xml:space="preserve">s abdullah </t>
  </si>
  <si>
    <t>paid for wash basin and basin mixer js shaheen</t>
  </si>
  <si>
    <t>15-04-021</t>
  </si>
  <si>
    <t>to imran feroz at site</t>
  </si>
  <si>
    <t>rehan aunty shop rent amount</t>
  </si>
  <si>
    <t>khursheed insulation</t>
  </si>
  <si>
    <t>paid cash for OT 10</t>
  </si>
  <si>
    <t>cash paid for rashan</t>
  </si>
  <si>
    <t>cash paid all hisaan cleared</t>
  </si>
  <si>
    <t>from nadeem blue lines</t>
  </si>
  <si>
    <t>nadeem blue lines</t>
  </si>
  <si>
    <t>return to nadeem 3rd floor</t>
  </si>
  <si>
    <t>to shahid painter for April 21 advance</t>
  </si>
  <si>
    <t>paid for site expenses grinder and other thinks</t>
  </si>
  <si>
    <t>02235051</t>
  </si>
  <si>
    <t>to rafay in js bank shaheen</t>
  </si>
  <si>
    <t>paid for site expense</t>
  </si>
  <si>
    <t xml:space="preserve">suzui fare </t>
  </si>
  <si>
    <t>paid for zakat rashan</t>
  </si>
  <si>
    <t>02235052</t>
  </si>
  <si>
    <t>02235053</t>
  </si>
  <si>
    <t>for office and mhr k elec and SSGC bills</t>
  </si>
  <si>
    <t>to mukhtiar salary advance for april 21 in indus</t>
  </si>
  <si>
    <t>to amir engr for april 21</t>
  </si>
  <si>
    <t>invoices JS bank the forum</t>
  </si>
  <si>
    <t>paid for rishaw fare + fuel</t>
  </si>
  <si>
    <t>To nadeem bhai in his  personal share</t>
  </si>
  <si>
    <t xml:space="preserve">to raheel jpmc for april 21 </t>
  </si>
  <si>
    <t>imran choori</t>
  </si>
  <si>
    <t>paid agianst bill</t>
  </si>
  <si>
    <t>paid zakat</t>
  </si>
  <si>
    <t>eastern sanitry</t>
  </si>
  <si>
    <t>paid in mosque jpmc (cash given to imran engr)</t>
  </si>
  <si>
    <t>paid for cinema askari IV purchasing</t>
  </si>
  <si>
    <t>O/m RMR march 21</t>
  </si>
  <si>
    <t xml:space="preserve">received final payment </t>
  </si>
  <si>
    <t>28-04-021</t>
  </si>
  <si>
    <t>Ground floor rent 03 months advance used in office</t>
  </si>
  <si>
    <t>cash paid to jahangeer for rashan</t>
  </si>
  <si>
    <t>paid for site expense cleared</t>
  </si>
  <si>
    <t>paid for connactor (sent cash throu hammad)</t>
  </si>
  <si>
    <t>paid (cash sent thro jahangeer)</t>
  </si>
  <si>
    <t>O/m the place march 21</t>
  </si>
  <si>
    <t>paid for dinner expenses in efu</t>
  </si>
  <si>
    <t>cas for mobile balance</t>
  </si>
  <si>
    <t>cash for bank al-falah</t>
  </si>
  <si>
    <t>cash paid for mirror, nalkay and basin cash sent thru aamir plumber</t>
  </si>
  <si>
    <t>paid in UBL bank</t>
  </si>
  <si>
    <t>for k ele bills</t>
  </si>
  <si>
    <t>03-05-021</t>
  </si>
  <si>
    <t>for k elec bills farhan</t>
  </si>
  <si>
    <t>amir plumber salary increased</t>
  </si>
  <si>
    <t>fuel and moble balance</t>
  </si>
  <si>
    <t>paid for chizzer rapairing</t>
  </si>
  <si>
    <t>for rashan</t>
  </si>
  <si>
    <t>02235054</t>
  </si>
  <si>
    <t>02235055</t>
  </si>
  <si>
    <t>02235056</t>
  </si>
  <si>
    <t>02235057</t>
  </si>
  <si>
    <t>02235058</t>
  </si>
  <si>
    <t>02235059</t>
  </si>
  <si>
    <t>02235060</t>
  </si>
  <si>
    <t>02235061</t>
  </si>
  <si>
    <t>02235062</t>
  </si>
  <si>
    <t>02235063</t>
  </si>
  <si>
    <t>to Asif us traders</t>
  </si>
  <si>
    <t xml:space="preserve">Imran ducting </t>
  </si>
  <si>
    <t>zafat grills</t>
  </si>
  <si>
    <t>to Fateh steel</t>
  </si>
  <si>
    <t>For the Month of May 21</t>
  </si>
  <si>
    <t>01-May 2021</t>
  </si>
  <si>
    <t>for April 21 salaries</t>
  </si>
  <si>
    <t>bakhto for car wash</t>
  </si>
  <si>
    <t>Js bank shaheen</t>
  </si>
  <si>
    <t>jameel baig / Naveed malik / bank al-falah</t>
  </si>
  <si>
    <t>cash less received from bilal bhai</t>
  </si>
  <si>
    <t>06-05-021</t>
  </si>
  <si>
    <t>to waris for purchasing</t>
  </si>
  <si>
    <t>bank al-falah bill no 328</t>
  </si>
  <si>
    <t>FTC march 21 bill</t>
  </si>
  <si>
    <t>paid for rikshae fare for comode</t>
  </si>
  <si>
    <t>envopl purchased</t>
  </si>
  <si>
    <t>abbas salary advance return by order nadeem bhai</t>
  </si>
  <si>
    <t>A Karim</t>
  </si>
  <si>
    <t>paid for ground floor rent agent commsission</t>
  </si>
  <si>
    <t>paid to watis for nasir colony by order nadeem bahi</t>
  </si>
  <si>
    <t>sst</t>
  </si>
  <si>
    <t>Mukhtiar salary</t>
  </si>
  <si>
    <t>Asghar salary</t>
  </si>
  <si>
    <t>Askari IV Cinema salary</t>
  </si>
  <si>
    <t>Ground floor fixed deposit</t>
  </si>
  <si>
    <t>07-05-021</t>
  </si>
  <si>
    <t>invoices ubl</t>
  </si>
  <si>
    <t>invoices bank alfalah</t>
  </si>
  <si>
    <t>nadeem bhai April 21 salary</t>
  </si>
  <si>
    <t>waris April 21 salary</t>
  </si>
  <si>
    <t>Bonus</t>
  </si>
  <si>
    <t>cash paid against his profit share 2021</t>
  </si>
  <si>
    <t>The place Cinema salary</t>
  </si>
  <si>
    <t>Shadab salary</t>
  </si>
  <si>
    <t>paid for cladding insulation in bank alfalah</t>
  </si>
  <si>
    <t>cash paid for new notes</t>
  </si>
  <si>
    <t>08-05-021</t>
  </si>
  <si>
    <t>cash paid advance in js bank shaheen</t>
  </si>
  <si>
    <t>paid for ball bearing bank alfalah</t>
  </si>
  <si>
    <t>paid for baitul sukoon</t>
  </si>
  <si>
    <t>Baiy ul Sukoon 25% mob advance</t>
  </si>
  <si>
    <t>paid for purchasing js shaheen</t>
  </si>
  <si>
    <t>office use</t>
  </si>
  <si>
    <t>paid for indus purchasing now remaiing 2400 hisaab</t>
  </si>
  <si>
    <t>From bilal bhai</t>
  </si>
  <si>
    <t>cash paid for new currency notes</t>
  </si>
  <si>
    <t>17-05-021</t>
  </si>
  <si>
    <t>Amir salary advance return by order bilal bhai</t>
  </si>
  <si>
    <t>washroom magnet catcher</t>
  </si>
  <si>
    <t>for falcon mall misc material</t>
  </si>
  <si>
    <t>for falcon mall welding rods</t>
  </si>
  <si>
    <t>cash paid from bial bhai</t>
  </si>
  <si>
    <t>invoices js the forum</t>
  </si>
  <si>
    <t>invoices js shaheen</t>
  </si>
  <si>
    <t>to abbas for cp nipple</t>
  </si>
  <si>
    <t>to Fakhri for copper pipe deal js bank the forum</t>
  </si>
  <si>
    <t>tender omega mall purchased from SEM engir</t>
  </si>
  <si>
    <t>Rehana Aunty Hisaab</t>
  </si>
  <si>
    <t>Ground floor 3 months rent</t>
  </si>
  <si>
    <t>Ground floor security deposit</t>
  </si>
  <si>
    <t>paid to imran choori</t>
  </si>
  <si>
    <t>Prv balance</t>
  </si>
  <si>
    <t>to abbas</t>
  </si>
  <si>
    <t>sheheryar</t>
  </si>
  <si>
    <t>for vellani purcashing</t>
  </si>
  <si>
    <t>paid against installation</t>
  </si>
  <si>
    <t>tariq industries</t>
  </si>
  <si>
    <t>paid for spring isolators for bank al falah</t>
  </si>
  <si>
    <t>20-05-021</t>
  </si>
  <si>
    <t>to shahid painter for baitul sukoon</t>
  </si>
  <si>
    <t>for imtiaz dha tender</t>
  </si>
  <si>
    <t>a4 paper rim +photcoyp</t>
  </si>
  <si>
    <t>cash paid (sent trhu bakhti)</t>
  </si>
  <si>
    <t>cash paid (sent thru bakhti)</t>
  </si>
  <si>
    <t>Less commissioing to agent g/floor</t>
  </si>
  <si>
    <t>Total amount</t>
  </si>
  <si>
    <t>Net Total amount</t>
  </si>
  <si>
    <t>invoices + fuel</t>
  </si>
  <si>
    <t>falcon mall</t>
  </si>
  <si>
    <t>js the forum</t>
  </si>
  <si>
    <t>02235064</t>
  </si>
  <si>
    <t>02235065</t>
  </si>
  <si>
    <t>02235066</t>
  </si>
  <si>
    <t>to ehsan traders in jpmc</t>
  </si>
  <si>
    <t>paid for paint and karosine oil</t>
  </si>
  <si>
    <t>cash paid for bait ul sukoon</t>
  </si>
  <si>
    <t>Anees</t>
  </si>
  <si>
    <t>paid for ducting at Bait ul sukoon</t>
  </si>
  <si>
    <t>paid for vellani purchasing</t>
  </si>
  <si>
    <t>transfer to faseeh account</t>
  </si>
  <si>
    <t>purchased baiutul sukoon material</t>
  </si>
  <si>
    <t>to mukhtiar for may 21</t>
  </si>
  <si>
    <t>paid cash agaisnt basin mixer high neck 3 pcs (cash sent thru haneef)</t>
  </si>
  <si>
    <t>02235067</t>
  </si>
  <si>
    <t>02235068</t>
  </si>
  <si>
    <t>02235069</t>
  </si>
  <si>
    <t>02235070</t>
  </si>
  <si>
    <t>02235071</t>
  </si>
  <si>
    <t>to Bilal bhai in his petty cash</t>
  </si>
  <si>
    <t>to Tube traders</t>
  </si>
  <si>
    <t>02235072</t>
  </si>
  <si>
    <t>to sami duct</t>
  </si>
  <si>
    <t>To JES</t>
  </si>
  <si>
    <t>To taheriya sanitry</t>
  </si>
  <si>
    <t>to abid for fare (sent thru nadeem bhai)</t>
  </si>
  <si>
    <t>falcon fire stickers</t>
  </si>
  <si>
    <t>ahan insulator</t>
  </si>
  <si>
    <t>UBL receiving bill # 040</t>
  </si>
  <si>
    <t>UBL receiving bill # 041</t>
  </si>
  <si>
    <t>02235073</t>
  </si>
  <si>
    <t>02235074</t>
  </si>
  <si>
    <t>rikshaw fare js shaheen</t>
  </si>
  <si>
    <t>paid mhr and home</t>
  </si>
  <si>
    <t>against falcon invoices</t>
  </si>
  <si>
    <t>claimed fuel baitul sukoon</t>
  </si>
  <si>
    <t>sent thru mukhtiar</t>
  </si>
  <si>
    <t>Saim bros</t>
  </si>
  <si>
    <t>reading</t>
  </si>
  <si>
    <t>paid for purchasing nut bolt and rawal bolt</t>
  </si>
  <si>
    <t>25-05-021</t>
  </si>
  <si>
    <t>27-05-021</t>
  </si>
  <si>
    <t>nadeem bhai home and farhan k elec bills</t>
  </si>
  <si>
    <t>paid in vellani</t>
  </si>
  <si>
    <t>31-05-021</t>
  </si>
  <si>
    <t>k elec bills + farhan bills</t>
  </si>
  <si>
    <t>to abbas plumber may 21</t>
  </si>
  <si>
    <t>cash paid sent thru bakhti</t>
  </si>
  <si>
    <t>02-06-021</t>
  </si>
  <si>
    <t>nadeem bhai May 21 salary</t>
  </si>
  <si>
    <t>waris May 21 salary</t>
  </si>
  <si>
    <t>April billing Askari 4 cinema</t>
  </si>
  <si>
    <t>For the Month of June 21</t>
  </si>
  <si>
    <t>01-June 2021</t>
  </si>
  <si>
    <t>for May 21 salaries</t>
  </si>
  <si>
    <t>02235075</t>
  </si>
  <si>
    <t>paid to farhan bhai</t>
  </si>
  <si>
    <t>03-06-021</t>
  </si>
  <si>
    <t>to farhan bhai</t>
  </si>
  <si>
    <t>from indus to tahhiry sanitry returned material by abbas  and rikshaw fare</t>
  </si>
  <si>
    <t>Js bank shaheen and Js The Forum</t>
  </si>
  <si>
    <t>invoices falcon and vellani</t>
  </si>
  <si>
    <t>Jameel baig</t>
  </si>
  <si>
    <t>flow tab</t>
  </si>
  <si>
    <t>paid for balancing at jpmc</t>
  </si>
  <si>
    <t>porta hussain</t>
  </si>
  <si>
    <t>purchasing js the forum nut bolt clamp from mungo</t>
  </si>
  <si>
    <t>purchased fire extinghuiger for js bank by nadeem bhai</t>
  </si>
  <si>
    <t xml:space="preserve">shop rent for March 21 </t>
  </si>
  <si>
    <t>For office salaries May 21</t>
  </si>
  <si>
    <t>to haneef for june 21</t>
  </si>
  <si>
    <t>cash paid glasnd lux remaining hisab 1180</t>
  </si>
  <si>
    <t>Arshad salary</t>
  </si>
  <si>
    <t>tea sugar milk claimedn by mukhtuar</t>
  </si>
  <si>
    <t>office expenses</t>
  </si>
  <si>
    <t xml:space="preserve">Paid to imran gizri in </t>
  </si>
  <si>
    <t>Megaplex salary</t>
  </si>
  <si>
    <t>received form Megaplex plex cinemas against oil paint bill</t>
  </si>
  <si>
    <t>O/m the place April 21</t>
  </si>
  <si>
    <t>Paid to badar ducting contractor in baitul sukoon</t>
  </si>
  <si>
    <t>sasa</t>
  </si>
  <si>
    <t>paid against fans</t>
  </si>
  <si>
    <t>paid for misc work</t>
  </si>
  <si>
    <t>PAID FOR may 21 and june 21 mobile balance</t>
  </si>
  <si>
    <t>cash paid for final payment at bait ul sukoon</t>
  </si>
  <si>
    <t>Cladding c/o faizan</t>
  </si>
  <si>
    <t>cash paid for jpmc cladding care off faizan</t>
  </si>
  <si>
    <t>Rizwan VRF</t>
  </si>
  <si>
    <t>paid shafia fees</t>
  </si>
  <si>
    <t>paid for baitul sukoon (now upt date 10240)</t>
  </si>
  <si>
    <t>paid for purchasing js shaheen (remainign 2570 amount</t>
  </si>
  <si>
    <t>cash paid in js the forum ok cleared</t>
  </si>
  <si>
    <t>09-06-021</t>
  </si>
  <si>
    <t>to bakhtii for june 21</t>
  </si>
  <si>
    <t>paid for the place cinema gas r-22 1 jug</t>
  </si>
  <si>
    <t>cash paid to abid for fare</t>
  </si>
  <si>
    <t>cash paid for june 21</t>
  </si>
  <si>
    <t>cash paid (transfer to Robina account)</t>
  </si>
  <si>
    <t>14-06-021</t>
  </si>
  <si>
    <t>cash paid (transfer to Robina account) faisalabad</t>
  </si>
  <si>
    <t>paid for VRF pads (cash given to jahangeer)</t>
  </si>
  <si>
    <t>to zeeshan for purcahsing</t>
  </si>
  <si>
    <t>paid for site expenses (sent thru abbas)</t>
  </si>
  <si>
    <t>paid for rockwool insulation labour (sent thru abbas)</t>
  </si>
  <si>
    <t>paid sent thru abbas</t>
  </si>
  <si>
    <t>claimed fuel by kamran</t>
  </si>
  <si>
    <t>purchased 2 coil fast cable</t>
  </si>
  <si>
    <t>cash paid for js the forum</t>
  </si>
  <si>
    <t>paid for pioneer new account</t>
  </si>
  <si>
    <t>O/m FTC April 21</t>
  </si>
  <si>
    <t>O/m FTC May 21</t>
  </si>
  <si>
    <t>15-06-021</t>
  </si>
  <si>
    <t>for purcahsin</t>
  </si>
  <si>
    <t>to lateef for june 21</t>
  </si>
  <si>
    <t>paid for copper piping purchasing from shabbir brothers</t>
  </si>
  <si>
    <t>bharmal purchasing</t>
  </si>
  <si>
    <t>return cash</t>
  </si>
  <si>
    <t>To Zafar grills</t>
  </si>
  <si>
    <t>to zahid elec for june 21</t>
  </si>
  <si>
    <t>to hammad for june 21</t>
  </si>
  <si>
    <t>To mukhtiar for 02 nos mazdoor at jpmc</t>
  </si>
  <si>
    <t>for pump repairing from rehan shahjee</t>
  </si>
  <si>
    <t>from azeem after purcasued of karchar pump</t>
  </si>
  <si>
    <t>for jpmc + fare</t>
  </si>
  <si>
    <t>fisher</t>
  </si>
  <si>
    <t>paid for al hamd remaing amount</t>
  </si>
  <si>
    <t>sami duct</t>
  </si>
  <si>
    <t>cash paid in baitulsukoon</t>
  </si>
  <si>
    <t>cash paid for medication</t>
  </si>
  <si>
    <t>19-06-021</t>
  </si>
  <si>
    <t>to amir engr for June 21</t>
  </si>
  <si>
    <t>ptcl bills mhr and office</t>
  </si>
  <si>
    <t>To Ebad account KAROR for MOSQUE</t>
  </si>
  <si>
    <t>from azeem</t>
  </si>
  <si>
    <t>02290526</t>
  </si>
  <si>
    <t>paid for VRF pads (cash given to azeem)</t>
  </si>
  <si>
    <t>falcon as built</t>
  </si>
  <si>
    <t>cash paid for MHR annd the place</t>
  </si>
  <si>
    <t>to sajjad for June 21</t>
  </si>
  <si>
    <t>to chacha lateef for June 21</t>
  </si>
  <si>
    <t>paid for paint job</t>
  </si>
  <si>
    <t>to imran feroz</t>
  </si>
  <si>
    <t>paid to bajwa sahab for ceiling break</t>
  </si>
  <si>
    <t>Harsal electric</t>
  </si>
  <si>
    <t>paid for 3 coil fast</t>
  </si>
  <si>
    <t>for nkr 3rd pump at the forum</t>
  </si>
  <si>
    <t>paid to pak publisher of magazine</t>
  </si>
  <si>
    <t>lateef claiemd fuel</t>
  </si>
  <si>
    <t>to amjad ustad</t>
  </si>
  <si>
    <t>To bharmal in jpmc</t>
  </si>
  <si>
    <t>Cash paid (RIZWAN VRF) remaiing</t>
  </si>
  <si>
    <t>paid for 500 galon water fiber tank</t>
  </si>
  <si>
    <t>cash paid for relay jpmc</t>
  </si>
  <si>
    <t>water tanker for 2 tmes</t>
  </si>
  <si>
    <t>for water tank repair and cleaning</t>
  </si>
  <si>
    <t>paid for the forum</t>
  </si>
  <si>
    <t>Paint job</t>
  </si>
  <si>
    <t>paid for ropes</t>
  </si>
  <si>
    <t>cash paid for site al hamd</t>
  </si>
  <si>
    <t>cash paid for al hamd</t>
  </si>
  <si>
    <t>to Raheel for June 21</t>
  </si>
  <si>
    <t>To Amir plumber salary advance</t>
  </si>
  <si>
    <t>paid for js the forum invocie all cleared bal 3500-300=3200-800=2400</t>
  </si>
  <si>
    <t>02290527</t>
  </si>
  <si>
    <t>02290528</t>
  </si>
  <si>
    <t>to Faheem for falcon purchasing</t>
  </si>
  <si>
    <t xml:space="preserve">Office k elec bill + ssgc bill </t>
  </si>
  <si>
    <t xml:space="preserve">MHR  k elec bill + ssgc bill </t>
  </si>
  <si>
    <t>cash paid for brass adapter</t>
  </si>
  <si>
    <t>returned by mukhtiat</t>
  </si>
  <si>
    <t>fuel and phot copy</t>
  </si>
  <si>
    <t>25-06-021</t>
  </si>
  <si>
    <t>falcan as built</t>
  </si>
  <si>
    <t>02290529</t>
  </si>
  <si>
    <t>02290530</t>
  </si>
  <si>
    <t>To Porta Hussain advance cheque</t>
  </si>
  <si>
    <t>cash paid for site bait lsukoon  (now upt date 20240)</t>
  </si>
  <si>
    <t>Orient electric</t>
  </si>
  <si>
    <t>paid for the forum cable</t>
  </si>
  <si>
    <t>cash paid (by abbas)</t>
  </si>
  <si>
    <t>to abbas for june 21</t>
  </si>
  <si>
    <t>BILL remaining</t>
  </si>
  <si>
    <t>02290531</t>
  </si>
  <si>
    <t>02290532</t>
  </si>
  <si>
    <t>02290533</t>
  </si>
  <si>
    <t>02290534</t>
  </si>
  <si>
    <t>02290535</t>
  </si>
  <si>
    <t>02290536</t>
  </si>
  <si>
    <t>02290537</t>
  </si>
  <si>
    <t>to anees in baituk sukin</t>
  </si>
  <si>
    <t>Cancelled</t>
  </si>
  <si>
    <t>02290538</t>
  </si>
  <si>
    <t>02290539</t>
  </si>
  <si>
    <t>masood tech auto in the forum</t>
  </si>
  <si>
    <t>Tesla Engineering in js the forum</t>
  </si>
  <si>
    <t>02290540</t>
  </si>
  <si>
    <t>rehana Rehman</t>
  </si>
  <si>
    <t>CBC payment for ground / 2nd and 3rd floor</t>
  </si>
  <si>
    <t>to salahuddin for june 21</t>
  </si>
  <si>
    <t>paid upto date 46000</t>
  </si>
  <si>
    <t>abid claimed fare for baitul sukoon</t>
  </si>
  <si>
    <t>tax 7.5%</t>
  </si>
  <si>
    <t>gcm 8%</t>
  </si>
  <si>
    <t>alpha engineering</t>
  </si>
  <si>
    <t>paid for the place chemcial</t>
  </si>
  <si>
    <t>Received from Rizwan VRF</t>
  </si>
  <si>
    <t>paid from outside (this cash will not post)</t>
  </si>
  <si>
    <t>LUNCH AT SITE</t>
  </si>
  <si>
    <t>PAID FOR PURCHASING</t>
  </si>
  <si>
    <t>FUEL</t>
  </si>
  <si>
    <t>newspaper bill</t>
  </si>
  <si>
    <t>to MUKHTIAR for june 21</t>
  </si>
  <si>
    <t>cash paid for site enxepses</t>
  </si>
  <si>
    <t>paid for fuel and bike tyre</t>
  </si>
  <si>
    <t>cash paid for invoices</t>
  </si>
  <si>
    <t>cash paid for misc</t>
  </si>
  <si>
    <t>cash paid in js the forum</t>
  </si>
  <si>
    <t>imtiaz paid to kashif</t>
  </si>
  <si>
    <t>Fisher</t>
  </si>
  <si>
    <t>paid for al hamd deal</t>
  </si>
  <si>
    <t>for chemcail paint</t>
  </si>
  <si>
    <t>to raheel for june 21</t>
  </si>
  <si>
    <t>to gul sher for june 21</t>
  </si>
  <si>
    <t>paid for shaheen complex</t>
  </si>
  <si>
    <t xml:space="preserve">Imtiaz and </t>
  </si>
  <si>
    <t>cash paid for gas cylinder</t>
  </si>
  <si>
    <t>02290541</t>
  </si>
  <si>
    <t>02290542</t>
  </si>
  <si>
    <t>02290543</t>
  </si>
  <si>
    <t>to Muzammil</t>
  </si>
  <si>
    <t>Mungo in imtiaz deal</t>
  </si>
  <si>
    <t xml:space="preserve">received against 2nd floor AHU bill </t>
  </si>
  <si>
    <t>O/m the place May 21</t>
  </si>
  <si>
    <t>O/m askari iv cienam May 21</t>
  </si>
  <si>
    <t>For the Month of July 21</t>
  </si>
  <si>
    <t xml:space="preserve">Imtiaz DHA mob adv </t>
  </si>
  <si>
    <t>the Place Cinema Chillr repair</t>
  </si>
  <si>
    <t>To Fakhri in imtiaz dha deal</t>
  </si>
  <si>
    <t>To ZARA in imtiaz deal</t>
  </si>
  <si>
    <t>cash paid for hilti reoaiing and hambring</t>
  </si>
  <si>
    <t>cash paid for gas cylinder and fittings for imtiaz</t>
  </si>
  <si>
    <t>cash to farhan bhai</t>
  </si>
  <si>
    <t>cash paid (sent thru nadeem bhai)</t>
  </si>
  <si>
    <t>haneef bhai salary for june 21</t>
  </si>
  <si>
    <t>cash paid for transportaiton at imtiaz</t>
  </si>
  <si>
    <t>mobile balance azeem</t>
  </si>
  <si>
    <t>imtiaz drawing</t>
  </si>
  <si>
    <t>02-07-021</t>
  </si>
  <si>
    <t>03-07-021</t>
  </si>
  <si>
    <t>to kamran auto for june 21</t>
  </si>
  <si>
    <t>contractor azeem</t>
  </si>
  <si>
    <t>imtiaz for nitrogen cylinder</t>
  </si>
  <si>
    <t>nawaz cladding</t>
  </si>
  <si>
    <t>paid for cladding</t>
  </si>
  <si>
    <t>04-07-021</t>
  </si>
  <si>
    <t>to mukhtiar for misc expenses at imtiaz</t>
  </si>
  <si>
    <t>05-07-021</t>
  </si>
  <si>
    <t>nadeem bhai June 21 salary</t>
  </si>
  <si>
    <t>waris June 21 salary</t>
  </si>
  <si>
    <t>utilities bills  k ele + ssgc</t>
  </si>
  <si>
    <t>bakhti gor car wash</t>
  </si>
  <si>
    <t>cash paid for welding plant</t>
  </si>
  <si>
    <t>falcan staff</t>
  </si>
  <si>
    <t>for welding plant</t>
  </si>
  <si>
    <t xml:space="preserve">paid for cloth and misc </t>
  </si>
  <si>
    <t>cash ppaid uptodate is 76000</t>
  </si>
  <si>
    <t>envelop purchaed</t>
  </si>
  <si>
    <t>for gutter rapairing</t>
  </si>
  <si>
    <t>06-07-021</t>
  </si>
  <si>
    <t>cash paid in baitulsukoon + 19000 nadeem bhai</t>
  </si>
  <si>
    <t>Akber enga</t>
  </si>
  <si>
    <t>paid for vcd for baitul sukoon</t>
  </si>
  <si>
    <t>cash paid for js bank shaheen complex pipe 2" and fittings</t>
  </si>
  <si>
    <t>nasir colony utilities bills</t>
  </si>
  <si>
    <t>mobiles</t>
  </si>
  <si>
    <t>paid for lateef and chacha lateef mobiles</t>
  </si>
  <si>
    <t>js bank shaheen</t>
  </si>
  <si>
    <t>for glue</t>
  </si>
  <si>
    <t>Suleman dilawer and waleed salary</t>
  </si>
  <si>
    <t>Jahangeer, lateef, chahca lateef</t>
  </si>
  <si>
    <t>amjad and touqeer</t>
  </si>
  <si>
    <t>shahid painter,  salahuddin, abbas</t>
  </si>
  <si>
    <t>Rehan, kamran Bakhti and mossi</t>
  </si>
  <si>
    <t>S# No</t>
  </si>
  <si>
    <t>Imran Engr</t>
  </si>
  <si>
    <t>Mukhtiar</t>
  </si>
  <si>
    <t>for fuse and connector strip (sent trhu rizwan)</t>
  </si>
  <si>
    <t>Abbas plumber</t>
  </si>
  <si>
    <t>cash paid for fuse and connector sent trhu rizwan</t>
  </si>
  <si>
    <t>Khalid mansoor</t>
  </si>
  <si>
    <t>Invoices</t>
  </si>
  <si>
    <t>Remaining amount</t>
  </si>
  <si>
    <t>paid for duct selent</t>
  </si>
  <si>
    <t>invoices photoc opy imtiaz</t>
  </si>
  <si>
    <t>invoices duct sealent</t>
  </si>
  <si>
    <t>welding plant repaired</t>
  </si>
  <si>
    <t>given to shahid painter</t>
  </si>
  <si>
    <t>paid for the place</t>
  </si>
  <si>
    <t>paid for channel from mughal iron</t>
  </si>
  <si>
    <t>paid for chiller and the forum cabling</t>
  </si>
  <si>
    <t>The place Cinema</t>
  </si>
  <si>
    <t>RMR Nueplex cinema salary</t>
  </si>
  <si>
    <t>zeehsan  and mujeeb</t>
  </si>
  <si>
    <t>up todate 78000</t>
  </si>
  <si>
    <t>IMTIAZ</t>
  </si>
  <si>
    <t>paid uptodate is 81,000</t>
  </si>
  <si>
    <t>badar</t>
  </si>
  <si>
    <t>imran salary used</t>
  </si>
  <si>
    <t>to rehan for office use</t>
  </si>
  <si>
    <t>for 2 nos water tanker</t>
  </si>
  <si>
    <t>drawings</t>
  </si>
  <si>
    <t>claimed fuel by kamran auto</t>
  </si>
  <si>
    <t>paid advance in imtiaz super market</t>
  </si>
  <si>
    <t>for channel for baitulsukoon</t>
  </si>
  <si>
    <t>paid for baitulsukon uptodate is 56,000</t>
  </si>
  <si>
    <t>paid for purcashing js the forum</t>
  </si>
  <si>
    <t>paid for baitulsukon uptodate is 66,000</t>
  </si>
  <si>
    <t>arsalan ducting</t>
  </si>
  <si>
    <t>hydery mall</t>
  </si>
  <si>
    <t>fare paid to dawood suzuki</t>
  </si>
  <si>
    <t>ptcl bills paid for mhr and office</t>
  </si>
  <si>
    <t>02290544</t>
  </si>
  <si>
    <t>02290545</t>
  </si>
  <si>
    <t>02290546</t>
  </si>
  <si>
    <t>anees in baitulsukoon</t>
  </si>
  <si>
    <t>faheem for js the fourm cabling</t>
  </si>
  <si>
    <t>faheem for js and jpmc labour amount</t>
  </si>
  <si>
    <t>To Fakhri in imtiaz dha fittings deal</t>
  </si>
  <si>
    <t>rec the forum 4th paymnt adhoc</t>
  </si>
  <si>
    <t>rec EFU April to June 2021</t>
  </si>
  <si>
    <t>hydery mall 40% advance</t>
  </si>
  <si>
    <t>Faheem Ele</t>
  </si>
  <si>
    <t>Faheem ele</t>
  </si>
  <si>
    <t>cash paid for baitul sukoon invocies cleared</t>
  </si>
  <si>
    <t xml:space="preserve">paid ot mukhtiar for misc </t>
  </si>
  <si>
    <t>to raheel for july 21</t>
  </si>
  <si>
    <t>Shahzad contractor</t>
  </si>
  <si>
    <t>paid in imtiaz advacne pai</t>
  </si>
  <si>
    <t>to kamran auto for july 21</t>
  </si>
  <si>
    <t>paid to khalid bhai for the place chiller motor repaired</t>
  </si>
  <si>
    <t>to rizwan vrf</t>
  </si>
  <si>
    <t>To Person</t>
  </si>
  <si>
    <t>Balance amount</t>
  </si>
  <si>
    <t>cash tahen</t>
  </si>
  <si>
    <t>Sum of Balance amount</t>
  </si>
  <si>
    <t>Row Labels</t>
  </si>
  <si>
    <t>Grand Total</t>
  </si>
  <si>
    <t>Sum of Cash taken</t>
  </si>
  <si>
    <t>Sum of Invoices submit</t>
  </si>
  <si>
    <t>(blank)</t>
  </si>
  <si>
    <t>Faheem Elec</t>
  </si>
  <si>
    <t>prievious balance</t>
  </si>
  <si>
    <t>Amount Taken</t>
  </si>
  <si>
    <t>Invoices submitted</t>
  </si>
  <si>
    <t>less</t>
  </si>
  <si>
    <t>post in baf</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</si>
</sst>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_(* \(#,##0.00\);_(* &quot;-&quot;??_);_(@_)"/>
    <numFmt numFmtId="164" formatCode="_(* #,##0_);_(* \(#,##0\);_(* &quot;-&quot;??_);_(@_)"/>
    <numFmt numFmtId="165" formatCode="[$-409]d/mmm/yy;@"/>
  </numFmts>
  <fonts count="43" x14ac:knownFonts="1">
    <font>
      <sz val="11"/>
      <color theme="1"/>
      <name val="Calibri"/>
      <family val="2"/>
      <scheme val="minor"/>
    </font>
    <font>
      <b/>
      <sz val="11"/>
      <color theme="1"/>
      <name val="Calibri"/>
      <family val="2"/>
      <scheme val="minor"/>
    </font>
    <font>
      <sz val="11"/>
      <color theme="1"/>
      <name val="Calibri"/>
      <family val="2"/>
      <scheme val="minor"/>
    </font>
    <font>
      <b/>
      <sz val="16"/>
      <color theme="1"/>
      <name val="Calibri"/>
      <family val="2"/>
      <scheme val="minor"/>
    </font>
    <font>
      <sz val="12"/>
      <color theme="1"/>
      <name val="Calibri"/>
      <family val="2"/>
      <scheme val="minor"/>
    </font>
    <font>
      <b/>
      <sz val="12"/>
      <color theme="1"/>
      <name val="Calibri"/>
      <family val="2"/>
      <scheme val="minor"/>
    </font>
    <font>
      <b/>
      <sz val="14"/>
      <color theme="1"/>
      <name val="Calibri"/>
      <family val="2"/>
      <scheme val="minor"/>
    </font>
    <font>
      <sz val="11"/>
      <color theme="0"/>
      <name val="Calibri"/>
      <family val="2"/>
      <scheme val="minor"/>
    </font>
    <font>
      <sz val="11"/>
      <name val="Calibri"/>
      <family val="2"/>
      <scheme val="minor"/>
    </font>
    <font>
      <sz val="18"/>
      <color theme="1"/>
      <name val="Calibri"/>
      <family val="2"/>
      <scheme val="minor"/>
    </font>
    <font>
      <sz val="14"/>
      <color theme="1"/>
      <name val="Calibri"/>
      <family val="2"/>
      <scheme val="minor"/>
    </font>
    <font>
      <b/>
      <sz val="11"/>
      <color theme="0"/>
      <name val="Calibri"/>
      <family val="2"/>
      <scheme val="minor"/>
    </font>
    <font>
      <b/>
      <sz val="11"/>
      <name val="Calibri"/>
      <family val="2"/>
      <scheme val="minor"/>
    </font>
    <font>
      <sz val="10"/>
      <color theme="1"/>
      <name val="Calibri"/>
      <family val="2"/>
      <scheme val="minor"/>
    </font>
    <font>
      <sz val="10"/>
      <name val="Calibri"/>
      <family val="2"/>
      <scheme val="minor"/>
    </font>
    <font>
      <b/>
      <sz val="10"/>
      <color theme="0"/>
      <name val="Calibri"/>
      <family val="2"/>
      <scheme val="minor"/>
    </font>
    <font>
      <sz val="20"/>
      <color theme="1"/>
      <name val="Calibri"/>
      <family val="2"/>
      <scheme val="minor"/>
    </font>
    <font>
      <sz val="11"/>
      <color rgb="FFFF0000"/>
      <name val="Calibri"/>
      <family val="2"/>
      <scheme val="minor"/>
    </font>
    <font>
      <sz val="10"/>
      <color rgb="FFFF0000"/>
      <name val="Calibri"/>
      <family val="2"/>
      <scheme val="minor"/>
    </font>
    <font>
      <b/>
      <sz val="11"/>
      <color theme="5"/>
      <name val="Calibri"/>
      <family val="2"/>
      <scheme val="minor"/>
    </font>
    <font>
      <sz val="9"/>
      <color indexed="81"/>
      <name val="Tahoma"/>
      <family val="2"/>
    </font>
    <font>
      <b/>
      <sz val="9"/>
      <color indexed="81"/>
      <name val="Tahoma"/>
      <family val="2"/>
    </font>
    <font>
      <b/>
      <sz val="11"/>
      <color rgb="FFFF0000"/>
      <name val="Calibri"/>
      <family val="2"/>
      <scheme val="minor"/>
    </font>
    <font>
      <sz val="11"/>
      <name val="Arial"/>
      <family val="2"/>
    </font>
    <font>
      <b/>
      <sz val="11"/>
      <color rgb="FF00B0F0"/>
      <name val="Calibri"/>
      <family val="2"/>
      <scheme val="minor"/>
    </font>
    <font>
      <b/>
      <sz val="10"/>
      <color rgb="FFFF0000"/>
      <name val="Calibri"/>
      <family val="2"/>
      <scheme val="minor"/>
    </font>
    <font>
      <sz val="22"/>
      <color rgb="FFFF0000"/>
      <name val="Calibri"/>
      <family val="2"/>
      <scheme val="minor"/>
    </font>
    <font>
      <sz val="20"/>
      <color rgb="FFFF0000"/>
      <name val="Calibri"/>
      <family val="2"/>
      <scheme val="minor"/>
    </font>
    <font>
      <b/>
      <sz val="22"/>
      <color theme="1"/>
      <name val="Calibri"/>
      <family val="2"/>
      <scheme val="minor"/>
    </font>
    <font>
      <sz val="12"/>
      <name val="Calibri"/>
      <family val="2"/>
      <scheme val="minor"/>
    </font>
    <font>
      <b/>
      <sz val="13"/>
      <color theme="1"/>
      <name val="Calibri"/>
      <family val="2"/>
      <scheme val="minor"/>
    </font>
    <font>
      <b/>
      <sz val="24"/>
      <color theme="1"/>
      <name val="Calibri"/>
      <family val="2"/>
      <scheme val="minor"/>
    </font>
    <font>
      <sz val="16"/>
      <color theme="1"/>
      <name val="Calibri"/>
      <family val="2"/>
      <scheme val="minor"/>
    </font>
    <font>
      <b/>
      <sz val="10"/>
      <color theme="1"/>
      <name val="Calibri"/>
      <family val="2"/>
      <scheme val="minor"/>
    </font>
    <font>
      <sz val="12"/>
      <color rgb="FFFF0000"/>
      <name val="Calibri"/>
      <family val="2"/>
      <scheme val="minor"/>
    </font>
    <font>
      <b/>
      <sz val="12"/>
      <color rgb="FFFF0000"/>
      <name val="Calibri"/>
      <family val="2"/>
      <scheme val="minor"/>
    </font>
    <font>
      <b/>
      <sz val="12"/>
      <name val="Calibri"/>
      <family val="2"/>
      <scheme val="minor"/>
    </font>
    <font>
      <sz val="11"/>
      <color rgb="FF000000"/>
      <name val="Calibri"/>
      <family val="2"/>
      <scheme val="minor"/>
    </font>
    <font>
      <b/>
      <sz val="14"/>
      <color rgb="FFFF0000"/>
      <name val="Calibri"/>
      <family val="2"/>
      <scheme val="minor"/>
    </font>
    <font>
      <sz val="14"/>
      <color rgb="FFFF0000"/>
      <name val="Calibri"/>
      <family val="2"/>
      <scheme val="minor"/>
    </font>
    <font>
      <sz val="14"/>
      <name val="Calibri"/>
      <family val="2"/>
      <scheme val="minor"/>
    </font>
    <font>
      <b/>
      <sz val="22"/>
      <name val="Calibri"/>
      <family val="2"/>
      <scheme val="minor"/>
    </font>
    <font>
      <sz val="22"/>
      <color theme="1"/>
      <name val="Calibri"/>
      <family val="2"/>
      <scheme val="minor"/>
    </font>
  </fonts>
  <fills count="30">
    <fill>
      <patternFill patternType="none"/>
    </fill>
    <fill>
      <patternFill patternType="gray125"/>
    </fill>
    <fill>
      <patternFill patternType="solid">
        <fgColor rgb="FFFFFF00"/>
        <bgColor indexed="64"/>
      </patternFill>
    </fill>
    <fill>
      <patternFill patternType="solid">
        <fgColor theme="6" tint="0.59999389629810485"/>
        <bgColor indexed="64"/>
      </patternFill>
    </fill>
    <fill>
      <patternFill patternType="solid">
        <fgColor theme="3" tint="0.59999389629810485"/>
        <bgColor indexed="64"/>
      </patternFill>
    </fill>
    <fill>
      <patternFill patternType="solid">
        <fgColor theme="1"/>
        <bgColor indexed="64"/>
      </patternFill>
    </fill>
    <fill>
      <patternFill patternType="solid">
        <fgColor theme="0" tint="-0.249977111117893"/>
        <bgColor indexed="64"/>
      </patternFill>
    </fill>
    <fill>
      <patternFill patternType="solid">
        <fgColor theme="9" tint="0.59999389629810485"/>
        <bgColor indexed="64"/>
      </patternFill>
    </fill>
    <fill>
      <patternFill patternType="solid">
        <fgColor rgb="FF00B050"/>
        <bgColor indexed="64"/>
      </patternFill>
    </fill>
    <fill>
      <patternFill patternType="solid">
        <fgColor theme="4" tint="0.39997558519241921"/>
        <bgColor indexed="64"/>
      </patternFill>
    </fill>
    <fill>
      <patternFill patternType="solid">
        <fgColor theme="3" tint="0.39997558519241921"/>
        <bgColor indexed="64"/>
      </patternFill>
    </fill>
    <fill>
      <patternFill patternType="solid">
        <fgColor theme="7" tint="0.39997558519241921"/>
        <bgColor indexed="64"/>
      </patternFill>
    </fill>
    <fill>
      <patternFill patternType="solid">
        <fgColor theme="4" tint="-0.249977111117893"/>
        <bgColor indexed="64"/>
      </patternFill>
    </fill>
    <fill>
      <patternFill patternType="solid">
        <fgColor theme="0" tint="-0.14999847407452621"/>
        <bgColor indexed="64"/>
      </patternFill>
    </fill>
    <fill>
      <patternFill patternType="solid">
        <fgColor theme="2" tint="-0.249977111117893"/>
        <bgColor indexed="64"/>
      </patternFill>
    </fill>
    <fill>
      <patternFill patternType="solid">
        <fgColor rgb="FFFF0000"/>
        <bgColor indexed="64"/>
      </patternFill>
    </fill>
    <fill>
      <patternFill patternType="solid">
        <fgColor theme="0"/>
        <bgColor indexed="64"/>
      </patternFill>
    </fill>
    <fill>
      <patternFill patternType="solid">
        <fgColor rgb="FF00B0F0"/>
        <bgColor indexed="64"/>
      </patternFill>
    </fill>
    <fill>
      <patternFill patternType="solid">
        <fgColor rgb="FF92D050"/>
        <bgColor indexed="64"/>
      </patternFill>
    </fill>
    <fill>
      <patternFill patternType="solid">
        <fgColor rgb="FFFFC000"/>
        <bgColor indexed="64"/>
      </patternFill>
    </fill>
    <fill>
      <patternFill patternType="solid">
        <fgColor theme="2" tint="-9.9978637043366805E-2"/>
        <bgColor indexed="64"/>
      </patternFill>
    </fill>
    <fill>
      <patternFill patternType="solid">
        <fgColor theme="5"/>
        <bgColor indexed="64"/>
      </patternFill>
    </fill>
    <fill>
      <patternFill patternType="solid">
        <fgColor theme="5" tint="0.39997558519241921"/>
        <bgColor indexed="64"/>
      </patternFill>
    </fill>
    <fill>
      <patternFill patternType="solid">
        <fgColor theme="2"/>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9" tint="0.79998168889431442"/>
        <bgColor indexed="64"/>
      </patternFill>
    </fill>
    <fill>
      <patternFill patternType="solid">
        <fgColor theme="1" tint="0.34998626667073579"/>
        <bgColor indexed="64"/>
      </patternFill>
    </fill>
    <fill>
      <patternFill patternType="solid">
        <fgColor theme="9"/>
        <bgColor indexed="64"/>
      </patternFill>
    </fill>
  </fills>
  <borders count="4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medium">
        <color indexed="64"/>
      </top>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top/>
      <bottom/>
      <diagonal/>
    </border>
    <border>
      <left/>
      <right/>
      <top style="thin">
        <color indexed="64"/>
      </top>
      <bottom/>
      <diagonal/>
    </border>
    <border>
      <left style="thin">
        <color indexed="64"/>
      </left>
      <right style="thin">
        <color indexed="64"/>
      </right>
      <top/>
      <bottom/>
      <diagonal/>
    </border>
    <border>
      <left/>
      <right style="thin">
        <color indexed="64"/>
      </right>
      <top/>
      <bottom/>
      <diagonal/>
    </border>
    <border>
      <left/>
      <right/>
      <top/>
      <bottom style="thin">
        <color indexed="64"/>
      </bottom>
      <diagonal/>
    </border>
    <border>
      <left style="thin">
        <color indexed="64"/>
      </left>
      <right style="thin">
        <color indexed="64"/>
      </right>
      <top style="thin">
        <color indexed="64"/>
      </top>
      <bottom style="double">
        <color indexed="64"/>
      </bottom>
      <diagonal/>
    </border>
    <border>
      <left/>
      <right/>
      <top/>
      <bottom style="double">
        <color indexed="64"/>
      </bottom>
      <diagonal/>
    </border>
    <border>
      <left style="thin">
        <color indexed="64"/>
      </left>
      <right style="thin">
        <color indexed="64"/>
      </right>
      <top style="thin">
        <color indexed="64"/>
      </top>
      <bottom style="thin">
        <color theme="0"/>
      </bottom>
      <diagonal/>
    </border>
    <border>
      <left style="thin">
        <color indexed="64"/>
      </left>
      <right style="thin">
        <color indexed="64"/>
      </right>
      <top style="thin">
        <color theme="0"/>
      </top>
      <bottom style="thin">
        <color theme="0"/>
      </bottom>
      <diagonal/>
    </border>
    <border>
      <left/>
      <right style="thin">
        <color indexed="64"/>
      </right>
      <top style="thin">
        <color indexed="64"/>
      </top>
      <bottom style="thin">
        <color theme="0"/>
      </bottom>
      <diagonal/>
    </border>
    <border>
      <left/>
      <right style="thin">
        <color indexed="64"/>
      </right>
      <top style="thin">
        <color theme="0"/>
      </top>
      <bottom style="thin">
        <color theme="0"/>
      </bottom>
      <diagonal/>
    </border>
    <border>
      <left/>
      <right style="thin">
        <color theme="0"/>
      </right>
      <top style="thin">
        <color theme="0"/>
      </top>
      <bottom style="thin">
        <color theme="0"/>
      </bottom>
      <diagonal/>
    </border>
    <border>
      <left style="thin">
        <color indexed="64"/>
      </left>
      <right style="thin">
        <color theme="0"/>
      </right>
      <top style="thin">
        <color indexed="64"/>
      </top>
      <bottom style="thin">
        <color theme="0"/>
      </bottom>
      <diagonal/>
    </border>
    <border>
      <left style="thin">
        <color indexed="64"/>
      </left>
      <right style="thin">
        <color theme="0"/>
      </right>
      <top style="thin">
        <color theme="0"/>
      </top>
      <bottom style="thin">
        <color theme="0"/>
      </bottom>
      <diagonal/>
    </border>
    <border>
      <left style="thin">
        <color indexed="64"/>
      </left>
      <right style="thin">
        <color theme="0"/>
      </right>
      <top/>
      <bottom style="thin">
        <color indexed="64"/>
      </bottom>
      <diagonal/>
    </border>
    <border>
      <left/>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s>
  <cellStyleXfs count="3">
    <xf numFmtId="0" fontId="0" fillId="0" borderId="0"/>
    <xf numFmtId="43" fontId="2" fillId="0" borderId="0" applyFont="0" applyFill="0" applyBorder="0" applyAlignment="0" applyProtection="0"/>
    <xf numFmtId="9" fontId="2" fillId="0" borderId="0" applyFont="0" applyFill="0" applyBorder="0" applyAlignment="0" applyProtection="0"/>
  </cellStyleXfs>
  <cellXfs count="551">
    <xf numFmtId="0" fontId="0" fillId="0" borderId="0" xfId="0"/>
    <xf numFmtId="0" fontId="4" fillId="0" borderId="1" xfId="0" applyFont="1" applyBorder="1"/>
    <xf numFmtId="0" fontId="0" fillId="0" borderId="0" xfId="0" applyBorder="1"/>
    <xf numFmtId="0" fontId="0" fillId="0" borderId="0" xfId="0" applyFill="1" applyBorder="1"/>
    <xf numFmtId="0" fontId="0" fillId="0" borderId="0" xfId="0" applyFont="1" applyBorder="1"/>
    <xf numFmtId="0" fontId="0" fillId="0" borderId="0" xfId="0"/>
    <xf numFmtId="0" fontId="0" fillId="0" borderId="0" xfId="0" applyFont="1"/>
    <xf numFmtId="0" fontId="0" fillId="0" borderId="7" xfId="0" applyFont="1" applyBorder="1"/>
    <xf numFmtId="164" fontId="0" fillId="0" borderId="1" xfId="1" applyNumberFormat="1" applyFont="1" applyBorder="1"/>
    <xf numFmtId="0" fontId="0" fillId="0" borderId="7" xfId="0" applyFont="1" applyFill="1" applyBorder="1"/>
    <xf numFmtId="164" fontId="0" fillId="0" borderId="0" xfId="1" applyNumberFormat="1" applyFont="1"/>
    <xf numFmtId="164" fontId="1" fillId="0" borderId="1" xfId="1" applyNumberFormat="1" applyFont="1" applyBorder="1"/>
    <xf numFmtId="164" fontId="0" fillId="0" borderId="0" xfId="1" applyNumberFormat="1" applyFont="1" applyBorder="1"/>
    <xf numFmtId="164" fontId="0" fillId="0" borderId="2" xfId="1" applyNumberFormat="1" applyFont="1" applyBorder="1"/>
    <xf numFmtId="164" fontId="0" fillId="0" borderId="1" xfId="1" applyNumberFormat="1" applyFont="1" applyFill="1" applyBorder="1"/>
    <xf numFmtId="164" fontId="0" fillId="4" borderId="1" xfId="1" applyNumberFormat="1" applyFont="1" applyFill="1" applyBorder="1"/>
    <xf numFmtId="164" fontId="0" fillId="0" borderId="1" xfId="1" applyNumberFormat="1" applyFont="1" applyBorder="1" applyAlignment="1"/>
    <xf numFmtId="164" fontId="0" fillId="0" borderId="1" xfId="1" applyNumberFormat="1" applyFont="1" applyFill="1" applyBorder="1" applyAlignment="1">
      <alignment horizontal="right"/>
    </xf>
    <xf numFmtId="0" fontId="0" fillId="0" borderId="3" xfId="0" applyFont="1" applyBorder="1"/>
    <xf numFmtId="0" fontId="0" fillId="0" borderId="3" xfId="0" applyFont="1" applyFill="1" applyBorder="1"/>
    <xf numFmtId="0" fontId="0" fillId="0" borderId="0" xfId="0" applyFont="1" applyFill="1"/>
    <xf numFmtId="0" fontId="0" fillId="0" borderId="0" xfId="0" applyFont="1" applyFill="1" applyBorder="1"/>
    <xf numFmtId="164" fontId="0" fillId="0" borderId="0" xfId="1" applyNumberFormat="1" applyFont="1" applyFill="1" applyBorder="1"/>
    <xf numFmtId="164" fontId="1" fillId="0" borderId="1" xfId="1" applyNumberFormat="1" applyFont="1" applyFill="1" applyBorder="1"/>
    <xf numFmtId="164" fontId="0" fillId="0" borderId="0" xfId="1" applyNumberFormat="1" applyFont="1" applyFill="1"/>
    <xf numFmtId="164" fontId="0" fillId="0" borderId="0" xfId="0" applyNumberFormat="1" applyFont="1"/>
    <xf numFmtId="0" fontId="0" fillId="0" borderId="1" xfId="0" applyFont="1" applyBorder="1"/>
    <xf numFmtId="164" fontId="0" fillId="0" borderId="6" xfId="1" applyNumberFormat="1" applyFont="1" applyBorder="1"/>
    <xf numFmtId="0" fontId="0" fillId="0" borderId="1" xfId="0" applyFont="1" applyFill="1" applyBorder="1" applyAlignment="1">
      <alignment horizontal="left"/>
    </xf>
    <xf numFmtId="0" fontId="0" fillId="0" borderId="1" xfId="0" applyFont="1" applyFill="1" applyBorder="1"/>
    <xf numFmtId="0" fontId="1" fillId="0" borderId="1" xfId="0" applyFont="1" applyBorder="1"/>
    <xf numFmtId="0" fontId="0" fillId="0" borderId="6" xfId="0" applyFont="1" applyFill="1" applyBorder="1"/>
    <xf numFmtId="164" fontId="0" fillId="0" borderId="6" xfId="1" applyNumberFormat="1" applyFont="1" applyFill="1" applyBorder="1"/>
    <xf numFmtId="0" fontId="0" fillId="0" borderId="6" xfId="0" applyFont="1" applyBorder="1"/>
    <xf numFmtId="0" fontId="0" fillId="0" borderId="1" xfId="0" applyBorder="1"/>
    <xf numFmtId="0" fontId="10" fillId="0" borderId="0" xfId="0" applyFont="1"/>
    <xf numFmtId="0" fontId="10" fillId="0" borderId="1" xfId="0" applyFont="1" applyBorder="1"/>
    <xf numFmtId="0" fontId="0" fillId="7" borderId="1" xfId="0" applyFont="1" applyFill="1" applyBorder="1"/>
    <xf numFmtId="0" fontId="0" fillId="8" borderId="1" xfId="0" applyFont="1" applyFill="1" applyBorder="1"/>
    <xf numFmtId="0" fontId="0" fillId="0" borderId="10" xfId="0" applyFont="1" applyFill="1" applyBorder="1"/>
    <xf numFmtId="0" fontId="8" fillId="0" borderId="1" xfId="0" applyFont="1" applyFill="1" applyBorder="1"/>
    <xf numFmtId="164" fontId="8" fillId="0" borderId="1" xfId="1" applyNumberFormat="1" applyFont="1" applyFill="1" applyBorder="1"/>
    <xf numFmtId="0" fontId="8" fillId="0" borderId="0" xfId="0" applyFont="1"/>
    <xf numFmtId="0" fontId="7" fillId="5" borderId="1" xfId="0" applyFont="1" applyFill="1" applyBorder="1"/>
    <xf numFmtId="164" fontId="7" fillId="5" borderId="1" xfId="1" applyNumberFormat="1" applyFont="1" applyFill="1" applyBorder="1"/>
    <xf numFmtId="0" fontId="5" fillId="0" borderId="1" xfId="0" applyFont="1" applyBorder="1" applyAlignment="1">
      <alignment horizontal="center" vertical="center" wrapText="1"/>
    </xf>
    <xf numFmtId="0" fontId="8" fillId="0" borderId="1" xfId="0" applyFont="1" applyBorder="1"/>
    <xf numFmtId="164" fontId="0" fillId="0" borderId="0" xfId="0" applyNumberFormat="1"/>
    <xf numFmtId="0" fontId="0" fillId="0" borderId="10" xfId="0" applyFill="1" applyBorder="1"/>
    <xf numFmtId="0" fontId="8" fillId="0" borderId="0" xfId="0" applyFont="1" applyFill="1"/>
    <xf numFmtId="0" fontId="0" fillId="0" borderId="11" xfId="0" applyFont="1" applyFill="1" applyBorder="1"/>
    <xf numFmtId="164" fontId="0" fillId="0" borderId="10" xfId="1" applyNumberFormat="1" applyFont="1" applyFill="1" applyBorder="1"/>
    <xf numFmtId="0" fontId="0" fillId="0" borderId="1" xfId="0" applyFill="1" applyBorder="1"/>
    <xf numFmtId="0" fontId="0" fillId="0" borderId="0" xfId="0" applyFill="1"/>
    <xf numFmtId="164" fontId="5" fillId="0" borderId="0" xfId="1" applyNumberFormat="1" applyFont="1"/>
    <xf numFmtId="15" fontId="7" fillId="5" borderId="1" xfId="0" applyNumberFormat="1" applyFont="1" applyFill="1" applyBorder="1"/>
    <xf numFmtId="0" fontId="0" fillId="2" borderId="1" xfId="0" applyFill="1" applyBorder="1"/>
    <xf numFmtId="164" fontId="0" fillId="2" borderId="1" xfId="1" applyNumberFormat="1" applyFont="1" applyFill="1" applyBorder="1"/>
    <xf numFmtId="164" fontId="11" fillId="5" borderId="1" xfId="1" applyNumberFormat="1" applyFont="1" applyFill="1" applyBorder="1"/>
    <xf numFmtId="0" fontId="0" fillId="0" borderId="6" xfId="0" applyFill="1" applyBorder="1"/>
    <xf numFmtId="164" fontId="0" fillId="9" borderId="1" xfId="1" applyNumberFormat="1" applyFont="1" applyFill="1" applyBorder="1"/>
    <xf numFmtId="15" fontId="8" fillId="0" borderId="1" xfId="0" applyNumberFormat="1" applyFont="1" applyFill="1" applyBorder="1"/>
    <xf numFmtId="164" fontId="12" fillId="0" borderId="1" xfId="1" applyNumberFormat="1" applyFont="1" applyFill="1" applyBorder="1"/>
    <xf numFmtId="0" fontId="8" fillId="0" borderId="1" xfId="0" applyFont="1" applyFill="1" applyBorder="1" applyAlignment="1"/>
    <xf numFmtId="0" fontId="8" fillId="0" borderId="7" xfId="0" applyFont="1" applyFill="1" applyBorder="1" applyAlignment="1"/>
    <xf numFmtId="164" fontId="8" fillId="0" borderId="1" xfId="1" applyNumberFormat="1" applyFont="1" applyFill="1" applyBorder="1" applyAlignment="1">
      <alignment horizontal="right"/>
    </xf>
    <xf numFmtId="164" fontId="0" fillId="11" borderId="1" xfId="1" applyNumberFormat="1" applyFont="1" applyFill="1" applyBorder="1"/>
    <xf numFmtId="164" fontId="0" fillId="12" borderId="1" xfId="1" applyNumberFormat="1" applyFont="1" applyFill="1" applyBorder="1"/>
    <xf numFmtId="0" fontId="7" fillId="0" borderId="1" xfId="0" applyFont="1" applyFill="1" applyBorder="1"/>
    <xf numFmtId="164" fontId="0" fillId="13" borderId="1" xfId="1" applyNumberFormat="1" applyFont="1" applyFill="1" applyBorder="1"/>
    <xf numFmtId="0" fontId="0" fillId="0" borderId="1" xfId="0" applyBorder="1" applyAlignment="1">
      <alignment wrapText="1"/>
    </xf>
    <xf numFmtId="164" fontId="11" fillId="5" borderId="1" xfId="1" applyNumberFormat="1" applyFont="1" applyFill="1" applyBorder="1" applyAlignment="1">
      <alignment horizontal="left"/>
    </xf>
    <xf numFmtId="0" fontId="0" fillId="0" borderId="1" xfId="0" applyFill="1" applyBorder="1" applyAlignment="1">
      <alignment wrapText="1"/>
    </xf>
    <xf numFmtId="43" fontId="0" fillId="0" borderId="1" xfId="1" applyFont="1" applyBorder="1"/>
    <xf numFmtId="164" fontId="0" fillId="14" borderId="1" xfId="1" applyNumberFormat="1" applyFont="1" applyFill="1" applyBorder="1"/>
    <xf numFmtId="164" fontId="0" fillId="15" borderId="1" xfId="1" applyNumberFormat="1" applyFont="1" applyFill="1" applyBorder="1"/>
    <xf numFmtId="0" fontId="8" fillId="0" borderId="1" xfId="0" applyFont="1" applyFill="1" applyBorder="1" applyAlignment="1">
      <alignment wrapText="1"/>
    </xf>
    <xf numFmtId="0" fontId="11" fillId="5" borderId="1" xfId="0" applyFont="1" applyFill="1" applyBorder="1"/>
    <xf numFmtId="0" fontId="11" fillId="5" borderId="1" xfId="0" applyFont="1" applyFill="1" applyBorder="1" applyAlignment="1">
      <alignment wrapText="1"/>
    </xf>
    <xf numFmtId="0" fontId="8" fillId="16" borderId="1" xfId="0" applyFont="1" applyFill="1" applyBorder="1" applyAlignment="1">
      <alignment wrapText="1"/>
    </xf>
    <xf numFmtId="0" fontId="8" fillId="0" borderId="3" xfId="0" applyFont="1" applyFill="1" applyBorder="1" applyAlignment="1">
      <alignment horizontal="left"/>
    </xf>
    <xf numFmtId="164" fontId="8" fillId="0" borderId="1" xfId="1" applyNumberFormat="1" applyFont="1" applyFill="1" applyBorder="1" applyAlignment="1">
      <alignment horizontal="left"/>
    </xf>
    <xf numFmtId="0" fontId="8" fillId="0" borderId="7" xfId="0" applyFont="1" applyFill="1" applyBorder="1" applyAlignment="1">
      <alignment horizontal="left" wrapText="1"/>
    </xf>
    <xf numFmtId="0" fontId="8" fillId="0" borderId="7" xfId="0" applyFont="1" applyFill="1" applyBorder="1" applyAlignment="1">
      <alignment horizontal="left"/>
    </xf>
    <xf numFmtId="0" fontId="8" fillId="0" borderId="1" xfId="0" applyFont="1" applyFill="1" applyBorder="1" applyAlignment="1">
      <alignment horizontal="left"/>
    </xf>
    <xf numFmtId="164" fontId="5" fillId="0" borderId="1" xfId="1" applyNumberFormat="1" applyFont="1" applyBorder="1"/>
    <xf numFmtId="164" fontId="11" fillId="0" borderId="1" xfId="1" applyNumberFormat="1" applyFont="1" applyFill="1" applyBorder="1"/>
    <xf numFmtId="0" fontId="0" fillId="0" borderId="1" xfId="0" applyFont="1" applyBorder="1" applyAlignment="1">
      <alignment wrapText="1"/>
    </xf>
    <xf numFmtId="164" fontId="2" fillId="0" borderId="1" xfId="1" applyNumberFormat="1" applyFont="1" applyBorder="1"/>
    <xf numFmtId="0" fontId="0" fillId="0" borderId="1" xfId="0" applyFont="1" applyFill="1" applyBorder="1" applyAlignment="1">
      <alignment wrapText="1"/>
    </xf>
    <xf numFmtId="15" fontId="14" fillId="0" borderId="1" xfId="0" applyNumberFormat="1" applyFont="1" applyFill="1" applyBorder="1" applyAlignment="1">
      <alignment vertical="center"/>
    </xf>
    <xf numFmtId="164" fontId="0" fillId="0" borderId="1" xfId="1" applyNumberFormat="1" applyFont="1" applyBorder="1" applyAlignment="1">
      <alignment vertical="center"/>
    </xf>
    <xf numFmtId="164" fontId="0" fillId="0" borderId="1" xfId="1" applyNumberFormat="1" applyFont="1" applyFill="1" applyBorder="1" applyAlignment="1">
      <alignment vertical="center"/>
    </xf>
    <xf numFmtId="164" fontId="0" fillId="17" borderId="1" xfId="1" applyNumberFormat="1" applyFont="1" applyFill="1" applyBorder="1"/>
    <xf numFmtId="164" fontId="0" fillId="0" borderId="1" xfId="1" applyNumberFormat="1" applyFont="1" applyBorder="1" applyAlignment="1">
      <alignment horizontal="right" vertical="center"/>
    </xf>
    <xf numFmtId="164" fontId="0" fillId="10" borderId="1" xfId="1" applyNumberFormat="1" applyFont="1" applyFill="1" applyBorder="1"/>
    <xf numFmtId="0" fontId="8" fillId="0" borderId="1" xfId="0" applyFont="1" applyFill="1" applyBorder="1" applyAlignment="1">
      <alignment horizontal="left" wrapText="1"/>
    </xf>
    <xf numFmtId="164" fontId="0" fillId="18" borderId="1" xfId="1" applyNumberFormat="1" applyFont="1" applyFill="1" applyBorder="1"/>
    <xf numFmtId="164" fontId="11" fillId="5" borderId="1" xfId="1" applyNumberFormat="1" applyFont="1" applyFill="1" applyBorder="1" applyAlignment="1">
      <alignment vertical="center"/>
    </xf>
    <xf numFmtId="164" fontId="0" fillId="0" borderId="1" xfId="1" applyNumberFormat="1" applyFont="1" applyFill="1" applyBorder="1" applyAlignment="1">
      <alignment horizontal="left"/>
    </xf>
    <xf numFmtId="164" fontId="0" fillId="0" borderId="1" xfId="1" applyNumberFormat="1" applyFont="1" applyFill="1" applyBorder="1" applyAlignment="1">
      <alignment wrapText="1"/>
    </xf>
    <xf numFmtId="0" fontId="5" fillId="0" borderId="0" xfId="0" applyFont="1"/>
    <xf numFmtId="164" fontId="0" fillId="0" borderId="2" xfId="1" applyNumberFormat="1" applyFont="1" applyBorder="1" applyAlignment="1">
      <alignment vertical="center"/>
    </xf>
    <xf numFmtId="164" fontId="0" fillId="0" borderId="13" xfId="1" applyNumberFormat="1" applyFont="1" applyBorder="1" applyAlignment="1">
      <alignment vertical="center"/>
    </xf>
    <xf numFmtId="164" fontId="11" fillId="5" borderId="2" xfId="1" applyNumberFormat="1" applyFont="1" applyFill="1" applyBorder="1" applyAlignment="1">
      <alignment horizontal="left"/>
    </xf>
    <xf numFmtId="164" fontId="11" fillId="5" borderId="2" xfId="1" applyNumberFormat="1" applyFont="1" applyFill="1" applyBorder="1"/>
    <xf numFmtId="164" fontId="0" fillId="2" borderId="13" xfId="1" applyNumberFormat="1" applyFont="1" applyFill="1" applyBorder="1"/>
    <xf numFmtId="164" fontId="0" fillId="0" borderId="13" xfId="1" applyNumberFormat="1" applyFont="1" applyBorder="1"/>
    <xf numFmtId="164" fontId="11" fillId="15" borderId="1" xfId="1" applyNumberFormat="1" applyFont="1" applyFill="1" applyBorder="1" applyAlignment="1">
      <alignment horizontal="left"/>
    </xf>
    <xf numFmtId="164" fontId="11" fillId="15" borderId="1" xfId="1" applyNumberFormat="1" applyFont="1" applyFill="1" applyBorder="1"/>
    <xf numFmtId="0" fontId="0" fillId="0" borderId="1" xfId="0" applyBorder="1" applyAlignment="1">
      <alignment horizontal="left" wrapText="1"/>
    </xf>
    <xf numFmtId="164" fontId="15" fillId="5" borderId="1" xfId="1" applyNumberFormat="1" applyFont="1" applyFill="1" applyBorder="1" applyAlignment="1">
      <alignment horizontal="left"/>
    </xf>
    <xf numFmtId="164" fontId="15" fillId="5" borderId="1" xfId="1" applyNumberFormat="1" applyFont="1" applyFill="1" applyBorder="1"/>
    <xf numFmtId="164" fontId="13" fillId="0" borderId="1" xfId="0" applyNumberFormat="1" applyFont="1" applyFill="1" applyBorder="1" applyAlignment="1">
      <alignment vertical="center"/>
    </xf>
    <xf numFmtId="164" fontId="0" fillId="19" borderId="1" xfId="1" applyNumberFormat="1" applyFont="1" applyFill="1" applyBorder="1"/>
    <xf numFmtId="164" fontId="0" fillId="8" borderId="1" xfId="1" applyNumberFormat="1" applyFont="1" applyFill="1" applyBorder="1"/>
    <xf numFmtId="164" fontId="8" fillId="0" borderId="0" xfId="1" applyNumberFormat="1" applyFont="1" applyFill="1"/>
    <xf numFmtId="164" fontId="0" fillId="0" borderId="0" xfId="1" applyNumberFormat="1" applyFont="1" applyAlignment="1">
      <alignment horizontal="left"/>
    </xf>
    <xf numFmtId="164" fontId="0" fillId="0" borderId="14" xfId="1" applyNumberFormat="1" applyFont="1" applyBorder="1"/>
    <xf numFmtId="164" fontId="0" fillId="2" borderId="0" xfId="1" applyNumberFormat="1" applyFont="1" applyFill="1"/>
    <xf numFmtId="164" fontId="0" fillId="20" borderId="1" xfId="1" applyNumberFormat="1" applyFont="1" applyFill="1" applyBorder="1"/>
    <xf numFmtId="164" fontId="2" fillId="0" borderId="0" xfId="1" applyNumberFormat="1" applyFont="1"/>
    <xf numFmtId="164" fontId="0" fillId="7" borderId="0" xfId="1" applyNumberFormat="1" applyFont="1" applyFill="1"/>
    <xf numFmtId="0" fontId="5" fillId="0" borderId="1" xfId="0" applyFont="1" applyBorder="1"/>
    <xf numFmtId="14" fontId="0" fillId="0" borderId="1" xfId="0" applyNumberFormat="1" applyBorder="1"/>
    <xf numFmtId="164" fontId="5" fillId="0" borderId="1" xfId="1" applyNumberFormat="1" applyFont="1" applyBorder="1" applyAlignment="1">
      <alignment horizontal="center" vertical="center" wrapText="1"/>
    </xf>
    <xf numFmtId="164" fontId="4" fillId="0" borderId="1" xfId="1" applyNumberFormat="1" applyFont="1" applyBorder="1" applyAlignment="1">
      <alignment horizontal="center" vertical="center" wrapText="1"/>
    </xf>
    <xf numFmtId="0" fontId="4" fillId="0" borderId="1" xfId="0" applyFont="1" applyBorder="1" applyAlignment="1">
      <alignment horizontal="left" vertical="center" wrapText="1"/>
    </xf>
    <xf numFmtId="164" fontId="0" fillId="0" borderId="1" xfId="1" applyNumberFormat="1" applyFont="1" applyBorder="1" applyAlignment="1">
      <alignment wrapText="1"/>
    </xf>
    <xf numFmtId="164" fontId="0" fillId="0" borderId="1" xfId="1" quotePrefix="1" applyNumberFormat="1" applyFont="1" applyBorder="1"/>
    <xf numFmtId="164" fontId="0" fillId="0" borderId="1" xfId="1" applyNumberFormat="1" applyFont="1" applyBorder="1" applyAlignment="1">
      <alignment horizontal="left"/>
    </xf>
    <xf numFmtId="164" fontId="0" fillId="0" borderId="1" xfId="1" quotePrefix="1" applyNumberFormat="1" applyFont="1" applyBorder="1" applyAlignment="1">
      <alignment horizontal="right"/>
    </xf>
    <xf numFmtId="164" fontId="0" fillId="0" borderId="1" xfId="1" applyNumberFormat="1" applyFont="1" applyBorder="1" applyAlignment="1">
      <alignment vertical="center" wrapText="1"/>
    </xf>
    <xf numFmtId="164" fontId="13" fillId="0" borderId="1" xfId="1" applyNumberFormat="1" applyFont="1" applyFill="1" applyBorder="1" applyAlignment="1">
      <alignment vertical="center"/>
    </xf>
    <xf numFmtId="0" fontId="13" fillId="0" borderId="2" xfId="0" applyFont="1" applyFill="1" applyBorder="1" applyAlignment="1">
      <alignment vertical="center" wrapText="1"/>
    </xf>
    <xf numFmtId="0" fontId="1" fillId="0" borderId="1" xfId="0" applyFont="1" applyBorder="1" applyAlignment="1">
      <alignment horizontal="center" vertical="center" wrapText="1"/>
    </xf>
    <xf numFmtId="164" fontId="0" fillId="0" borderId="1" xfId="0" applyNumberFormat="1" applyFont="1" applyFill="1" applyBorder="1" applyAlignment="1">
      <alignment vertical="center"/>
    </xf>
    <xf numFmtId="0" fontId="17" fillId="0" borderId="1" xfId="0" applyFont="1" applyBorder="1"/>
    <xf numFmtId="0" fontId="17" fillId="0" borderId="1" xfId="0" applyFont="1" applyFill="1" applyBorder="1"/>
    <xf numFmtId="164" fontId="17" fillId="0" borderId="1" xfId="1" applyNumberFormat="1" applyFont="1" applyBorder="1"/>
    <xf numFmtId="164" fontId="8" fillId="0" borderId="1" xfId="1" applyNumberFormat="1" applyFont="1" applyBorder="1"/>
    <xf numFmtId="14" fontId="17" fillId="0" borderId="1" xfId="0" applyNumberFormat="1" applyFont="1" applyBorder="1"/>
    <xf numFmtId="164" fontId="1" fillId="0" borderId="1" xfId="1" applyNumberFormat="1" applyFont="1" applyBorder="1" applyAlignment="1">
      <alignment vertical="center"/>
    </xf>
    <xf numFmtId="164" fontId="6" fillId="0" borderId="1" xfId="1" applyNumberFormat="1" applyFont="1" applyBorder="1" applyAlignment="1">
      <alignment horizontal="center" vertical="center"/>
    </xf>
    <xf numFmtId="14" fontId="4" fillId="0" borderId="1" xfId="0" applyNumberFormat="1" applyFont="1" applyBorder="1"/>
    <xf numFmtId="0" fontId="13" fillId="16" borderId="1" xfId="0" applyFont="1" applyFill="1" applyBorder="1" applyAlignment="1">
      <alignment wrapText="1"/>
    </xf>
    <xf numFmtId="0" fontId="0" fillId="0" borderId="10" xfId="0" applyFill="1" applyBorder="1" applyAlignment="1">
      <alignment wrapText="1"/>
    </xf>
    <xf numFmtId="164" fontId="8" fillId="0" borderId="0" xfId="1" applyNumberFormat="1" applyFont="1"/>
    <xf numFmtId="0" fontId="19" fillId="0" borderId="1" xfId="0" applyFont="1" applyBorder="1"/>
    <xf numFmtId="164" fontId="19" fillId="0" borderId="1" xfId="1" applyNumberFormat="1" applyFont="1" applyBorder="1"/>
    <xf numFmtId="164" fontId="0" fillId="0" borderId="6" xfId="0" applyNumberFormat="1" applyFont="1" applyFill="1" applyBorder="1" applyAlignment="1">
      <alignment vertical="center"/>
    </xf>
    <xf numFmtId="14" fontId="0" fillId="0" borderId="6" xfId="0" applyNumberFormat="1" applyBorder="1"/>
    <xf numFmtId="164" fontId="13" fillId="0" borderId="6" xfId="1" applyNumberFormat="1" applyFont="1" applyFill="1" applyBorder="1" applyAlignment="1">
      <alignment vertical="center"/>
    </xf>
    <xf numFmtId="164" fontId="0" fillId="0" borderId="8" xfId="1" applyNumberFormat="1" applyFont="1" applyFill="1" applyBorder="1"/>
    <xf numFmtId="164" fontId="0" fillId="0" borderId="0" xfId="1" applyNumberFormat="1" applyFont="1" applyAlignment="1">
      <alignment vertical="center"/>
    </xf>
    <xf numFmtId="0" fontId="8" fillId="0" borderId="1" xfId="0" applyFont="1" applyBorder="1" applyAlignment="1">
      <alignment horizontal="left" vertical="center" wrapText="1"/>
    </xf>
    <xf numFmtId="164" fontId="1" fillId="3" borderId="1" xfId="1" applyNumberFormat="1" applyFont="1" applyFill="1" applyBorder="1"/>
    <xf numFmtId="164" fontId="11" fillId="5" borderId="17" xfId="1" applyNumberFormat="1" applyFont="1" applyFill="1" applyBorder="1"/>
    <xf numFmtId="164" fontId="0" fillId="21" borderId="1" xfId="1" applyNumberFormat="1" applyFont="1" applyFill="1" applyBorder="1"/>
    <xf numFmtId="0" fontId="17" fillId="7" borderId="1" xfId="0" applyFont="1" applyFill="1" applyBorder="1"/>
    <xf numFmtId="164" fontId="17" fillId="7" borderId="1" xfId="1" applyNumberFormat="1" applyFont="1" applyFill="1" applyBorder="1"/>
    <xf numFmtId="164" fontId="0" fillId="22" borderId="1" xfId="1" applyNumberFormat="1" applyFont="1" applyFill="1" applyBorder="1"/>
    <xf numFmtId="0" fontId="22" fillId="0" borderId="1" xfId="0" applyFont="1" applyBorder="1"/>
    <xf numFmtId="164" fontId="22" fillId="0" borderId="1" xfId="1" applyNumberFormat="1" applyFont="1" applyBorder="1"/>
    <xf numFmtId="0" fontId="17" fillId="0" borderId="0" xfId="0" applyFont="1"/>
    <xf numFmtId="164" fontId="17" fillId="2" borderId="1" xfId="1" applyNumberFormat="1" applyFont="1" applyFill="1" applyBorder="1"/>
    <xf numFmtId="0" fontId="12" fillId="0" borderId="1" xfId="0" applyFont="1" applyBorder="1"/>
    <xf numFmtId="164" fontId="12" fillId="0" borderId="1" xfId="1" applyNumberFormat="1" applyFont="1" applyBorder="1"/>
    <xf numFmtId="0" fontId="12" fillId="0" borderId="1" xfId="0" applyFont="1" applyFill="1" applyBorder="1"/>
    <xf numFmtId="0" fontId="8" fillId="5" borderId="1" xfId="0" applyFont="1" applyFill="1" applyBorder="1"/>
    <xf numFmtId="164" fontId="8" fillId="5" borderId="1" xfId="1" applyNumberFormat="1" applyFont="1" applyFill="1" applyBorder="1"/>
    <xf numFmtId="164" fontId="22" fillId="0" borderId="1" xfId="0" applyNumberFormat="1" applyFont="1" applyFill="1" applyBorder="1" applyAlignment="1">
      <alignment vertical="center"/>
    </xf>
    <xf numFmtId="0" fontId="11" fillId="5" borderId="3" xfId="0" applyFont="1" applyFill="1" applyBorder="1" applyAlignment="1">
      <alignment horizontal="left"/>
    </xf>
    <xf numFmtId="0" fontId="11" fillId="5" borderId="7" xfId="0" applyFont="1" applyFill="1" applyBorder="1" applyAlignment="1">
      <alignment horizontal="left"/>
    </xf>
    <xf numFmtId="0" fontId="11" fillId="5" borderId="1" xfId="0" applyFont="1" applyFill="1" applyBorder="1" applyAlignment="1">
      <alignment horizontal="left"/>
    </xf>
    <xf numFmtId="15" fontId="1" fillId="13" borderId="1" xfId="0" applyNumberFormat="1" applyFont="1" applyFill="1" applyBorder="1" applyAlignment="1">
      <alignment horizontal="center" vertical="center"/>
    </xf>
    <xf numFmtId="0" fontId="1" fillId="13" borderId="1" xfId="0" applyFont="1" applyFill="1" applyBorder="1" applyAlignment="1">
      <alignment horizontal="center" vertical="center"/>
    </xf>
    <xf numFmtId="164" fontId="1" fillId="13" borderId="1" xfId="1" applyNumberFormat="1" applyFont="1" applyFill="1" applyBorder="1" applyAlignment="1">
      <alignment horizontal="center" vertical="center" wrapText="1"/>
    </xf>
    <xf numFmtId="15" fontId="0" fillId="0" borderId="1" xfId="0" applyNumberFormat="1" applyFont="1" applyBorder="1"/>
    <xf numFmtId="15" fontId="0" fillId="2" borderId="1" xfId="0" applyNumberFormat="1" applyFont="1" applyFill="1" applyBorder="1"/>
    <xf numFmtId="0" fontId="0" fillId="2" borderId="1" xfId="0" applyFont="1" applyFill="1" applyBorder="1"/>
    <xf numFmtId="0" fontId="0" fillId="6" borderId="1" xfId="0" applyFont="1" applyFill="1" applyBorder="1"/>
    <xf numFmtId="15" fontId="0" fillId="0" borderId="6" xfId="0" applyNumberFormat="1" applyFont="1" applyBorder="1"/>
    <xf numFmtId="15" fontId="0" fillId="0" borderId="1" xfId="0" applyNumberFormat="1" applyFont="1" applyFill="1" applyBorder="1"/>
    <xf numFmtId="0" fontId="0" fillId="0" borderId="4" xfId="0" applyFont="1" applyBorder="1"/>
    <xf numFmtId="0" fontId="0" fillId="0" borderId="2" xfId="0" applyFont="1" applyBorder="1"/>
    <xf numFmtId="0" fontId="0" fillId="11" borderId="1" xfId="0" applyFont="1" applyFill="1" applyBorder="1"/>
    <xf numFmtId="0" fontId="0" fillId="9" borderId="1" xfId="0" applyFont="1" applyFill="1" applyBorder="1"/>
    <xf numFmtId="0" fontId="0" fillId="12" borderId="1" xfId="0" applyFont="1" applyFill="1" applyBorder="1"/>
    <xf numFmtId="0" fontId="0" fillId="13" borderId="1" xfId="0" applyFont="1" applyFill="1" applyBorder="1"/>
    <xf numFmtId="0" fontId="0" fillId="13" borderId="1" xfId="0" applyFont="1" applyFill="1" applyBorder="1" applyAlignment="1">
      <alignment wrapText="1"/>
    </xf>
    <xf numFmtId="15" fontId="8" fillId="4" borderId="1" xfId="0" applyNumberFormat="1" applyFont="1" applyFill="1" applyBorder="1"/>
    <xf numFmtId="0" fontId="0" fillId="4" borderId="1" xfId="0" applyFont="1" applyFill="1" applyBorder="1"/>
    <xf numFmtId="0" fontId="0" fillId="4" borderId="1" xfId="0" applyFont="1" applyFill="1" applyBorder="1" applyAlignment="1">
      <alignment wrapText="1"/>
    </xf>
    <xf numFmtId="0" fontId="0" fillId="14" borderId="1" xfId="0" applyFont="1" applyFill="1" applyBorder="1"/>
    <xf numFmtId="0" fontId="0" fillId="14" borderId="1" xfId="0" applyFont="1" applyFill="1" applyBorder="1" applyAlignment="1">
      <alignment wrapText="1"/>
    </xf>
    <xf numFmtId="0" fontId="0" fillId="0" borderId="7" xfId="0" applyFont="1" applyBorder="1" applyAlignment="1">
      <alignment wrapText="1"/>
    </xf>
    <xf numFmtId="0" fontId="0" fillId="15" borderId="1" xfId="0" applyFont="1" applyFill="1" applyBorder="1"/>
    <xf numFmtId="0" fontId="0" fillId="15" borderId="1" xfId="0" applyFont="1" applyFill="1" applyBorder="1" applyAlignment="1">
      <alignment wrapText="1"/>
    </xf>
    <xf numFmtId="0" fontId="0" fillId="0" borderId="1" xfId="0" applyFont="1" applyBorder="1" applyAlignment="1">
      <alignment vertical="center"/>
    </xf>
    <xf numFmtId="0" fontId="0" fillId="0" borderId="1" xfId="0" applyFont="1" applyBorder="1" applyAlignment="1"/>
    <xf numFmtId="15" fontId="8" fillId="14" borderId="1" xfId="0" applyNumberFormat="1" applyFont="1" applyFill="1" applyBorder="1"/>
    <xf numFmtId="0" fontId="0" fillId="8" borderId="1" xfId="0" applyFont="1" applyFill="1" applyBorder="1" applyAlignment="1">
      <alignment wrapText="1"/>
    </xf>
    <xf numFmtId="15" fontId="8" fillId="15" borderId="1" xfId="0" applyNumberFormat="1" applyFont="1" applyFill="1" applyBorder="1"/>
    <xf numFmtId="15" fontId="8" fillId="0" borderId="1" xfId="0" applyNumberFormat="1" applyFont="1" applyFill="1" applyBorder="1" applyAlignment="1">
      <alignment vertical="center"/>
    </xf>
    <xf numFmtId="0" fontId="0" fillId="0" borderId="1" xfId="0" applyFont="1" applyFill="1" applyBorder="1" applyAlignment="1">
      <alignment vertical="center"/>
    </xf>
    <xf numFmtId="0" fontId="0" fillId="0" borderId="1" xfId="0" applyFont="1" applyFill="1" applyBorder="1" applyAlignment="1">
      <alignment vertical="center" wrapText="1"/>
    </xf>
    <xf numFmtId="0" fontId="0" fillId="0" borderId="1" xfId="0" applyFont="1" applyBorder="1" applyAlignment="1">
      <alignment vertical="center" wrapText="1"/>
    </xf>
    <xf numFmtId="0" fontId="0" fillId="0" borderId="7" xfId="0" applyFont="1" applyFill="1" applyBorder="1" applyAlignment="1">
      <alignment wrapText="1"/>
    </xf>
    <xf numFmtId="0" fontId="0" fillId="17" borderId="1" xfId="0" applyFont="1" applyFill="1" applyBorder="1"/>
    <xf numFmtId="0" fontId="0" fillId="17" borderId="1" xfId="0" applyFont="1" applyFill="1" applyBorder="1" applyAlignment="1">
      <alignment wrapText="1"/>
    </xf>
    <xf numFmtId="0" fontId="0" fillId="10" borderId="1" xfId="0" applyFont="1" applyFill="1" applyBorder="1"/>
    <xf numFmtId="0" fontId="0" fillId="10" borderId="1" xfId="0" applyFont="1" applyFill="1" applyBorder="1" applyAlignment="1">
      <alignment wrapText="1"/>
    </xf>
    <xf numFmtId="0" fontId="0" fillId="2" borderId="1" xfId="0" applyFont="1" applyFill="1" applyBorder="1" applyAlignment="1">
      <alignment wrapText="1"/>
    </xf>
    <xf numFmtId="0" fontId="0" fillId="0" borderId="1" xfId="0" applyFont="1" applyBorder="1" applyAlignment="1">
      <alignment horizontal="left" vertical="center" wrapText="1"/>
    </xf>
    <xf numFmtId="164" fontId="22" fillId="0" borderId="8" xfId="1" applyNumberFormat="1" applyFont="1" applyFill="1" applyBorder="1" applyAlignment="1">
      <alignment horizontal="center" vertical="center" wrapText="1"/>
    </xf>
    <xf numFmtId="164" fontId="22" fillId="0" borderId="0" xfId="1" applyNumberFormat="1" applyFont="1" applyFill="1" applyBorder="1" applyAlignment="1">
      <alignment horizontal="left" vertical="center"/>
    </xf>
    <xf numFmtId="15" fontId="11" fillId="5" borderId="1" xfId="0" applyNumberFormat="1" applyFont="1" applyFill="1" applyBorder="1" applyAlignment="1">
      <alignment vertical="center"/>
    </xf>
    <xf numFmtId="0" fontId="0" fillId="18" borderId="1" xfId="0" applyFont="1" applyFill="1" applyBorder="1"/>
    <xf numFmtId="15" fontId="8" fillId="0" borderId="13" xfId="0" applyNumberFormat="1" applyFont="1" applyFill="1" applyBorder="1" applyAlignment="1">
      <alignment vertical="center"/>
    </xf>
    <xf numFmtId="0" fontId="0" fillId="2" borderId="13" xfId="0" applyFont="1" applyFill="1" applyBorder="1"/>
    <xf numFmtId="0" fontId="0" fillId="0" borderId="13" xfId="0" applyFont="1" applyFill="1" applyBorder="1"/>
    <xf numFmtId="15" fontId="8" fillId="0" borderId="2" xfId="0" applyNumberFormat="1" applyFont="1" applyFill="1" applyBorder="1" applyAlignment="1">
      <alignment vertical="center"/>
    </xf>
    <xf numFmtId="0" fontId="0" fillId="0" borderId="2" xfId="0" applyFont="1" applyFill="1" applyBorder="1"/>
    <xf numFmtId="0" fontId="0" fillId="9" borderId="1" xfId="0" applyFont="1" applyFill="1" applyBorder="1" applyAlignment="1">
      <alignment wrapText="1"/>
    </xf>
    <xf numFmtId="0" fontId="0" fillId="18" borderId="1" xfId="0" applyFont="1" applyFill="1" applyBorder="1" applyAlignment="1">
      <alignment wrapText="1"/>
    </xf>
    <xf numFmtId="0" fontId="0" fillId="0" borderId="13" xfId="0" applyFont="1" applyBorder="1"/>
    <xf numFmtId="0" fontId="0" fillId="0" borderId="13" xfId="0" applyFont="1" applyBorder="1" applyAlignment="1">
      <alignment wrapText="1"/>
    </xf>
    <xf numFmtId="0" fontId="0" fillId="0" borderId="2" xfId="0" applyFont="1" applyBorder="1" applyAlignment="1">
      <alignment wrapText="1"/>
    </xf>
    <xf numFmtId="164" fontId="17" fillId="0" borderId="0" xfId="1" applyNumberFormat="1" applyFont="1" applyFill="1"/>
    <xf numFmtId="0" fontId="0" fillId="0" borderId="1" xfId="0" applyFont="1" applyBorder="1" applyAlignment="1">
      <alignment horizontal="left" wrapText="1"/>
    </xf>
    <xf numFmtId="15" fontId="8" fillId="0" borderId="1" xfId="0" applyNumberFormat="1" applyFont="1" applyFill="1" applyBorder="1" applyAlignment="1"/>
    <xf numFmtId="15" fontId="0" fillId="0" borderId="1" xfId="0" applyNumberFormat="1" applyFont="1" applyFill="1" applyBorder="1" applyAlignment="1">
      <alignment vertical="center"/>
    </xf>
    <xf numFmtId="15" fontId="0" fillId="2" borderId="1" xfId="0" applyNumberFormat="1" applyFont="1" applyFill="1" applyBorder="1" applyAlignment="1">
      <alignment vertical="center"/>
    </xf>
    <xf numFmtId="0" fontId="23" fillId="0" borderId="1" xfId="0" applyFont="1" applyBorder="1"/>
    <xf numFmtId="164" fontId="7" fillId="5" borderId="1" xfId="1" applyNumberFormat="1" applyFont="1" applyFill="1" applyBorder="1" applyAlignment="1">
      <alignment horizontal="left"/>
    </xf>
    <xf numFmtId="15" fontId="0" fillId="19" borderId="1" xfId="0" applyNumberFormat="1" applyFont="1" applyFill="1" applyBorder="1" applyAlignment="1">
      <alignment vertical="center"/>
    </xf>
    <xf numFmtId="0" fontId="0" fillId="19" borderId="1" xfId="0" applyFont="1" applyFill="1" applyBorder="1"/>
    <xf numFmtId="0" fontId="0" fillId="20" borderId="1" xfId="0" applyFont="1" applyFill="1" applyBorder="1"/>
    <xf numFmtId="164" fontId="0" fillId="18" borderId="0" xfId="1" applyNumberFormat="1" applyFont="1" applyFill="1"/>
    <xf numFmtId="0" fontId="23" fillId="0" borderId="1" xfId="0" applyFont="1" applyBorder="1" applyAlignment="1"/>
    <xf numFmtId="15" fontId="8" fillId="0" borderId="6" xfId="0" applyNumberFormat="1" applyFont="1" applyFill="1" applyBorder="1" applyAlignment="1">
      <alignment vertical="center"/>
    </xf>
    <xf numFmtId="15" fontId="12" fillId="0" borderId="1" xfId="0" applyNumberFormat="1" applyFont="1" applyFill="1" applyBorder="1" applyAlignment="1">
      <alignment vertical="center"/>
    </xf>
    <xf numFmtId="15" fontId="17" fillId="0" borderId="1" xfId="0" applyNumberFormat="1" applyFont="1" applyFill="1" applyBorder="1" applyAlignment="1">
      <alignment vertical="center"/>
    </xf>
    <xf numFmtId="0" fontId="11" fillId="5" borderId="1" xfId="0" applyFont="1" applyFill="1" applyBorder="1" applyAlignment="1">
      <alignment horizontal="left" vertical="center"/>
    </xf>
    <xf numFmtId="164" fontId="11" fillId="5" borderId="1" xfId="1" applyNumberFormat="1" applyFont="1" applyFill="1" applyBorder="1" applyAlignment="1">
      <alignment horizontal="left" vertical="center"/>
    </xf>
    <xf numFmtId="0" fontId="8" fillId="5" borderId="1" xfId="0" applyFont="1" applyFill="1" applyBorder="1" applyAlignment="1">
      <alignment horizontal="left" vertical="center"/>
    </xf>
    <xf numFmtId="164" fontId="8" fillId="5" borderId="1" xfId="1" applyNumberFormat="1" applyFont="1" applyFill="1" applyBorder="1" applyAlignment="1">
      <alignment horizontal="left" vertical="center"/>
    </xf>
    <xf numFmtId="164" fontId="11" fillId="5" borderId="18" xfId="1" applyNumberFormat="1" applyFont="1" applyFill="1" applyBorder="1" applyAlignment="1">
      <alignment vertical="center"/>
    </xf>
    <xf numFmtId="164" fontId="11" fillId="5" borderId="19" xfId="1" applyNumberFormat="1" applyFont="1" applyFill="1" applyBorder="1" applyAlignment="1">
      <alignment vertical="center"/>
    </xf>
    <xf numFmtId="164" fontId="0" fillId="0" borderId="7" xfId="1" applyNumberFormat="1" applyFont="1" applyFill="1" applyBorder="1"/>
    <xf numFmtId="164" fontId="11" fillId="5" borderId="6" xfId="1" applyNumberFormat="1" applyFont="1" applyFill="1" applyBorder="1" applyAlignment="1">
      <alignment vertical="center"/>
    </xf>
    <xf numFmtId="0" fontId="0" fillId="0" borderId="1" xfId="0" applyFont="1" applyBorder="1" applyAlignment="1">
      <alignment horizontal="left"/>
    </xf>
    <xf numFmtId="0" fontId="22" fillId="0" borderId="1" xfId="0" applyFont="1" applyBorder="1" applyAlignment="1">
      <alignment wrapText="1"/>
    </xf>
    <xf numFmtId="0" fontId="22" fillId="0" borderId="1" xfId="0" applyFont="1" applyFill="1" applyBorder="1"/>
    <xf numFmtId="0" fontId="22" fillId="2" borderId="1" xfId="0" applyFont="1" applyFill="1" applyBorder="1"/>
    <xf numFmtId="0" fontId="17" fillId="2" borderId="1" xfId="0" applyFont="1" applyFill="1" applyBorder="1"/>
    <xf numFmtId="0" fontId="0" fillId="23" borderId="1" xfId="0" applyFont="1" applyFill="1" applyBorder="1"/>
    <xf numFmtId="164" fontId="0" fillId="23" borderId="1" xfId="1" applyNumberFormat="1" applyFont="1" applyFill="1" applyBorder="1"/>
    <xf numFmtId="0" fontId="17" fillId="0" borderId="1" xfId="0" applyFont="1" applyBorder="1" applyAlignment="1">
      <alignment wrapText="1"/>
    </xf>
    <xf numFmtId="164" fontId="22" fillId="2" borderId="1" xfId="1" applyNumberFormat="1" applyFont="1" applyFill="1" applyBorder="1"/>
    <xf numFmtId="164" fontId="13" fillId="0" borderId="6" xfId="0" applyNumberFormat="1" applyFont="1" applyFill="1" applyBorder="1" applyAlignment="1">
      <alignment vertical="center"/>
    </xf>
    <xf numFmtId="0" fontId="22" fillId="24" borderId="1" xfId="0" applyFont="1" applyFill="1" applyBorder="1"/>
    <xf numFmtId="164" fontId="22" fillId="24" borderId="1" xfId="1" applyNumberFormat="1" applyFont="1" applyFill="1" applyBorder="1"/>
    <xf numFmtId="0" fontId="17" fillId="0" borderId="10" xfId="0" applyFont="1" applyFill="1" applyBorder="1"/>
    <xf numFmtId="164" fontId="17" fillId="0" borderId="0" xfId="1" applyNumberFormat="1" applyFont="1"/>
    <xf numFmtId="0" fontId="22" fillId="25" borderId="1" xfId="0" applyFont="1" applyFill="1" applyBorder="1"/>
    <xf numFmtId="164" fontId="22" fillId="25" borderId="1" xfId="1" applyNumberFormat="1" applyFont="1" applyFill="1" applyBorder="1"/>
    <xf numFmtId="0" fontId="22" fillId="25" borderId="1" xfId="0" applyFont="1" applyFill="1" applyBorder="1" applyAlignment="1">
      <alignment wrapText="1"/>
    </xf>
    <xf numFmtId="0" fontId="17" fillId="24" borderId="1" xfId="0" applyFont="1" applyFill="1" applyBorder="1"/>
    <xf numFmtId="0" fontId="13" fillId="0" borderId="1" xfId="0" applyFont="1" applyFill="1" applyBorder="1"/>
    <xf numFmtId="164" fontId="26" fillId="0" borderId="0" xfId="1" applyNumberFormat="1" applyFont="1"/>
    <xf numFmtId="0" fontId="0" fillId="0" borderId="6" xfId="0" applyFont="1" applyBorder="1" applyAlignment="1">
      <alignment wrapText="1"/>
    </xf>
    <xf numFmtId="0" fontId="8" fillId="24" borderId="1" xfId="0" applyFont="1" applyFill="1" applyBorder="1"/>
    <xf numFmtId="164" fontId="8" fillId="24" borderId="1" xfId="1" applyNumberFormat="1" applyFont="1" applyFill="1" applyBorder="1"/>
    <xf numFmtId="0" fontId="8" fillId="0" borderId="1" xfId="0" applyFont="1" applyFill="1" applyBorder="1" applyAlignment="1">
      <alignment horizontal="right" vertical="center"/>
    </xf>
    <xf numFmtId="0" fontId="22" fillId="4" borderId="1" xfId="0" applyFont="1" applyFill="1" applyBorder="1"/>
    <xf numFmtId="164" fontId="22" fillId="4" borderId="1" xfId="1" applyNumberFormat="1" applyFont="1" applyFill="1" applyBorder="1"/>
    <xf numFmtId="0" fontId="8" fillId="0" borderId="1" xfId="0" applyFont="1" applyFill="1" applyBorder="1" applyAlignment="1">
      <alignment horizontal="left" vertical="center"/>
    </xf>
    <xf numFmtId="0" fontId="17" fillId="0" borderId="1" xfId="0" applyFont="1" applyFill="1" applyBorder="1" applyAlignment="1">
      <alignment wrapText="1"/>
    </xf>
    <xf numFmtId="164" fontId="27" fillId="0" borderId="0" xfId="1" applyNumberFormat="1" applyFont="1"/>
    <xf numFmtId="43" fontId="0" fillId="0" borderId="0" xfId="1" applyNumberFormat="1" applyFont="1"/>
    <xf numFmtId="0" fontId="0" fillId="26" borderId="1" xfId="0" applyFont="1" applyFill="1" applyBorder="1"/>
    <xf numFmtId="0" fontId="0" fillId="26" borderId="1" xfId="0" applyFont="1" applyFill="1" applyBorder="1" applyAlignment="1">
      <alignment wrapText="1"/>
    </xf>
    <xf numFmtId="0" fontId="0" fillId="27" borderId="1" xfId="0" applyFont="1" applyFill="1" applyBorder="1"/>
    <xf numFmtId="164" fontId="0" fillId="27" borderId="1" xfId="1" applyNumberFormat="1" applyFont="1" applyFill="1" applyBorder="1"/>
    <xf numFmtId="14" fontId="0" fillId="0" borderId="1" xfId="0" applyNumberFormat="1" applyFill="1" applyBorder="1"/>
    <xf numFmtId="0" fontId="10" fillId="2" borderId="6" xfId="0" applyFont="1" applyFill="1" applyBorder="1"/>
    <xf numFmtId="164" fontId="10" fillId="2" borderId="6" xfId="1" applyNumberFormat="1" applyFont="1" applyFill="1" applyBorder="1"/>
    <xf numFmtId="0" fontId="0" fillId="2" borderId="1" xfId="0" applyFont="1" applyFill="1" applyBorder="1" applyAlignment="1">
      <alignment vertical="center"/>
    </xf>
    <xf numFmtId="0" fontId="0" fillId="2" borderId="1" xfId="0" applyFont="1" applyFill="1" applyBorder="1" applyAlignment="1">
      <alignment vertical="center" wrapText="1"/>
    </xf>
    <xf numFmtId="164" fontId="0" fillId="2" borderId="1" xfId="1" applyNumberFormat="1" applyFont="1" applyFill="1" applyBorder="1" applyAlignment="1">
      <alignment vertical="center"/>
    </xf>
    <xf numFmtId="43" fontId="0" fillId="0" borderId="0" xfId="0" applyNumberFormat="1"/>
    <xf numFmtId="0" fontId="22" fillId="0" borderId="2" xfId="0" applyFont="1" applyBorder="1"/>
    <xf numFmtId="164" fontId="0" fillId="0" borderId="1" xfId="1" applyNumberFormat="1" applyFont="1" applyBorder="1" applyAlignment="1">
      <alignment horizontal="center" vertical="center"/>
    </xf>
    <xf numFmtId="164" fontId="0" fillId="0" borderId="1" xfId="1" applyNumberFormat="1" applyFont="1" applyFill="1" applyBorder="1" applyAlignment="1">
      <alignment horizontal="center" vertical="center" wrapText="1"/>
    </xf>
    <xf numFmtId="164" fontId="4" fillId="0" borderId="1" xfId="1" applyNumberFormat="1" applyFont="1" applyBorder="1" applyAlignment="1">
      <alignment vertical="center"/>
    </xf>
    <xf numFmtId="0" fontId="3" fillId="0" borderId="0" xfId="0" applyFont="1" applyBorder="1" applyAlignment="1">
      <alignment horizontal="center" vertical="center" wrapText="1"/>
    </xf>
    <xf numFmtId="164" fontId="4" fillId="0" borderId="0" xfId="1" applyNumberFormat="1" applyFont="1" applyBorder="1" applyAlignment="1">
      <alignment vertical="center"/>
    </xf>
    <xf numFmtId="164" fontId="5" fillId="0" borderId="0" xfId="1" applyNumberFormat="1" applyFont="1" applyBorder="1" applyAlignment="1">
      <alignment vertical="center"/>
    </xf>
    <xf numFmtId="0" fontId="6" fillId="0" borderId="27" xfId="0" applyFont="1" applyBorder="1" applyAlignment="1">
      <alignment horizontal="center" vertical="center"/>
    </xf>
    <xf numFmtId="0" fontId="6" fillId="0" borderId="28" xfId="0" applyFont="1" applyBorder="1" applyAlignment="1">
      <alignment horizontal="center" vertical="center"/>
    </xf>
    <xf numFmtId="164" fontId="6" fillId="0" borderId="28" xfId="1" applyNumberFormat="1" applyFont="1" applyBorder="1" applyAlignment="1">
      <alignment horizontal="center" vertical="center"/>
    </xf>
    <xf numFmtId="164" fontId="6" fillId="0" borderId="29" xfId="1" applyNumberFormat="1" applyFont="1" applyBorder="1" applyAlignment="1">
      <alignment horizontal="center" vertical="center"/>
    </xf>
    <xf numFmtId="15" fontId="29" fillId="0" borderId="1" xfId="0" applyNumberFormat="1" applyFont="1" applyFill="1" applyBorder="1" applyAlignment="1">
      <alignment vertical="center"/>
    </xf>
    <xf numFmtId="164" fontId="4" fillId="0" borderId="2" xfId="1" applyNumberFormat="1" applyFont="1" applyBorder="1"/>
    <xf numFmtId="164" fontId="4" fillId="0" borderId="2" xfId="1" applyNumberFormat="1" applyFont="1" applyBorder="1" applyAlignment="1">
      <alignment horizontal="center" vertical="center"/>
    </xf>
    <xf numFmtId="15" fontId="29" fillId="0" borderId="2" xfId="0" quotePrefix="1" applyNumberFormat="1" applyFont="1" applyFill="1" applyBorder="1" applyAlignment="1">
      <alignment vertical="center"/>
    </xf>
    <xf numFmtId="15" fontId="29" fillId="0" borderId="2" xfId="0" quotePrefix="1" applyNumberFormat="1" applyFont="1" applyFill="1" applyBorder="1" applyAlignment="1">
      <alignment horizontal="center" vertical="center"/>
    </xf>
    <xf numFmtId="164" fontId="4" fillId="0" borderId="2" xfId="1" applyNumberFormat="1" applyFont="1" applyBorder="1" applyAlignment="1">
      <alignment wrapText="1"/>
    </xf>
    <xf numFmtId="164" fontId="4" fillId="0" borderId="2" xfId="1" applyNumberFormat="1" applyFont="1" applyBorder="1" applyAlignment="1">
      <alignment vertical="center"/>
    </xf>
    <xf numFmtId="0" fontId="4" fillId="0" borderId="0" xfId="0" applyFont="1"/>
    <xf numFmtId="164" fontId="4" fillId="0" borderId="1" xfId="1" applyNumberFormat="1" applyFont="1" applyBorder="1" applyAlignment="1">
      <alignment horizontal="center" vertical="center"/>
    </xf>
    <xf numFmtId="164" fontId="4" fillId="0" borderId="1" xfId="1" applyNumberFormat="1" applyFont="1" applyBorder="1"/>
    <xf numFmtId="0" fontId="4" fillId="0" borderId="1" xfId="0" applyFont="1" applyBorder="1" applyAlignment="1">
      <alignment horizontal="center"/>
    </xf>
    <xf numFmtId="0" fontId="16" fillId="28" borderId="25" xfId="0" applyFont="1" applyFill="1" applyBorder="1" applyAlignment="1">
      <alignment horizontal="center"/>
    </xf>
    <xf numFmtId="164" fontId="6" fillId="28" borderId="28" xfId="1" applyNumberFormat="1" applyFont="1" applyFill="1" applyBorder="1" applyAlignment="1">
      <alignment horizontal="center" vertical="center"/>
    </xf>
    <xf numFmtId="164" fontId="4" fillId="28" borderId="2" xfId="1" applyNumberFormat="1" applyFont="1" applyFill="1" applyBorder="1"/>
    <xf numFmtId="164" fontId="4" fillId="28" borderId="1" xfId="1" applyNumberFormat="1" applyFont="1" applyFill="1" applyBorder="1" applyAlignment="1">
      <alignment vertical="center"/>
    </xf>
    <xf numFmtId="164" fontId="4" fillId="28" borderId="1" xfId="1" applyNumberFormat="1" applyFont="1" applyFill="1" applyBorder="1"/>
    <xf numFmtId="164" fontId="5" fillId="28" borderId="3" xfId="1" applyNumberFormat="1" applyFont="1" applyFill="1" applyBorder="1"/>
    <xf numFmtId="164" fontId="30" fillId="0" borderId="1" xfId="1" applyNumberFormat="1" applyFont="1" applyBorder="1" applyAlignment="1">
      <alignment vertical="center"/>
    </xf>
    <xf numFmtId="164" fontId="30" fillId="0" borderId="1" xfId="1" applyNumberFormat="1" applyFont="1" applyBorder="1"/>
    <xf numFmtId="164" fontId="0" fillId="4" borderId="1" xfId="1" applyNumberFormat="1" applyFont="1" applyFill="1" applyBorder="1" applyAlignment="1">
      <alignment vertical="center"/>
    </xf>
    <xf numFmtId="164" fontId="1" fillId="0" borderId="1" xfId="1" applyNumberFormat="1" applyFont="1" applyFill="1" applyBorder="1" applyAlignment="1">
      <alignment vertical="center"/>
    </xf>
    <xf numFmtId="164" fontId="17" fillId="0" borderId="1" xfId="1" applyNumberFormat="1" applyFont="1" applyFill="1" applyBorder="1" applyAlignment="1">
      <alignment vertical="center"/>
    </xf>
    <xf numFmtId="164" fontId="0" fillId="0" borderId="7" xfId="1" applyNumberFormat="1" applyFont="1" applyFill="1" applyBorder="1" applyAlignment="1">
      <alignment vertical="center"/>
    </xf>
    <xf numFmtId="164" fontId="0" fillId="0" borderId="2" xfId="1" applyNumberFormat="1" applyFont="1" applyFill="1" applyBorder="1" applyAlignment="1">
      <alignment vertical="center"/>
    </xf>
    <xf numFmtId="164" fontId="4" fillId="0" borderId="1" xfId="1" applyNumberFormat="1" applyFont="1" applyBorder="1" applyAlignment="1">
      <alignment horizontal="right" vertical="center"/>
    </xf>
    <xf numFmtId="164" fontId="32" fillId="0" borderId="1" xfId="1" applyNumberFormat="1" applyFont="1" applyBorder="1" applyAlignment="1">
      <alignment horizontal="right" vertical="center"/>
    </xf>
    <xf numFmtId="164" fontId="4" fillId="0" borderId="1" xfId="1" applyNumberFormat="1" applyFont="1" applyBorder="1" applyAlignment="1">
      <alignment horizontal="center"/>
    </xf>
    <xf numFmtId="164" fontId="10" fillId="0" borderId="1" xfId="1" applyNumberFormat="1" applyFont="1" applyBorder="1" applyAlignment="1">
      <alignment vertical="center"/>
    </xf>
    <xf numFmtId="164" fontId="6" fillId="0" borderId="1" xfId="1" applyNumberFormat="1" applyFont="1" applyBorder="1" applyAlignment="1">
      <alignment vertical="center"/>
    </xf>
    <xf numFmtId="0" fontId="6" fillId="0" borderId="7" xfId="0" quotePrefix="1" applyFont="1" applyBorder="1" applyAlignment="1">
      <alignment horizontal="center" vertical="center" wrapText="1"/>
    </xf>
    <xf numFmtId="0" fontId="3" fillId="0" borderId="1" xfId="0" applyFont="1" applyBorder="1" applyAlignment="1">
      <alignment horizontal="right" vertical="center" wrapText="1"/>
    </xf>
    <xf numFmtId="165" fontId="3" fillId="0" borderId="1" xfId="0" applyNumberFormat="1" applyFont="1" applyBorder="1" applyAlignment="1">
      <alignment vertical="center" wrapText="1"/>
    </xf>
    <xf numFmtId="164" fontId="3" fillId="0" borderId="1" xfId="1" applyNumberFormat="1" applyFont="1" applyBorder="1" applyAlignment="1">
      <alignment horizontal="right" vertical="center"/>
    </xf>
    <xf numFmtId="164" fontId="10" fillId="0" borderId="1" xfId="1" applyNumberFormat="1" applyFont="1" applyBorder="1" applyAlignment="1">
      <alignment horizontal="right"/>
    </xf>
    <xf numFmtId="164" fontId="10" fillId="0" borderId="1" xfId="1" applyNumberFormat="1" applyFont="1" applyBorder="1" applyAlignment="1">
      <alignment horizontal="right" vertical="center"/>
    </xf>
    <xf numFmtId="164" fontId="3" fillId="0" borderId="1" xfId="1" applyNumberFormat="1" applyFont="1" applyBorder="1" applyAlignment="1">
      <alignment vertical="center"/>
    </xf>
    <xf numFmtId="164" fontId="4" fillId="0" borderId="0" xfId="0" applyNumberFormat="1" applyFont="1"/>
    <xf numFmtId="0" fontId="0" fillId="0" borderId="10" xfId="0" applyBorder="1"/>
    <xf numFmtId="0" fontId="8" fillId="0" borderId="0" xfId="0" applyFont="1" applyFill="1" applyBorder="1"/>
    <xf numFmtId="0" fontId="33" fillId="0" borderId="1" xfId="0" applyFont="1" applyBorder="1" applyAlignment="1">
      <alignment horizontal="center" vertical="center" wrapText="1"/>
    </xf>
    <xf numFmtId="164" fontId="33" fillId="0" borderId="1" xfId="1" applyNumberFormat="1" applyFont="1" applyBorder="1" applyAlignment="1">
      <alignment horizontal="center" vertical="center" wrapText="1"/>
    </xf>
    <xf numFmtId="0" fontId="33" fillId="0" borderId="0" xfId="0" applyFont="1"/>
    <xf numFmtId="14" fontId="13" fillId="0" borderId="1" xfId="0" applyNumberFormat="1" applyFont="1" applyBorder="1"/>
    <xf numFmtId="0" fontId="14" fillId="0" borderId="1" xfId="0" applyFont="1" applyFill="1" applyBorder="1"/>
    <xf numFmtId="164" fontId="13" fillId="0" borderId="1" xfId="1" applyNumberFormat="1" applyFont="1" applyBorder="1" applyAlignment="1">
      <alignment horizontal="center" vertical="center" wrapText="1"/>
    </xf>
    <xf numFmtId="0" fontId="13" fillId="0" borderId="1" xfId="0" applyFont="1" applyBorder="1" applyAlignment="1">
      <alignment horizontal="left" vertical="center" wrapText="1"/>
    </xf>
    <xf numFmtId="0" fontId="13" fillId="0" borderId="1" xfId="0" applyFont="1" applyBorder="1"/>
    <xf numFmtId="164" fontId="13" fillId="0" borderId="1" xfId="1" applyNumberFormat="1" applyFont="1" applyBorder="1"/>
    <xf numFmtId="0" fontId="13" fillId="0" borderId="0" xfId="0" applyFont="1"/>
    <xf numFmtId="164" fontId="13" fillId="0" borderId="1" xfId="1" applyNumberFormat="1" applyFont="1" applyFill="1" applyBorder="1"/>
    <xf numFmtId="0" fontId="13" fillId="0" borderId="10" xfId="0" applyFont="1" applyFill="1" applyBorder="1"/>
    <xf numFmtId="0" fontId="14" fillId="0" borderId="1" xfId="0" applyFont="1" applyBorder="1"/>
    <xf numFmtId="164" fontId="13" fillId="0" borderId="0" xfId="1" applyNumberFormat="1" applyFont="1"/>
    <xf numFmtId="0" fontId="18" fillId="0" borderId="1" xfId="0" applyFont="1" applyBorder="1"/>
    <xf numFmtId="164" fontId="18" fillId="0" borderId="1" xfId="1" applyNumberFormat="1" applyFont="1" applyBorder="1"/>
    <xf numFmtId="164" fontId="25" fillId="0" borderId="1" xfId="0" applyNumberFormat="1" applyFont="1" applyFill="1" applyBorder="1" applyAlignment="1">
      <alignment vertical="center"/>
    </xf>
    <xf numFmtId="0" fontId="13" fillId="0" borderId="10" xfId="0" applyFont="1" applyFill="1" applyBorder="1" applyAlignment="1">
      <alignment wrapText="1"/>
    </xf>
    <xf numFmtId="0" fontId="14" fillId="0" borderId="1" xfId="0" applyFont="1" applyFill="1" applyBorder="1" applyAlignment="1">
      <alignment wrapText="1"/>
    </xf>
    <xf numFmtId="0" fontId="13" fillId="0" borderId="0" xfId="0" applyFont="1" applyAlignment="1">
      <alignment wrapText="1"/>
    </xf>
    <xf numFmtId="0" fontId="13" fillId="0" borderId="1" xfId="0" applyFont="1" applyBorder="1" applyAlignment="1">
      <alignment wrapText="1"/>
    </xf>
    <xf numFmtId="0" fontId="13" fillId="0" borderId="1" xfId="0" applyFont="1" applyFill="1" applyBorder="1" applyAlignment="1">
      <alignment wrapText="1"/>
    </xf>
    <xf numFmtId="164" fontId="0" fillId="26" borderId="1" xfId="1" applyNumberFormat="1" applyFont="1" applyFill="1" applyBorder="1"/>
    <xf numFmtId="0" fontId="0" fillId="29" borderId="1" xfId="0" applyFont="1" applyFill="1" applyBorder="1"/>
    <xf numFmtId="164" fontId="0" fillId="29" borderId="1" xfId="1" applyNumberFormat="1" applyFont="1" applyFill="1" applyBorder="1"/>
    <xf numFmtId="164" fontId="34" fillId="0" borderId="2" xfId="1" applyNumberFormat="1" applyFont="1" applyBorder="1" applyAlignment="1">
      <alignment wrapText="1"/>
    </xf>
    <xf numFmtId="164" fontId="4" fillId="28" borderId="3" xfId="1" applyNumberFormat="1" applyFont="1" applyFill="1" applyBorder="1"/>
    <xf numFmtId="15" fontId="29" fillId="0" borderId="1" xfId="0" quotePrefix="1" applyNumberFormat="1" applyFont="1" applyFill="1" applyBorder="1" applyAlignment="1">
      <alignment vertical="center"/>
    </xf>
    <xf numFmtId="164" fontId="13" fillId="0" borderId="2" xfId="0" applyNumberFormat="1" applyFont="1" applyFill="1" applyBorder="1" applyAlignment="1">
      <alignment vertical="center"/>
    </xf>
    <xf numFmtId="43" fontId="0" fillId="0" borderId="0" xfId="0" applyNumberFormat="1" applyFont="1"/>
    <xf numFmtId="3" fontId="0" fillId="0" borderId="0" xfId="0" applyNumberFormat="1"/>
    <xf numFmtId="0" fontId="0" fillId="2" borderId="10" xfId="0" applyFill="1" applyBorder="1"/>
    <xf numFmtId="0" fontId="17" fillId="2" borderId="10" xfId="0" applyFont="1" applyFill="1" applyBorder="1"/>
    <xf numFmtId="0" fontId="3" fillId="0" borderId="1" xfId="0" applyFont="1" applyBorder="1" applyAlignment="1">
      <alignment horizontal="right" vertical="center" wrapText="1"/>
    </xf>
    <xf numFmtId="164" fontId="4" fillId="0" borderId="1" xfId="1" applyNumberFormat="1" applyFont="1" applyBorder="1" applyAlignment="1">
      <alignment wrapText="1"/>
    </xf>
    <xf numFmtId="0" fontId="0" fillId="0" borderId="4" xfId="0" applyFont="1" applyFill="1" applyBorder="1"/>
    <xf numFmtId="164" fontId="0" fillId="0" borderId="7" xfId="1" applyNumberFormat="1" applyFont="1" applyBorder="1"/>
    <xf numFmtId="0" fontId="35" fillId="0" borderId="1" xfId="0" applyFont="1" applyBorder="1" applyAlignment="1">
      <alignment vertical="center"/>
    </xf>
    <xf numFmtId="0" fontId="35" fillId="0" borderId="1" xfId="0" applyFont="1" applyBorder="1" applyAlignment="1">
      <alignment vertical="center" wrapText="1"/>
    </xf>
    <xf numFmtId="0" fontId="4" fillId="0" borderId="1" xfId="0" applyFont="1" applyBorder="1" applyAlignment="1">
      <alignment wrapText="1"/>
    </xf>
    <xf numFmtId="14" fontId="4" fillId="0" borderId="6" xfId="0" applyNumberFormat="1" applyFont="1" applyBorder="1"/>
    <xf numFmtId="164" fontId="0" fillId="0" borderId="9" xfId="1" applyNumberFormat="1" applyFont="1" applyBorder="1"/>
    <xf numFmtId="164" fontId="0" fillId="0" borderId="12" xfId="1" applyNumberFormat="1" applyFont="1" applyBorder="1"/>
    <xf numFmtId="164" fontId="0" fillId="0" borderId="1" xfId="0" applyNumberFormat="1" applyFont="1" applyBorder="1"/>
    <xf numFmtId="164" fontId="13" fillId="0" borderId="0" xfId="0" applyNumberFormat="1" applyFont="1"/>
    <xf numFmtId="164" fontId="4" fillId="0" borderId="1" xfId="1" applyNumberFormat="1" applyFont="1" applyBorder="1" applyAlignment="1">
      <alignment vertical="center" wrapText="1"/>
    </xf>
    <xf numFmtId="0" fontId="6" fillId="24" borderId="7" xfId="0" quotePrefix="1" applyFont="1" applyFill="1" applyBorder="1" applyAlignment="1">
      <alignment horizontal="center" vertical="center" wrapText="1"/>
    </xf>
    <xf numFmtId="0" fontId="3" fillId="24" borderId="0" xfId="0" applyFont="1" applyFill="1" applyBorder="1" applyAlignment="1">
      <alignment horizontal="center" vertical="center" wrapText="1"/>
    </xf>
    <xf numFmtId="164" fontId="0" fillId="24" borderId="0" xfId="1" applyNumberFormat="1" applyFont="1" applyFill="1" applyBorder="1"/>
    <xf numFmtId="0" fontId="3" fillId="24" borderId="1" xfId="0" applyFont="1" applyFill="1" applyBorder="1" applyAlignment="1">
      <alignment horizontal="right" vertical="center" wrapText="1"/>
    </xf>
    <xf numFmtId="164" fontId="10" fillId="24" borderId="1" xfId="1" applyNumberFormat="1" applyFont="1" applyFill="1" applyBorder="1" applyAlignment="1">
      <alignment vertical="center"/>
    </xf>
    <xf numFmtId="164" fontId="4" fillId="24" borderId="0" xfId="1" applyNumberFormat="1" applyFont="1" applyFill="1" applyBorder="1" applyAlignment="1">
      <alignment vertical="center"/>
    </xf>
    <xf numFmtId="164" fontId="32" fillId="24" borderId="1" xfId="1" applyNumberFormat="1" applyFont="1" applyFill="1" applyBorder="1" applyAlignment="1">
      <alignment horizontal="right" vertical="center"/>
    </xf>
    <xf numFmtId="165" fontId="3" fillId="24" borderId="37" xfId="0" applyNumberFormat="1" applyFont="1" applyFill="1" applyBorder="1" applyAlignment="1">
      <alignment vertical="center" wrapText="1"/>
    </xf>
    <xf numFmtId="164" fontId="10" fillId="24" borderId="37" xfId="1" applyNumberFormat="1" applyFont="1" applyFill="1" applyBorder="1" applyAlignment="1">
      <alignment horizontal="right"/>
    </xf>
    <xf numFmtId="164" fontId="10" fillId="24" borderId="37" xfId="1" applyNumberFormat="1" applyFont="1" applyFill="1" applyBorder="1" applyAlignment="1">
      <alignment horizontal="right" vertical="center"/>
    </xf>
    <xf numFmtId="164" fontId="10" fillId="24" borderId="37" xfId="1" applyNumberFormat="1" applyFont="1" applyFill="1" applyBorder="1" applyAlignment="1">
      <alignment vertical="center"/>
    </xf>
    <xf numFmtId="164" fontId="3" fillId="24" borderId="28" xfId="1" applyNumberFormat="1" applyFont="1" applyFill="1" applyBorder="1" applyAlignment="1">
      <alignment vertical="center"/>
    </xf>
    <xf numFmtId="164" fontId="5" fillId="24" borderId="23" xfId="1" applyNumberFormat="1" applyFont="1" applyFill="1" applyBorder="1" applyAlignment="1">
      <alignment vertical="center"/>
    </xf>
    <xf numFmtId="164" fontId="0" fillId="24" borderId="23" xfId="1" applyNumberFormat="1" applyFont="1" applyFill="1" applyBorder="1"/>
    <xf numFmtId="164" fontId="3" fillId="24" borderId="28" xfId="1" applyNumberFormat="1" applyFont="1" applyFill="1" applyBorder="1" applyAlignment="1">
      <alignment horizontal="right" vertical="center"/>
    </xf>
    <xf numFmtId="164" fontId="3" fillId="24" borderId="29" xfId="1" applyNumberFormat="1" applyFont="1" applyFill="1" applyBorder="1" applyAlignment="1">
      <alignment vertical="center"/>
    </xf>
    <xf numFmtId="0" fontId="16" fillId="27" borderId="25" xfId="0" applyFont="1" applyFill="1" applyBorder="1" applyAlignment="1">
      <alignment horizontal="center"/>
    </xf>
    <xf numFmtId="0" fontId="6" fillId="27" borderId="27" xfId="0" applyFont="1" applyFill="1" applyBorder="1" applyAlignment="1">
      <alignment horizontal="center" vertical="center"/>
    </xf>
    <xf numFmtId="0" fontId="6" fillId="27" borderId="28" xfId="0" applyFont="1" applyFill="1" applyBorder="1" applyAlignment="1">
      <alignment horizontal="center" vertical="center"/>
    </xf>
    <xf numFmtId="164" fontId="6" fillId="27" borderId="28" xfId="1" applyNumberFormat="1" applyFont="1" applyFill="1" applyBorder="1" applyAlignment="1">
      <alignment horizontal="center" vertical="center"/>
    </xf>
    <xf numFmtId="164" fontId="6" fillId="27" borderId="29" xfId="1" applyNumberFormat="1" applyFont="1" applyFill="1" applyBorder="1" applyAlignment="1">
      <alignment horizontal="center" vertical="center"/>
    </xf>
    <xf numFmtId="15" fontId="29" fillId="27" borderId="1" xfId="0" applyNumberFormat="1" applyFont="1" applyFill="1" applyBorder="1" applyAlignment="1">
      <alignment vertical="center"/>
    </xf>
    <xf numFmtId="0" fontId="4" fillId="27" borderId="1" xfId="0" applyFont="1" applyFill="1" applyBorder="1" applyAlignment="1">
      <alignment wrapText="1"/>
    </xf>
    <xf numFmtId="164" fontId="4" fillId="27" borderId="2" xfId="1" applyNumberFormat="1" applyFont="1" applyFill="1" applyBorder="1" applyAlignment="1">
      <alignment horizontal="center" vertical="center"/>
    </xf>
    <xf numFmtId="164" fontId="4" fillId="27" borderId="2" xfId="1" applyNumberFormat="1" applyFont="1" applyFill="1" applyBorder="1" applyAlignment="1">
      <alignment vertical="center"/>
    </xf>
    <xf numFmtId="164" fontId="4" fillId="27" borderId="2" xfId="1" applyNumberFormat="1" applyFont="1" applyFill="1" applyBorder="1"/>
    <xf numFmtId="15" fontId="29" fillId="27" borderId="1" xfId="0" quotePrefix="1" applyNumberFormat="1" applyFont="1" applyFill="1" applyBorder="1" applyAlignment="1">
      <alignment vertical="center"/>
    </xf>
    <xf numFmtId="0" fontId="4" fillId="27" borderId="1" xfId="0" applyFont="1" applyFill="1" applyBorder="1" applyAlignment="1">
      <alignment horizontal="center"/>
    </xf>
    <xf numFmtId="164" fontId="4" fillId="27" borderId="1" xfId="1" applyNumberFormat="1" applyFont="1" applyFill="1" applyBorder="1"/>
    <xf numFmtId="164" fontId="4" fillId="27" borderId="1" xfId="1" applyNumberFormat="1" applyFont="1" applyFill="1" applyBorder="1" applyAlignment="1">
      <alignment vertical="center"/>
    </xf>
    <xf numFmtId="0" fontId="4" fillId="27" borderId="1" xfId="0" applyFont="1" applyFill="1" applyBorder="1"/>
    <xf numFmtId="164" fontId="4" fillId="27" borderId="1" xfId="1" applyNumberFormat="1" applyFont="1" applyFill="1" applyBorder="1" applyAlignment="1">
      <alignment vertical="center" wrapText="1"/>
    </xf>
    <xf numFmtId="164" fontId="4" fillId="27" borderId="1" xfId="1" applyNumberFormat="1" applyFont="1" applyFill="1" applyBorder="1" applyAlignment="1">
      <alignment horizontal="center" vertical="center"/>
    </xf>
    <xf numFmtId="15" fontId="29" fillId="27" borderId="2" xfId="0" quotePrefix="1" applyNumberFormat="1" applyFont="1" applyFill="1" applyBorder="1" applyAlignment="1">
      <alignment horizontal="center" vertical="center"/>
    </xf>
    <xf numFmtId="164" fontId="4" fillId="27" borderId="2" xfId="1" applyNumberFormat="1" applyFont="1" applyFill="1" applyBorder="1" applyAlignment="1">
      <alignment wrapText="1"/>
    </xf>
    <xf numFmtId="164" fontId="4" fillId="27" borderId="1" xfId="1" applyNumberFormat="1" applyFont="1" applyFill="1" applyBorder="1" applyAlignment="1">
      <alignment wrapText="1"/>
    </xf>
    <xf numFmtId="164" fontId="34" fillId="27" borderId="2" xfId="1" applyNumberFormat="1" applyFont="1" applyFill="1" applyBorder="1" applyAlignment="1">
      <alignment wrapText="1"/>
    </xf>
    <xf numFmtId="164" fontId="30" fillId="27" borderId="1" xfId="1" applyNumberFormat="1" applyFont="1" applyFill="1" applyBorder="1"/>
    <xf numFmtId="164" fontId="5" fillId="27" borderId="3" xfId="1" applyNumberFormat="1" applyFont="1" applyFill="1" applyBorder="1"/>
    <xf numFmtId="164" fontId="30" fillId="27" borderId="1" xfId="1" applyNumberFormat="1" applyFont="1" applyFill="1" applyBorder="1" applyAlignment="1">
      <alignment vertical="center"/>
    </xf>
    <xf numFmtId="164" fontId="0" fillId="0" borderId="6" xfId="1" applyNumberFormat="1" applyFont="1" applyFill="1" applyBorder="1" applyAlignment="1">
      <alignment vertical="center"/>
    </xf>
    <xf numFmtId="10" fontId="0" fillId="0" borderId="0" xfId="2" applyNumberFormat="1" applyFont="1"/>
    <xf numFmtId="164" fontId="0" fillId="0" borderId="0" xfId="1" applyNumberFormat="1" applyFont="1" applyProtection="1">
      <protection locked="0"/>
    </xf>
    <xf numFmtId="0" fontId="3" fillId="24" borderId="1" xfId="0" applyFont="1" applyFill="1" applyBorder="1" applyAlignment="1">
      <alignment horizontal="right" vertical="center" wrapText="1"/>
    </xf>
    <xf numFmtId="0" fontId="16" fillId="27" borderId="25" xfId="0" applyFont="1" applyFill="1" applyBorder="1" applyAlignment="1">
      <alignment horizontal="center"/>
    </xf>
    <xf numFmtId="0" fontId="29" fillId="0" borderId="1" xfId="0" applyFont="1" applyBorder="1"/>
    <xf numFmtId="164" fontId="37" fillId="0" borderId="0" xfId="1" applyNumberFormat="1" applyFont="1"/>
    <xf numFmtId="0" fontId="4" fillId="27" borderId="1" xfId="0" quotePrefix="1" applyFont="1" applyFill="1" applyBorder="1"/>
    <xf numFmtId="0" fontId="38" fillId="0" borderId="1" xfId="0" applyFont="1" applyBorder="1"/>
    <xf numFmtId="164" fontId="38" fillId="0" borderId="1" xfId="1" applyNumberFormat="1" applyFont="1" applyBorder="1"/>
    <xf numFmtId="9" fontId="0" fillId="0" borderId="0" xfId="0" applyNumberFormat="1" applyFont="1"/>
    <xf numFmtId="0" fontId="39" fillId="0" borderId="1" xfId="0" applyFont="1" applyBorder="1"/>
    <xf numFmtId="164" fontId="39" fillId="0" borderId="1" xfId="1" applyNumberFormat="1" applyFont="1" applyBorder="1"/>
    <xf numFmtId="0" fontId="16" fillId="27" borderId="25" xfId="0" applyFont="1" applyFill="1" applyBorder="1" applyAlignment="1">
      <alignment horizontal="center"/>
    </xf>
    <xf numFmtId="0" fontId="3" fillId="24" borderId="1" xfId="0" applyFont="1" applyFill="1" applyBorder="1" applyAlignment="1">
      <alignment horizontal="right" vertical="center" wrapText="1"/>
    </xf>
    <xf numFmtId="0" fontId="0" fillId="0" borderId="8" xfId="0" applyFont="1" applyFill="1" applyBorder="1"/>
    <xf numFmtId="0" fontId="6" fillId="0" borderId="1" xfId="0" applyFont="1" applyBorder="1" applyAlignment="1">
      <alignment horizontal="center" vertical="center"/>
    </xf>
    <xf numFmtId="0" fontId="6" fillId="0" borderId="1" xfId="0" applyFont="1" applyFill="1" applyBorder="1" applyAlignment="1">
      <alignment horizontal="center" vertical="center"/>
    </xf>
    <xf numFmtId="0" fontId="6" fillId="0" borderId="1" xfId="0" applyFont="1" applyFill="1" applyBorder="1" applyAlignment="1">
      <alignment horizontal="center" vertical="center" wrapText="1"/>
    </xf>
    <xf numFmtId="0" fontId="9" fillId="0" borderId="1" xfId="0" applyFont="1" applyBorder="1"/>
    <xf numFmtId="164" fontId="9" fillId="0" borderId="1" xfId="1" applyNumberFormat="1" applyFont="1" applyBorder="1"/>
    <xf numFmtId="0" fontId="34" fillId="27" borderId="1" xfId="0" applyFont="1" applyFill="1" applyBorder="1"/>
    <xf numFmtId="164" fontId="5" fillId="27" borderId="1" xfId="1" applyNumberFormat="1" applyFont="1" applyFill="1" applyBorder="1"/>
    <xf numFmtId="0" fontId="11" fillId="5" borderId="1" xfId="0" applyFont="1" applyFill="1" applyBorder="1" applyAlignment="1">
      <alignment horizontal="right" vertical="center"/>
    </xf>
    <xf numFmtId="164" fontId="4" fillId="0" borderId="0" xfId="1" applyNumberFormat="1" applyFont="1" applyAlignment="1">
      <alignment horizontal="left"/>
    </xf>
    <xf numFmtId="164" fontId="0" fillId="0" borderId="1" xfId="1" applyNumberFormat="1" applyFont="1" applyBorder="1" applyAlignment="1">
      <alignment horizontal="right"/>
    </xf>
    <xf numFmtId="164" fontId="6" fillId="0" borderId="1" xfId="1" applyNumberFormat="1" applyFont="1" applyBorder="1" applyAlignment="1">
      <alignment horizontal="center" vertical="center"/>
    </xf>
    <xf numFmtId="0" fontId="11" fillId="5" borderId="3" xfId="0" applyFont="1" applyFill="1" applyBorder="1" applyAlignment="1">
      <alignment horizontal="right" vertical="center"/>
    </xf>
    <xf numFmtId="0" fontId="11" fillId="5" borderId="4" xfId="0" applyFont="1" applyFill="1" applyBorder="1" applyAlignment="1">
      <alignment horizontal="right" vertical="center"/>
    </xf>
    <xf numFmtId="0" fontId="11" fillId="5" borderId="7" xfId="0" applyFont="1" applyFill="1" applyBorder="1" applyAlignment="1">
      <alignment horizontal="right" vertical="center"/>
    </xf>
    <xf numFmtId="164" fontId="9" fillId="0" borderId="1" xfId="1" applyNumberFormat="1" applyFont="1" applyBorder="1" applyAlignment="1">
      <alignment horizontal="center"/>
    </xf>
    <xf numFmtId="0" fontId="11" fillId="5" borderId="1" xfId="0" applyFont="1" applyFill="1" applyBorder="1" applyAlignment="1">
      <alignment horizontal="left"/>
    </xf>
    <xf numFmtId="0" fontId="11" fillId="15" borderId="1" xfId="0" applyFont="1" applyFill="1" applyBorder="1" applyAlignment="1">
      <alignment horizontal="left"/>
    </xf>
    <xf numFmtId="0" fontId="11" fillId="5" borderId="3" xfId="0" applyFont="1" applyFill="1" applyBorder="1" applyAlignment="1">
      <alignment horizontal="left"/>
    </xf>
    <xf numFmtId="0" fontId="11" fillId="5" borderId="7" xfId="0" applyFont="1" applyFill="1" applyBorder="1" applyAlignment="1">
      <alignment horizontal="left"/>
    </xf>
    <xf numFmtId="0" fontId="11" fillId="5" borderId="3" xfId="0" applyFont="1" applyFill="1" applyBorder="1" applyAlignment="1">
      <alignment horizontal="left" wrapText="1"/>
    </xf>
    <xf numFmtId="0" fontId="11" fillId="5" borderId="7" xfId="0" applyFont="1" applyFill="1" applyBorder="1" applyAlignment="1">
      <alignment horizontal="left" wrapText="1"/>
    </xf>
    <xf numFmtId="15" fontId="8" fillId="0" borderId="3" xfId="0" applyNumberFormat="1" applyFont="1" applyFill="1" applyBorder="1" applyAlignment="1">
      <alignment horizontal="right"/>
    </xf>
    <xf numFmtId="15" fontId="8" fillId="0" borderId="4" xfId="0" applyNumberFormat="1" applyFont="1" applyFill="1" applyBorder="1" applyAlignment="1">
      <alignment horizontal="right"/>
    </xf>
    <xf numFmtId="15" fontId="8" fillId="0" borderId="7" xfId="0" applyNumberFormat="1" applyFont="1" applyFill="1" applyBorder="1" applyAlignment="1">
      <alignment horizontal="right"/>
    </xf>
    <xf numFmtId="0" fontId="1" fillId="0" borderId="1" xfId="0" applyFont="1" applyBorder="1" applyAlignment="1">
      <alignment horizontal="center"/>
    </xf>
    <xf numFmtId="0" fontId="0" fillId="0" borderId="1" xfId="0" applyFont="1" applyBorder="1" applyAlignment="1">
      <alignment horizontal="center"/>
    </xf>
    <xf numFmtId="0" fontId="0" fillId="0" borderId="3" xfId="0" applyFont="1" applyBorder="1" applyAlignment="1">
      <alignment horizontal="center"/>
    </xf>
    <xf numFmtId="0" fontId="0" fillId="0" borderId="7" xfId="0" applyFont="1" applyBorder="1" applyAlignment="1">
      <alignment horizontal="center"/>
    </xf>
    <xf numFmtId="0" fontId="11" fillId="5" borderId="2" xfId="0" applyFont="1" applyFill="1" applyBorder="1" applyAlignment="1">
      <alignment horizontal="left"/>
    </xf>
    <xf numFmtId="0" fontId="11" fillId="5" borderId="1" xfId="0" applyFont="1" applyFill="1" applyBorder="1" applyAlignment="1">
      <alignment horizontal="left" wrapText="1"/>
    </xf>
    <xf numFmtId="0" fontId="11" fillId="5" borderId="3" xfId="0" applyFont="1" applyFill="1" applyBorder="1" applyAlignment="1">
      <alignment horizontal="center" vertical="center"/>
    </xf>
    <xf numFmtId="0" fontId="11" fillId="5" borderId="7" xfId="0" applyFont="1" applyFill="1" applyBorder="1" applyAlignment="1">
      <alignment horizontal="center" vertical="center"/>
    </xf>
    <xf numFmtId="0" fontId="11" fillId="5" borderId="16" xfId="0" applyFont="1" applyFill="1" applyBorder="1" applyAlignment="1">
      <alignment horizontal="right" vertical="center"/>
    </xf>
    <xf numFmtId="0" fontId="11" fillId="5" borderId="21" xfId="0" applyFont="1" applyFill="1" applyBorder="1" applyAlignment="1">
      <alignment horizontal="right" vertical="center"/>
    </xf>
    <xf numFmtId="0" fontId="11" fillId="5" borderId="15" xfId="0" applyFont="1" applyFill="1" applyBorder="1" applyAlignment="1">
      <alignment horizontal="right"/>
    </xf>
    <xf numFmtId="0" fontId="11" fillId="5" borderId="20" xfId="0" applyFont="1" applyFill="1" applyBorder="1" applyAlignment="1">
      <alignment horizontal="right"/>
    </xf>
    <xf numFmtId="0" fontId="11" fillId="5" borderId="2" xfId="0" applyFont="1" applyFill="1" applyBorder="1" applyAlignment="1">
      <alignment horizontal="right" vertical="center"/>
    </xf>
    <xf numFmtId="0" fontId="11" fillId="5" borderId="22" xfId="0" applyFont="1" applyFill="1" applyBorder="1" applyAlignment="1">
      <alignment horizontal="right" vertical="center"/>
    </xf>
    <xf numFmtId="0" fontId="11" fillId="5" borderId="6" xfId="0" applyFont="1" applyFill="1" applyBorder="1" applyAlignment="1">
      <alignment horizontal="right" vertical="center"/>
    </xf>
    <xf numFmtId="0" fontId="16" fillId="27" borderId="25" xfId="0" applyFont="1" applyFill="1" applyBorder="1" applyAlignment="1">
      <alignment horizontal="center"/>
    </xf>
    <xf numFmtId="0" fontId="16" fillId="27" borderId="26" xfId="0" applyFont="1" applyFill="1" applyBorder="1" applyAlignment="1">
      <alignment horizontal="center"/>
    </xf>
    <xf numFmtId="0" fontId="5" fillId="27" borderId="3" xfId="0" applyFont="1" applyFill="1" applyBorder="1" applyAlignment="1">
      <alignment horizontal="center"/>
    </xf>
    <xf numFmtId="0" fontId="5" fillId="27" borderId="4" xfId="0" applyFont="1" applyFill="1" applyBorder="1" applyAlignment="1">
      <alignment horizontal="center"/>
    </xf>
    <xf numFmtId="0" fontId="5" fillId="27" borderId="7" xfId="0" applyFont="1" applyFill="1" applyBorder="1" applyAlignment="1">
      <alignment horizontal="center"/>
    </xf>
    <xf numFmtId="0" fontId="6" fillId="27" borderId="3" xfId="0" applyFont="1" applyFill="1" applyBorder="1" applyAlignment="1">
      <alignment horizontal="center"/>
    </xf>
    <xf numFmtId="0" fontId="6" fillId="27" borderId="4" xfId="0" applyFont="1" applyFill="1" applyBorder="1" applyAlignment="1">
      <alignment horizontal="center"/>
    </xf>
    <xf numFmtId="0" fontId="6" fillId="27" borderId="7" xfId="0" applyFont="1" applyFill="1" applyBorder="1" applyAlignment="1">
      <alignment horizontal="center"/>
    </xf>
    <xf numFmtId="0" fontId="10" fillId="24" borderId="38" xfId="0" applyFont="1" applyFill="1" applyBorder="1" applyAlignment="1">
      <alignment horizontal="right" vertical="center"/>
    </xf>
    <xf numFmtId="0" fontId="10" fillId="24" borderId="7" xfId="0" applyFont="1" applyFill="1" applyBorder="1" applyAlignment="1">
      <alignment horizontal="right" vertical="center"/>
    </xf>
    <xf numFmtId="0" fontId="10" fillId="24" borderId="38" xfId="0" applyFont="1" applyFill="1" applyBorder="1" applyAlignment="1">
      <alignment horizontal="right" vertical="center" wrapText="1"/>
    </xf>
    <xf numFmtId="0" fontId="10" fillId="24" borderId="7" xfId="0" applyFont="1" applyFill="1" applyBorder="1" applyAlignment="1">
      <alignment horizontal="right" vertical="center" wrapText="1"/>
    </xf>
    <xf numFmtId="0" fontId="6" fillId="24" borderId="39" xfId="0" applyFont="1" applyFill="1" applyBorder="1" applyAlignment="1">
      <alignment horizontal="right" vertical="center" wrapText="1"/>
    </xf>
    <xf numFmtId="0" fontId="6" fillId="24" borderId="40" xfId="0" applyFont="1" applyFill="1" applyBorder="1" applyAlignment="1">
      <alignment horizontal="right" vertical="center" wrapText="1"/>
    </xf>
    <xf numFmtId="0" fontId="16" fillId="27" borderId="24" xfId="0" applyFont="1" applyFill="1" applyBorder="1" applyAlignment="1">
      <alignment horizontal="center"/>
    </xf>
    <xf numFmtId="0" fontId="28" fillId="24" borderId="30" xfId="0" applyFont="1" applyFill="1" applyBorder="1" applyAlignment="1">
      <alignment horizontal="center"/>
    </xf>
    <xf numFmtId="0" fontId="28" fillId="24" borderId="5" xfId="0" applyFont="1" applyFill="1" applyBorder="1" applyAlignment="1">
      <alignment horizontal="center"/>
    </xf>
    <xf numFmtId="0" fontId="28" fillId="24" borderId="31" xfId="0" applyFont="1" applyFill="1" applyBorder="1" applyAlignment="1">
      <alignment horizontal="center"/>
    </xf>
    <xf numFmtId="0" fontId="28" fillId="24" borderId="32" xfId="0" applyFont="1" applyFill="1" applyBorder="1" applyAlignment="1">
      <alignment horizontal="center"/>
    </xf>
    <xf numFmtId="0" fontId="28" fillId="24" borderId="0" xfId="0" applyFont="1" applyFill="1" applyBorder="1" applyAlignment="1">
      <alignment horizontal="center"/>
    </xf>
    <xf numFmtId="0" fontId="28" fillId="24" borderId="33" xfId="0" applyFont="1" applyFill="1" applyBorder="1" applyAlignment="1">
      <alignment horizontal="center"/>
    </xf>
    <xf numFmtId="0" fontId="31" fillId="24" borderId="34" xfId="0" applyFont="1" applyFill="1" applyBorder="1" applyAlignment="1">
      <alignment horizontal="center"/>
    </xf>
    <xf numFmtId="0" fontId="31" fillId="24" borderId="23" xfId="0" applyFont="1" applyFill="1" applyBorder="1" applyAlignment="1">
      <alignment horizontal="center"/>
    </xf>
    <xf numFmtId="0" fontId="31" fillId="24" borderId="35" xfId="0" applyFont="1" applyFill="1" applyBorder="1" applyAlignment="1">
      <alignment horizontal="center"/>
    </xf>
    <xf numFmtId="0" fontId="3" fillId="24" borderId="36" xfId="0" applyFont="1" applyFill="1" applyBorder="1" applyAlignment="1">
      <alignment horizontal="right" vertical="center" wrapText="1"/>
    </xf>
    <xf numFmtId="0" fontId="3" fillId="24" borderId="1" xfId="0" applyFont="1" applyFill="1" applyBorder="1" applyAlignment="1">
      <alignment horizontal="right" vertical="center" wrapText="1"/>
    </xf>
    <xf numFmtId="0" fontId="16" fillId="0" borderId="25" xfId="0" applyFont="1" applyBorder="1" applyAlignment="1">
      <alignment horizontal="center"/>
    </xf>
    <xf numFmtId="0" fontId="16" fillId="0" borderId="26" xfId="0" applyFont="1" applyBorder="1" applyAlignment="1">
      <alignment horizontal="center"/>
    </xf>
    <xf numFmtId="0" fontId="5" fillId="0" borderId="3" xfId="0" applyFont="1" applyBorder="1" applyAlignment="1">
      <alignment horizontal="center"/>
    </xf>
    <xf numFmtId="0" fontId="5" fillId="0" borderId="4" xfId="0" applyFont="1" applyBorder="1" applyAlignment="1">
      <alignment horizontal="center"/>
    </xf>
    <xf numFmtId="0" fontId="5" fillId="0" borderId="7" xfId="0" applyFont="1" applyBorder="1" applyAlignment="1">
      <alignment horizontal="center"/>
    </xf>
    <xf numFmtId="0" fontId="6" fillId="0" borderId="3" xfId="0" applyFont="1" applyBorder="1" applyAlignment="1">
      <alignment horizontal="center"/>
    </xf>
    <xf numFmtId="0" fontId="6" fillId="0" borderId="4" xfId="0" applyFont="1" applyBorder="1" applyAlignment="1">
      <alignment horizontal="center"/>
    </xf>
    <xf numFmtId="0" fontId="6" fillId="0" borderId="7" xfId="0" applyFont="1" applyBorder="1" applyAlignment="1">
      <alignment horizontal="center"/>
    </xf>
    <xf numFmtId="0" fontId="10" fillId="0" borderId="3" xfId="0" applyFont="1" applyBorder="1" applyAlignment="1">
      <alignment horizontal="right" vertical="center"/>
    </xf>
    <xf numFmtId="0" fontId="10" fillId="0" borderId="7" xfId="0" applyFont="1" applyBorder="1" applyAlignment="1">
      <alignment horizontal="right" vertical="center"/>
    </xf>
    <xf numFmtId="0" fontId="10" fillId="0" borderId="3" xfId="0" applyFont="1" applyBorder="1" applyAlignment="1">
      <alignment horizontal="right" vertical="center" wrapText="1"/>
    </xf>
    <xf numFmtId="0" fontId="10" fillId="0" borderId="7" xfId="0" applyFont="1" applyBorder="1" applyAlignment="1">
      <alignment horizontal="right" vertical="center" wrapText="1"/>
    </xf>
    <xf numFmtId="0" fontId="6" fillId="0" borderId="3" xfId="0" applyFont="1" applyBorder="1" applyAlignment="1">
      <alignment horizontal="right" vertical="center" wrapText="1"/>
    </xf>
    <xf numFmtId="0" fontId="6" fillId="0" borderId="7" xfId="0" applyFont="1" applyBorder="1" applyAlignment="1">
      <alignment horizontal="right" vertical="center" wrapText="1"/>
    </xf>
    <xf numFmtId="0" fontId="16" fillId="0" borderId="24" xfId="0" applyFont="1" applyBorder="1" applyAlignment="1">
      <alignment horizontal="center"/>
    </xf>
    <xf numFmtId="0" fontId="28" fillId="0" borderId="0" xfId="0" applyFont="1" applyBorder="1" applyAlignment="1">
      <alignment horizontal="center"/>
    </xf>
    <xf numFmtId="0" fontId="31" fillId="0" borderId="23" xfId="0" applyFont="1" applyBorder="1" applyAlignment="1">
      <alignment horizontal="center"/>
    </xf>
    <xf numFmtId="0" fontId="3" fillId="0" borderId="1" xfId="0" applyFont="1" applyBorder="1" applyAlignment="1">
      <alignment horizontal="right" vertical="center" wrapText="1"/>
    </xf>
    <xf numFmtId="0" fontId="31" fillId="0" borderId="0" xfId="0" applyFont="1" applyBorder="1" applyAlignment="1">
      <alignment horizontal="center"/>
    </xf>
    <xf numFmtId="0" fontId="15" fillId="5" borderId="1" xfId="0" applyFont="1" applyFill="1" applyBorder="1" applyAlignment="1">
      <alignment horizontal="left"/>
    </xf>
    <xf numFmtId="0" fontId="3" fillId="0" borderId="12" xfId="0" applyFont="1" applyBorder="1" applyAlignment="1">
      <alignment horizontal="center"/>
    </xf>
    <xf numFmtId="164" fontId="10" fillId="0" borderId="1" xfId="1" applyNumberFormat="1" applyFont="1" applyBorder="1"/>
    <xf numFmtId="0" fontId="10" fillId="0" borderId="1" xfId="0" applyFont="1" applyBorder="1" applyAlignment="1">
      <alignment vertical="center"/>
    </xf>
    <xf numFmtId="15" fontId="40" fillId="0" borderId="1" xfId="0" applyNumberFormat="1" applyFont="1" applyFill="1" applyBorder="1" applyAlignment="1">
      <alignment vertical="center"/>
    </xf>
    <xf numFmtId="164" fontId="10" fillId="0" borderId="1" xfId="1" applyNumberFormat="1" applyFont="1" applyBorder="1" applyAlignment="1">
      <alignment horizontal="center" vertical="center" wrapText="1"/>
    </xf>
    <xf numFmtId="14" fontId="10" fillId="0" borderId="1" xfId="0" applyNumberFormat="1" applyFont="1" applyBorder="1" applyAlignment="1">
      <alignment vertical="center"/>
    </xf>
    <xf numFmtId="0" fontId="10" fillId="0" borderId="1" xfId="0" applyFont="1" applyFill="1" applyBorder="1" applyAlignment="1">
      <alignment vertical="center"/>
    </xf>
    <xf numFmtId="164" fontId="10" fillId="0" borderId="1" xfId="1" applyNumberFormat="1" applyFont="1" applyFill="1" applyBorder="1" applyAlignment="1">
      <alignment vertical="center"/>
    </xf>
    <xf numFmtId="0" fontId="39" fillId="0" borderId="1" xfId="0" applyFont="1" applyBorder="1" applyAlignment="1">
      <alignment vertical="center"/>
    </xf>
    <xf numFmtId="164" fontId="39" fillId="0" borderId="1" xfId="1" applyNumberFormat="1" applyFont="1" applyBorder="1" applyAlignment="1">
      <alignment vertical="center"/>
    </xf>
    <xf numFmtId="0" fontId="6" fillId="0" borderId="1" xfId="0" applyFont="1" applyBorder="1" applyAlignment="1">
      <alignment horizontal="center" vertical="center" wrapText="1"/>
    </xf>
    <xf numFmtId="164" fontId="6" fillId="0" borderId="1" xfId="1" applyNumberFormat="1" applyFont="1" applyBorder="1" applyAlignment="1">
      <alignment horizontal="center" vertical="center" wrapText="1"/>
    </xf>
    <xf numFmtId="14" fontId="10" fillId="0" borderId="1" xfId="0" applyNumberFormat="1" applyFont="1" applyBorder="1"/>
    <xf numFmtId="0" fontId="10" fillId="0" borderId="1" xfId="0" applyFont="1" applyFill="1" applyBorder="1"/>
    <xf numFmtId="164" fontId="10" fillId="0" borderId="0" xfId="1" applyNumberFormat="1" applyFont="1"/>
    <xf numFmtId="0" fontId="41" fillId="20" borderId="1" xfId="0" applyFont="1" applyFill="1" applyBorder="1" applyAlignment="1">
      <alignment horizontal="center" vertical="center"/>
    </xf>
    <xf numFmtId="0" fontId="41" fillId="20" borderId="1" xfId="0" applyFont="1" applyFill="1" applyBorder="1" applyAlignment="1">
      <alignment horizontal="center" vertical="center" wrapText="1"/>
    </xf>
    <xf numFmtId="0" fontId="42" fillId="0" borderId="0" xfId="0" applyFont="1"/>
    <xf numFmtId="164" fontId="42" fillId="0" borderId="1" xfId="0" pivotButton="1" applyNumberFormat="1" applyFont="1" applyBorder="1"/>
    <xf numFmtId="164" fontId="42" fillId="0" borderId="1" xfId="0" applyNumberFormat="1" applyFont="1" applyBorder="1"/>
    <xf numFmtId="164" fontId="42" fillId="0" borderId="1" xfId="0" applyNumberFormat="1" applyFont="1" applyBorder="1" applyAlignment="1">
      <alignment horizontal="left"/>
    </xf>
  </cellXfs>
  <cellStyles count="3">
    <cellStyle name="Comma" xfId="1" builtinId="3"/>
    <cellStyle name="Normal" xfId="0" builtinId="0"/>
    <cellStyle name="Percent" xfId="2" builtinId="5"/>
  </cellStyles>
  <dxfs count="18">
    <dxf>
      <font>
        <sz val="22"/>
      </font>
    </dxf>
    <dxf>
      <font>
        <sz val="22"/>
      </font>
    </dxf>
    <dxf>
      <font>
        <sz val="22"/>
      </font>
    </dxf>
    <dxf>
      <font>
        <sz val="22"/>
      </font>
    </dxf>
    <dxf>
      <font>
        <sz val="22"/>
      </font>
    </dxf>
    <dxf>
      <font>
        <sz val="22"/>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pivotCacheDefinition" Target="pivotCache/pivotCacheDefinition1.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7</xdr:col>
      <xdr:colOff>28575</xdr:colOff>
      <xdr:row>316</xdr:row>
      <xdr:rowOff>95250</xdr:rowOff>
    </xdr:from>
    <xdr:to>
      <xdr:col>10</xdr:col>
      <xdr:colOff>228600</xdr:colOff>
      <xdr:row>318</xdr:row>
      <xdr:rowOff>123825</xdr:rowOff>
    </xdr:to>
    <xdr:cxnSp macro="">
      <xdr:nvCxnSpPr>
        <xdr:cNvPr id="3" name="Straight Arrow Connector 2"/>
        <xdr:cNvCxnSpPr/>
      </xdr:nvCxnSpPr>
      <xdr:spPr>
        <a:xfrm>
          <a:off x="7181850" y="61293375"/>
          <a:ext cx="2171700" cy="409575"/>
        </a:xfrm>
        <a:prstGeom prst="straightConnector1">
          <a:avLst/>
        </a:prstGeom>
        <a:ln w="41275" cmpd="sng">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9525</xdr:colOff>
      <xdr:row>1229</xdr:row>
      <xdr:rowOff>142876</xdr:rowOff>
    </xdr:from>
    <xdr:to>
      <xdr:col>4</xdr:col>
      <xdr:colOff>276225</xdr:colOff>
      <xdr:row>1235</xdr:row>
      <xdr:rowOff>0</xdr:rowOff>
    </xdr:to>
    <xdr:cxnSp macro="">
      <xdr:nvCxnSpPr>
        <xdr:cNvPr id="4" name="Straight Arrow Connector 3"/>
        <xdr:cNvCxnSpPr/>
      </xdr:nvCxnSpPr>
      <xdr:spPr>
        <a:xfrm flipV="1">
          <a:off x="4629150" y="253041151"/>
          <a:ext cx="266700" cy="1000124"/>
        </a:xfrm>
        <a:prstGeom prst="straightConnector1">
          <a:avLst/>
        </a:prstGeom>
        <a:ln w="19050">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828675</xdr:colOff>
      <xdr:row>9592</xdr:row>
      <xdr:rowOff>133350</xdr:rowOff>
    </xdr:from>
    <xdr:to>
      <xdr:col>8</xdr:col>
      <xdr:colOff>504825</xdr:colOff>
      <xdr:row>9592</xdr:row>
      <xdr:rowOff>133350</xdr:rowOff>
    </xdr:to>
    <xdr:cxnSp macro="">
      <xdr:nvCxnSpPr>
        <xdr:cNvPr id="5" name="Straight Arrow Connector 4"/>
        <xdr:cNvCxnSpPr/>
      </xdr:nvCxnSpPr>
      <xdr:spPr>
        <a:xfrm>
          <a:off x="7400925" y="1975723125"/>
          <a:ext cx="2362200" cy="0"/>
        </a:xfrm>
        <a:prstGeom prst="straightConnector1">
          <a:avLst/>
        </a:prstGeom>
        <a:ln w="38100">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Bills%20Summar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Building"/>
      <sheetName val="Food Court"/>
      <sheetName val="JPMC MOSQUE"/>
      <sheetName val="EYE WARD"/>
      <sheetName val="Bills Summary"/>
      <sheetName val="IPC 47"/>
      <sheetName val="detail of ipc 43"/>
      <sheetName val="ipc 43"/>
      <sheetName val="excess ret money amount"/>
    </sheetNames>
    <sheetDataSet>
      <sheetData sheetId="0"/>
      <sheetData sheetId="1"/>
      <sheetData sheetId="2"/>
      <sheetData sheetId="3"/>
      <sheetData sheetId="4"/>
      <sheetData sheetId="5">
        <row r="100">
          <cell r="F100">
            <v>1013474</v>
          </cell>
        </row>
        <row r="204">
          <cell r="F204">
            <v>8120369</v>
          </cell>
        </row>
      </sheetData>
      <sheetData sheetId="6"/>
      <sheetData sheetId="7"/>
      <sheetData sheetId="8"/>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Pioneer Engineeering" refreshedDate="44393.494309027781" createdVersion="5" refreshedVersion="5" minRefreshableVersion="3" recordCount="2380">
  <cacheSource type="worksheet">
    <worksheetSource ref="A1:G6578" sheet="Person 2222)"/>
  </cacheSource>
  <cacheFields count="7">
    <cacheField name="Date" numFmtId="0">
      <sharedItems containsNonDate="0" containsDate="1" containsString="0" containsBlank="1" minDate="2019-03-14T00:00:00" maxDate="2021-07-17T00:00:00"/>
    </cacheField>
    <cacheField name="Person" numFmtId="0">
      <sharedItems containsBlank="1" count="9">
        <s v="Nadeem Bhai"/>
        <s v="Imran Engr"/>
        <s v="Azeem"/>
        <s v="Mukhtiar"/>
        <s v="Abbas Plumber"/>
        <s v="Jahangeer"/>
        <s v="Faheem Elec"/>
        <s v="Shahid Painter"/>
        <m/>
      </sharedItems>
    </cacheField>
    <cacheField name="To Person" numFmtId="0">
      <sharedItems containsNonDate="0" containsString="0" containsBlank="1"/>
    </cacheField>
    <cacheField name="Description" numFmtId="0">
      <sharedItems containsBlank="1"/>
    </cacheField>
    <cacheField name="Cash taken" numFmtId="164">
      <sharedItems containsString="0" containsBlank="1" containsNumber="1" containsInteger="1" minValue="500" maxValue="350000"/>
    </cacheField>
    <cacheField name="Invoices submit" numFmtId="164">
      <sharedItems containsString="0" containsBlank="1" containsNumber="1" containsInteger="1" minValue="500" maxValue="239565"/>
    </cacheField>
    <cacheField name="Balance amount" numFmtId="164">
      <sharedItems containsString="0" containsBlank="1" containsNumber="1" containsInteger="1" minValue="-239565" maxValue="3500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380">
  <r>
    <d v="2019-03-14T00:00:00"/>
    <x v="0"/>
    <m/>
    <s v="invoices falcon"/>
    <m/>
    <n v="10100"/>
    <n v="-10100"/>
  </r>
  <r>
    <d v="2019-03-14T00:00:00"/>
    <x v="0"/>
    <m/>
    <s v="invoices jpmc"/>
    <m/>
    <n v="23466"/>
    <n v="-23466"/>
  </r>
  <r>
    <d v="2019-03-14T00:00:00"/>
    <x v="0"/>
    <m/>
    <s v="invoices zeelaf"/>
    <m/>
    <n v="7000"/>
    <n v="-7000"/>
  </r>
  <r>
    <d v="2019-03-14T00:00:00"/>
    <x v="0"/>
    <m/>
    <s v="invoices naveed malik"/>
    <m/>
    <n v="25290"/>
    <n v="-25290"/>
  </r>
  <r>
    <d v="2019-03-14T00:00:00"/>
    <x v="0"/>
    <m/>
    <s v="to shahid painter"/>
    <m/>
    <n v="5000"/>
    <n v="-5000"/>
  </r>
  <r>
    <d v="2019-03-14T00:00:00"/>
    <x v="0"/>
    <m/>
    <s v="kamran elec"/>
    <m/>
    <n v="1000"/>
    <n v="-1000"/>
  </r>
  <r>
    <d v="2019-03-14T00:00:00"/>
    <x v="0"/>
    <m/>
    <s v="kamran elec"/>
    <m/>
    <n v="1300"/>
    <n v="-1300"/>
  </r>
  <r>
    <d v="2019-03-14T00:00:00"/>
    <x v="0"/>
    <m/>
    <s v="cash paid"/>
    <n v="15000"/>
    <m/>
    <n v="15000"/>
  </r>
  <r>
    <d v="2019-03-14T00:00:00"/>
    <x v="0"/>
    <m/>
    <s v="channel patti invoice"/>
    <m/>
    <n v="8400"/>
    <n v="-8400"/>
  </r>
  <r>
    <d v="2019-03-14T00:00:00"/>
    <x v="0"/>
    <m/>
    <s v="to minhaal"/>
    <m/>
    <n v="3000"/>
    <n v="-3000"/>
  </r>
  <r>
    <d v="2019-03-14T00:00:00"/>
    <x v="0"/>
    <m/>
    <s v="cash paid"/>
    <n v="13000"/>
    <m/>
    <n v="13000"/>
  </r>
  <r>
    <d v="2019-03-14T00:00:00"/>
    <x v="0"/>
    <m/>
    <s v="cash paid"/>
    <n v="30000"/>
    <m/>
    <n v="30000"/>
  </r>
  <r>
    <d v="2019-03-14T00:00:00"/>
    <x v="0"/>
    <m/>
    <s v="paid"/>
    <n v="500"/>
    <m/>
    <n v="500"/>
  </r>
  <r>
    <d v="2019-03-14T00:00:00"/>
    <x v="0"/>
    <m/>
    <s v="cash paid"/>
    <n v="25000"/>
    <m/>
    <n v="25000"/>
  </r>
  <r>
    <d v="2019-04-01T00:00:00"/>
    <x v="0"/>
    <m/>
    <s v="cash paid"/>
    <n v="15000"/>
    <m/>
    <n v="15000"/>
  </r>
  <r>
    <d v="2019-04-01T00:00:00"/>
    <x v="0"/>
    <m/>
    <s v="paid to suzuki ashraf"/>
    <m/>
    <n v="1000"/>
    <n v="-1000"/>
  </r>
  <r>
    <d v="2019-04-09T00:00:00"/>
    <x v="0"/>
    <m/>
    <s v="invoices"/>
    <m/>
    <n v="4350"/>
    <n v="-4350"/>
  </r>
  <r>
    <d v="2019-04-09T00:00:00"/>
    <x v="0"/>
    <m/>
    <s v="invoices"/>
    <m/>
    <n v="3440"/>
    <n v="-3440"/>
  </r>
  <r>
    <d v="2019-04-09T00:00:00"/>
    <x v="0"/>
    <m/>
    <s v="invoices"/>
    <m/>
    <n v="43100"/>
    <n v="-43100"/>
  </r>
  <r>
    <d v="2019-04-11T00:00:00"/>
    <x v="0"/>
    <m/>
    <s v="invoices jpmc"/>
    <m/>
    <n v="8500"/>
    <n v="-8500"/>
  </r>
  <r>
    <d v="2019-04-11T00:00:00"/>
    <x v="0"/>
    <m/>
    <s v="to kamran ele for purchasing"/>
    <m/>
    <n v="5000"/>
    <n v="-5000"/>
  </r>
  <r>
    <d v="2019-04-11T00:00:00"/>
    <x v="0"/>
    <m/>
    <s v="from bilal bhai"/>
    <n v="5000"/>
    <m/>
    <n v="5000"/>
  </r>
  <r>
    <d v="2019-04-19T00:00:00"/>
    <x v="0"/>
    <m/>
    <s v="to shahid painter for karachi gymkhana"/>
    <m/>
    <n v="3600"/>
    <n v="-3600"/>
  </r>
  <r>
    <d v="2019-04-19T00:00:00"/>
    <x v="0"/>
    <m/>
    <s v="to haneef for naveed malik"/>
    <m/>
    <n v="2000"/>
    <n v="-2000"/>
  </r>
  <r>
    <d v="2019-04-19T00:00:00"/>
    <x v="0"/>
    <m/>
    <s v="unilever cheque"/>
    <n v="300000"/>
    <m/>
    <n v="300000"/>
  </r>
  <r>
    <d v="2019-04-19T00:00:00"/>
    <x v="0"/>
    <m/>
    <s v="to shahrukh salary advance for april 19"/>
    <m/>
    <n v="10000"/>
    <n v="-10000"/>
  </r>
  <r>
    <d v="2019-04-19T00:00:00"/>
    <x v="0"/>
    <m/>
    <s v="purchased I beam for karachi gymkhana"/>
    <m/>
    <n v="30284"/>
    <n v="-30284"/>
  </r>
  <r>
    <d v="2019-04-19T00:00:00"/>
    <x v="0"/>
    <m/>
    <s v="to rehan for office petty cash"/>
    <m/>
    <n v="35000"/>
    <n v="-35000"/>
  </r>
  <r>
    <d v="2019-04-22T00:00:00"/>
    <x v="0"/>
    <m/>
    <s v="zakat to bilal wife"/>
    <m/>
    <n v="10000"/>
    <n v="-10000"/>
  </r>
  <r>
    <d v="2019-04-23T00:00:00"/>
    <x v="0"/>
    <m/>
    <s v="falcon invoices"/>
    <m/>
    <n v="9200"/>
    <n v="-9200"/>
  </r>
  <r>
    <d v="2019-04-23T00:00:00"/>
    <x v="0"/>
    <m/>
    <s v="ftc invoices"/>
    <m/>
    <n v="2000"/>
    <n v="-2000"/>
  </r>
  <r>
    <d v="2019-04-23T00:00:00"/>
    <x v="0"/>
    <m/>
    <s v="zeelaf invoices"/>
    <m/>
    <n v="17000"/>
    <n v="-17000"/>
  </r>
  <r>
    <d v="2019-04-23T00:00:00"/>
    <x v="0"/>
    <m/>
    <s v="gymkhan invoices"/>
    <m/>
    <n v="36000"/>
    <n v="-36000"/>
  </r>
  <r>
    <d v="2019-04-23T00:00:00"/>
    <x v="0"/>
    <m/>
    <s v="kamran elec for gasket for falcon cleard"/>
    <m/>
    <n v="5000"/>
    <n v="-5000"/>
  </r>
  <r>
    <d v="2019-04-24T00:00:00"/>
    <x v="0"/>
    <m/>
    <s v="paid to jahangeer for CAMO feeder"/>
    <m/>
    <n v="30000"/>
    <n v="-30000"/>
  </r>
  <r>
    <d v="2019-04-24T00:00:00"/>
    <x v="0"/>
    <m/>
    <s v="paid to shahid painter for colour coolong tower"/>
    <m/>
    <n v="10000"/>
    <n v="-10000"/>
  </r>
  <r>
    <d v="2019-04-24T00:00:00"/>
    <x v="0"/>
    <m/>
    <s v="salary adv to mubarak for april 19"/>
    <m/>
    <n v="15000"/>
    <n v="-15000"/>
  </r>
  <r>
    <d v="2019-04-24T00:00:00"/>
    <x v="0"/>
    <m/>
    <s v="to imran engr for site expenses"/>
    <m/>
    <n v="10000"/>
    <n v="-10000"/>
  </r>
  <r>
    <d v="2019-04-24T00:00:00"/>
    <x v="0"/>
    <m/>
    <s v="for mobile load"/>
    <m/>
    <n v="1000"/>
    <n v="-1000"/>
  </r>
  <r>
    <d v="2019-04-24T00:00:00"/>
    <x v="0"/>
    <m/>
    <s v="to jahangeer for spirng"/>
    <m/>
    <n v="6000"/>
    <n v="-6000"/>
  </r>
  <r>
    <d v="2019-04-24T00:00:00"/>
    <x v="0"/>
    <m/>
    <s v="cash paid"/>
    <n v="3000"/>
    <m/>
    <n v="3000"/>
  </r>
  <r>
    <d v="2019-04-25T00:00:00"/>
    <x v="0"/>
    <m/>
    <s v="cash paid"/>
    <n v="125000"/>
    <m/>
    <n v="125000"/>
  </r>
  <r>
    <d v="2019-05-02T00:00:00"/>
    <x v="0"/>
    <m/>
    <s v="to amir jpmc for salary advance april 19"/>
    <m/>
    <n v="5000"/>
    <n v="-5000"/>
  </r>
  <r>
    <d v="2019-05-02T00:00:00"/>
    <x v="0"/>
    <m/>
    <s v="to nadeem painter for salary advance april 19"/>
    <m/>
    <n v="5000"/>
    <n v="-5000"/>
  </r>
  <r>
    <d v="2019-05-02T00:00:00"/>
    <x v="0"/>
    <m/>
    <s v="to kamran elec for tools"/>
    <m/>
    <n v="5000"/>
    <n v="-5000"/>
  </r>
  <r>
    <d v="2019-05-02T00:00:00"/>
    <x v="0"/>
    <m/>
    <s v="purchased sink for food court jpmc from KTM"/>
    <m/>
    <n v="6000"/>
    <n v="-6000"/>
  </r>
  <r>
    <d v="2019-05-02T00:00:00"/>
    <x v="0"/>
    <m/>
    <s v="invocies naveed malik lowara pump "/>
    <m/>
    <n v="5500"/>
    <n v="-5500"/>
  </r>
  <r>
    <d v="2019-05-02T00:00:00"/>
    <x v="0"/>
    <m/>
    <s v="invoices vellani including tickets"/>
    <m/>
    <n v="37200"/>
    <n v="-37200"/>
  </r>
  <r>
    <d v="2019-05-02T00:00:00"/>
    <x v="0"/>
    <m/>
    <s v="to shahid rigger "/>
    <m/>
    <n v="28000"/>
    <n v="-28000"/>
  </r>
  <r>
    <d v="2019-05-06T00:00:00"/>
    <x v="0"/>
    <m/>
    <s v="to karman elec for purcashing"/>
    <m/>
    <n v="1000"/>
    <n v="-1000"/>
  </r>
  <r>
    <d v="2019-05-06T00:00:00"/>
    <x v="0"/>
    <m/>
    <s v="invoices shahid painter gymkhaan"/>
    <m/>
    <n v="3662"/>
    <n v="-3662"/>
  </r>
  <r>
    <d v="2019-05-06T00:00:00"/>
    <x v="0"/>
    <m/>
    <s v="to shahid painter"/>
    <m/>
    <n v="9000"/>
    <n v="-9000"/>
  </r>
  <r>
    <d v="2019-05-06T00:00:00"/>
    <x v="0"/>
    <m/>
    <s v="to rizwan core"/>
    <m/>
    <n v="52000"/>
    <n v="-52000"/>
  </r>
  <r>
    <d v="2019-05-08T00:00:00"/>
    <x v="0"/>
    <m/>
    <s v="to saeed lala"/>
    <m/>
    <n v="20000"/>
    <n v="-20000"/>
  </r>
  <r>
    <d v="2019-05-09T00:00:00"/>
    <x v="0"/>
    <m/>
    <s v="falcon invoices"/>
    <m/>
    <n v="14000"/>
    <n v="-14000"/>
  </r>
  <r>
    <d v="2019-05-13T00:00:00"/>
    <x v="0"/>
    <m/>
    <s v="mobile balance"/>
    <m/>
    <n v="1000"/>
    <n v="-1000"/>
  </r>
  <r>
    <d v="2019-05-20T00:00:00"/>
    <x v="0"/>
    <m/>
    <s v="to shahid rigger in account of FTC"/>
    <m/>
    <n v="5000"/>
    <n v="-5000"/>
  </r>
  <r>
    <d v="2019-05-20T00:00:00"/>
    <x v="0"/>
    <m/>
    <s v="to rehan for office petty cash"/>
    <m/>
    <n v="7000"/>
    <n v="-7000"/>
  </r>
  <r>
    <d v="2019-05-20T00:00:00"/>
    <x v="0"/>
    <m/>
    <s v="to shahid painter "/>
    <m/>
    <n v="7000"/>
    <n v="-7000"/>
  </r>
  <r>
    <d v="2019-05-20T00:00:00"/>
    <x v="0"/>
    <m/>
    <s v="invoices karachi gymnkhna"/>
    <m/>
    <n v="8500"/>
    <n v="-8500"/>
  </r>
  <r>
    <d v="2019-05-23T00:00:00"/>
    <x v="0"/>
    <m/>
    <s v="to shahid for purchasing"/>
    <m/>
    <n v="10000"/>
    <n v="-10000"/>
  </r>
  <r>
    <d v="2019-05-23T00:00:00"/>
    <x v="0"/>
    <m/>
    <s v="cash paid"/>
    <n v="10000"/>
    <m/>
    <n v="10000"/>
  </r>
  <r>
    <d v="2019-05-28T00:00:00"/>
    <x v="0"/>
    <m/>
    <s v="cash paid"/>
    <n v="3000"/>
    <m/>
    <n v="3000"/>
  </r>
  <r>
    <d v="2019-05-29T00:00:00"/>
    <x v="0"/>
    <m/>
    <s v="ftc aftari"/>
    <m/>
    <n v="1000"/>
    <n v="-1000"/>
  </r>
  <r>
    <d v="2019-05-29T00:00:00"/>
    <x v="0"/>
    <m/>
    <s v="invoices ftc"/>
    <m/>
    <n v="4100"/>
    <n v="-4100"/>
  </r>
  <r>
    <d v="2019-05-29T00:00:00"/>
    <x v="0"/>
    <m/>
    <s v="invoices falcon"/>
    <m/>
    <n v="2000"/>
    <n v="-2000"/>
  </r>
  <r>
    <d v="2019-05-29T00:00:00"/>
    <x v="0"/>
    <m/>
    <s v="kg invoices"/>
    <m/>
    <n v="1000"/>
    <n v="-1000"/>
  </r>
  <r>
    <d v="2019-05-29T00:00:00"/>
    <x v="0"/>
    <m/>
    <s v="efu invoices"/>
    <m/>
    <n v="1000"/>
    <n v="-1000"/>
  </r>
  <r>
    <d v="2019-05-29T00:00:00"/>
    <x v="0"/>
    <m/>
    <s v="zmv invoices"/>
    <m/>
    <n v="1000"/>
    <n v="-1000"/>
  </r>
  <r>
    <d v="2019-05-30T00:00:00"/>
    <x v="0"/>
    <m/>
    <s v="cash paid"/>
    <n v="10000"/>
    <m/>
    <n v="10000"/>
  </r>
  <r>
    <d v="2019-06-03T00:00:00"/>
    <x v="0"/>
    <m/>
    <s v="invoices"/>
    <m/>
    <n v="2000"/>
    <n v="-2000"/>
  </r>
  <r>
    <d v="2019-06-11T00:00:00"/>
    <x v="0"/>
    <m/>
    <s v="to kamran elec for his medication"/>
    <m/>
    <n v="10000"/>
    <n v="-10000"/>
  </r>
  <r>
    <d v="2019-06-11T00:00:00"/>
    <x v="0"/>
    <m/>
    <s v="cash paid"/>
    <n v="40000"/>
    <m/>
    <n v="40000"/>
  </r>
  <r>
    <d v="2019-06-15T00:00:00"/>
    <x v="0"/>
    <m/>
    <s v="bonus paid to nadeem bhai"/>
    <m/>
    <n v="25000"/>
    <n v="-25000"/>
  </r>
  <r>
    <d v="2019-06-15T00:00:00"/>
    <x v="0"/>
    <m/>
    <s v="for waris salary"/>
    <m/>
    <n v="4000"/>
    <n v="-4000"/>
  </r>
  <r>
    <d v="2019-07-01T00:00:00"/>
    <x v="0"/>
    <m/>
    <s v="to shahid for purchasing"/>
    <m/>
    <n v="5000"/>
    <n v="-5000"/>
  </r>
  <r>
    <d v="2019-07-03T00:00:00"/>
    <x v="0"/>
    <m/>
    <s v="invocies zeelaf"/>
    <m/>
    <n v="1000"/>
    <n v="-1000"/>
  </r>
  <r>
    <d v="2019-07-03T00:00:00"/>
    <x v="0"/>
    <m/>
    <s v="invocies falcon"/>
    <m/>
    <n v="3000"/>
    <n v="-3000"/>
  </r>
  <r>
    <d v="2019-07-03T00:00:00"/>
    <x v="0"/>
    <m/>
    <s v="invocies ftc"/>
    <m/>
    <n v="2000"/>
    <n v="-2000"/>
  </r>
  <r>
    <d v="2019-07-03T00:00:00"/>
    <x v="0"/>
    <m/>
    <s v="invocies jpmc"/>
    <m/>
    <n v="2000"/>
    <n v="-2000"/>
  </r>
  <r>
    <d v="2019-07-11T00:00:00"/>
    <x v="0"/>
    <m/>
    <s v="mobile balance"/>
    <m/>
    <n v="1000"/>
    <n v="-1000"/>
  </r>
  <r>
    <d v="2019-07-11T00:00:00"/>
    <x v="0"/>
    <m/>
    <s v="cash paid"/>
    <n v="13000"/>
    <m/>
    <n v="13000"/>
  </r>
  <r>
    <d v="2019-07-16T00:00:00"/>
    <x v="0"/>
    <m/>
    <s v="to shahid painter"/>
    <m/>
    <n v="500"/>
    <n v="-500"/>
  </r>
  <r>
    <d v="2019-07-22T00:00:00"/>
    <x v="0"/>
    <m/>
    <s v="cash paid"/>
    <n v="5000"/>
    <m/>
    <n v="5000"/>
  </r>
  <r>
    <d v="2019-07-22T00:00:00"/>
    <x v="0"/>
    <m/>
    <s v="car typres passo "/>
    <m/>
    <n v="4000"/>
    <n v="-4000"/>
  </r>
  <r>
    <d v="2019-07-22T00:00:00"/>
    <x v="0"/>
    <m/>
    <s v="cash paid hundai advance"/>
    <n v="50000"/>
    <m/>
    <n v="50000"/>
  </r>
  <r>
    <d v="2019-07-23T00:00:00"/>
    <x v="0"/>
    <m/>
    <s v="cash paid"/>
    <n v="5000"/>
    <m/>
    <n v="5000"/>
  </r>
  <r>
    <d v="2019-07-26T00:00:00"/>
    <x v="0"/>
    <m/>
    <s v="given to laywer waqeel by waqas"/>
    <m/>
    <n v="15000"/>
    <n v="-15000"/>
  </r>
  <r>
    <d v="2019-07-26T00:00:00"/>
    <x v="0"/>
    <m/>
    <s v="return to rehan office"/>
    <m/>
    <n v="30000"/>
    <n v="-30000"/>
  </r>
  <r>
    <d v="2019-07-27T00:00:00"/>
    <x v="0"/>
    <m/>
    <s v="cash paid"/>
    <n v="9000"/>
    <m/>
    <n v="9000"/>
  </r>
  <r>
    <d v="2019-07-27T00:00:00"/>
    <x v="0"/>
    <m/>
    <s v="zeelaf invoices"/>
    <m/>
    <n v="2000"/>
    <n v="-2000"/>
  </r>
  <r>
    <d v="2019-07-27T00:00:00"/>
    <x v="0"/>
    <m/>
    <s v="falcon invoices"/>
    <m/>
    <n v="2000"/>
    <n v="-2000"/>
  </r>
  <r>
    <d v="2019-07-27T00:00:00"/>
    <x v="0"/>
    <m/>
    <s v="zeelaf invoices"/>
    <m/>
    <n v="12180"/>
    <n v="-12180"/>
  </r>
  <r>
    <d v="2019-07-27T00:00:00"/>
    <x v="0"/>
    <m/>
    <s v="hyundai"/>
    <m/>
    <n v="4600"/>
    <n v="-4600"/>
  </r>
  <r>
    <d v="2019-08-02T00:00:00"/>
    <x v="0"/>
    <m/>
    <s v="cash paid"/>
    <n v="2000"/>
    <m/>
    <n v="2000"/>
  </r>
  <r>
    <d v="2019-08-19T00:00:00"/>
    <x v="0"/>
    <m/>
    <s v="cash taken"/>
    <n v="5000"/>
    <m/>
    <n v="5000"/>
  </r>
  <r>
    <d v="2019-08-28T00:00:00"/>
    <x v="0"/>
    <m/>
    <s v="invoices ftc"/>
    <m/>
    <n v="3500"/>
    <n v="-3500"/>
  </r>
  <r>
    <d v="2019-08-28T00:00:00"/>
    <x v="0"/>
    <m/>
    <s v="invoices jpmc"/>
    <m/>
    <n v="4250"/>
    <n v="-4250"/>
  </r>
  <r>
    <d v="2019-08-28T00:00:00"/>
    <x v="0"/>
    <m/>
    <s v="invoices zmv"/>
    <m/>
    <n v="2500"/>
    <n v="-2500"/>
  </r>
  <r>
    <d v="2019-09-02T00:00:00"/>
    <x v="0"/>
    <m/>
    <s v="cash taken"/>
    <n v="22000"/>
    <m/>
    <n v="22000"/>
  </r>
  <r>
    <d v="2019-09-02T00:00:00"/>
    <x v="0"/>
    <m/>
    <s v="for purcahsing"/>
    <n v="60000"/>
    <m/>
    <n v="60000"/>
  </r>
  <r>
    <d v="2019-09-25T00:00:00"/>
    <x v="0"/>
    <m/>
    <s v="for purcahsing"/>
    <n v="4000"/>
    <m/>
    <n v="4000"/>
  </r>
  <r>
    <d v="2019-09-30T00:00:00"/>
    <x v="0"/>
    <m/>
    <s v="tranfer pump zeelaf purchased"/>
    <m/>
    <n v="42000"/>
    <n v="-42000"/>
  </r>
  <r>
    <d v="2019-09-30T00:00:00"/>
    <x v="0"/>
    <m/>
    <s v="pump purchased from ayyan engr"/>
    <m/>
    <n v="115000"/>
    <n v="-115000"/>
  </r>
  <r>
    <d v="2019-09-30T00:00:00"/>
    <x v="0"/>
    <m/>
    <s v="fuel"/>
    <m/>
    <n v="10100"/>
    <n v="-10100"/>
  </r>
  <r>
    <d v="2019-09-30T00:00:00"/>
    <x v="0"/>
    <m/>
    <s v="to shahid painter"/>
    <m/>
    <n v="2000"/>
    <n v="-2000"/>
  </r>
  <r>
    <d v="2019-10-07T00:00:00"/>
    <x v="0"/>
    <m/>
    <s v="jpmc invocies float switch double valve"/>
    <m/>
    <n v="5500"/>
    <n v="-5500"/>
  </r>
  <r>
    <d v="2019-10-07T00:00:00"/>
    <x v="0"/>
    <m/>
    <s v="cash paid"/>
    <n v="9000"/>
    <m/>
    <n v="9000"/>
  </r>
  <r>
    <d v="2019-10-07T00:00:00"/>
    <x v="0"/>
    <m/>
    <s v="invocies ftc"/>
    <m/>
    <n v="500"/>
    <n v="-500"/>
  </r>
  <r>
    <d v="2019-10-07T00:00:00"/>
    <x v="0"/>
    <m/>
    <s v="invocies jpmc"/>
    <m/>
    <n v="4000"/>
    <n v="-4000"/>
  </r>
  <r>
    <d v="2019-10-07T00:00:00"/>
    <x v="0"/>
    <m/>
    <s v="invocies jpmc"/>
    <m/>
    <n v="12000"/>
    <n v="-12000"/>
  </r>
  <r>
    <d v="2019-10-07T00:00:00"/>
    <x v="0"/>
    <m/>
    <s v="invocies office"/>
    <m/>
    <n v="8144"/>
    <n v="-8144"/>
  </r>
  <r>
    <d v="2019-10-07T00:00:00"/>
    <x v="0"/>
    <m/>
    <s v="to shahid for purchasing"/>
    <m/>
    <n v="6500"/>
    <n v="-6500"/>
  </r>
  <r>
    <d v="2019-10-10T00:00:00"/>
    <x v="0"/>
    <m/>
    <s v="to shahid for purchasing"/>
    <m/>
    <n v="5000"/>
    <n v="-5000"/>
  </r>
  <r>
    <d v="2019-10-10T00:00:00"/>
    <x v="0"/>
    <m/>
    <s v="minhaal"/>
    <m/>
    <n v="10000"/>
    <n v="-10000"/>
  </r>
  <r>
    <d v="2019-10-11T00:00:00"/>
    <x v="0"/>
    <m/>
    <s v="cash paid"/>
    <n v="35000"/>
    <m/>
    <n v="35000"/>
  </r>
  <r>
    <d v="2019-10-11T00:00:00"/>
    <x v="0"/>
    <m/>
    <s v="master trap"/>
    <m/>
    <n v="16000"/>
    <n v="-16000"/>
  </r>
  <r>
    <d v="2019-10-14T00:00:00"/>
    <x v="0"/>
    <m/>
    <s v="cash paid"/>
    <n v="100000"/>
    <m/>
    <n v="100000"/>
  </r>
  <r>
    <d v="2019-10-15T00:00:00"/>
    <x v="0"/>
    <m/>
    <s v="to rehan for office petty cash"/>
    <m/>
    <n v="3000"/>
    <n v="-3000"/>
  </r>
  <r>
    <d v="2019-10-18T00:00:00"/>
    <x v="0"/>
    <m/>
    <s v="invoics naveed malik"/>
    <m/>
    <n v="50000"/>
    <n v="-50000"/>
  </r>
  <r>
    <d v="2019-10-18T00:00:00"/>
    <x v="0"/>
    <m/>
    <s v="invoice the cinema "/>
    <m/>
    <n v="1000"/>
    <n v="-1000"/>
  </r>
  <r>
    <d v="2019-10-22T00:00:00"/>
    <x v="0"/>
    <m/>
    <s v="paid for ss grease trap"/>
    <m/>
    <n v="50000"/>
    <n v="-50000"/>
  </r>
  <r>
    <d v="2019-10-22T00:00:00"/>
    <x v="0"/>
    <m/>
    <s v="paid cash"/>
    <n v="100000"/>
    <m/>
    <n v="100000"/>
  </r>
  <r>
    <d v="2019-10-23T00:00:00"/>
    <x v="0"/>
    <m/>
    <s v="invoices ahmed villa"/>
    <m/>
    <n v="7000"/>
    <n v="-7000"/>
  </r>
  <r>
    <d v="2019-10-23T00:00:00"/>
    <x v="0"/>
    <m/>
    <s v="invoices zeelaf"/>
    <m/>
    <n v="2000"/>
    <n v="-2000"/>
  </r>
  <r>
    <d v="2019-10-23T00:00:00"/>
    <x v="0"/>
    <m/>
    <s v="invoices naveed malik"/>
    <m/>
    <n v="51080"/>
    <n v="-51080"/>
  </r>
  <r>
    <d v="2019-10-23T00:00:00"/>
    <x v="0"/>
    <m/>
    <s v="cash paid"/>
    <n v="64000"/>
    <m/>
    <n v="64000"/>
  </r>
  <r>
    <d v="2019-10-23T00:00:00"/>
    <x v="0"/>
    <m/>
    <s v="invocies"/>
    <m/>
    <n v="2550"/>
    <n v="-2550"/>
  </r>
  <r>
    <d v="2019-10-23T00:00:00"/>
    <x v="0"/>
    <m/>
    <s v="cash taken"/>
    <n v="15000"/>
    <m/>
    <n v="15000"/>
  </r>
  <r>
    <d v="2019-10-25T00:00:00"/>
    <x v="0"/>
    <m/>
    <s v="farhan bhai bill paid"/>
    <n v="6850"/>
    <m/>
    <n v="6850"/>
  </r>
  <r>
    <d v="2019-10-25T00:00:00"/>
    <x v="0"/>
    <m/>
    <s v="cash given to imran"/>
    <m/>
    <n v="10000"/>
    <n v="-10000"/>
  </r>
  <r>
    <d v="2019-11-02T00:00:00"/>
    <x v="0"/>
    <m/>
    <s v="cash paid"/>
    <n v="40000"/>
    <m/>
    <n v="40000"/>
  </r>
  <r>
    <d v="2019-12-09T00:00:00"/>
    <x v="0"/>
    <m/>
    <s v="cash paid to khalid bhai salary advance"/>
    <m/>
    <n v="2000"/>
    <n v="-2000"/>
  </r>
  <r>
    <d v="2019-12-09T00:00:00"/>
    <x v="0"/>
    <m/>
    <s v="cash paid to jahangeer for salary advance"/>
    <m/>
    <n v="5000"/>
    <n v="-5000"/>
  </r>
  <r>
    <d v="2019-12-09T00:00:00"/>
    <x v="0"/>
    <m/>
    <s v="invocies"/>
    <m/>
    <n v="27150"/>
    <n v="-27150"/>
  </r>
  <r>
    <d v="2019-12-09T00:00:00"/>
    <x v="0"/>
    <m/>
    <s v="cash paid"/>
    <n v="5000"/>
    <m/>
    <n v="5000"/>
  </r>
  <r>
    <d v="2019-12-11T00:00:00"/>
    <x v="0"/>
    <m/>
    <s v="cash paid"/>
    <n v="10000"/>
    <m/>
    <n v="10000"/>
  </r>
  <r>
    <d v="2019-12-11T00:00:00"/>
    <x v="0"/>
    <m/>
    <s v="cash paid to farhan bhai"/>
    <n v="20000"/>
    <m/>
    <n v="20000"/>
  </r>
  <r>
    <d v="2019-12-11T00:00:00"/>
    <x v="0"/>
    <m/>
    <s v="cash paid to farhan bhai"/>
    <n v="5000"/>
    <m/>
    <n v="5000"/>
  </r>
  <r>
    <d v="2019-12-11T00:00:00"/>
    <x v="0"/>
    <m/>
    <s v="for mobile purcashed at gulshan project"/>
    <m/>
    <n v="15000"/>
    <n v="-15000"/>
  </r>
  <r>
    <d v="2019-12-11T00:00:00"/>
    <x v="0"/>
    <m/>
    <s v="cash  paid"/>
    <n v="1000"/>
    <m/>
    <n v="1000"/>
  </r>
  <r>
    <d v="2019-12-11T00:00:00"/>
    <x v="0"/>
    <m/>
    <s v="cash  paid"/>
    <n v="55000"/>
    <m/>
    <n v="55000"/>
  </r>
  <r>
    <d v="2019-12-11T00:00:00"/>
    <x v="0"/>
    <m/>
    <s v="cash  paid"/>
    <n v="30000"/>
    <m/>
    <n v="30000"/>
  </r>
  <r>
    <d v="2020-01-01T00:00:00"/>
    <x v="0"/>
    <m/>
    <s v="to zulfiquar for material"/>
    <m/>
    <n v="5000"/>
    <n v="-5000"/>
  </r>
  <r>
    <d v="2020-01-01T00:00:00"/>
    <x v="0"/>
    <m/>
    <s v="to azeem d/w for jomc salary adv"/>
    <m/>
    <n v="5000"/>
    <n v="-5000"/>
  </r>
  <r>
    <d v="2020-01-01T00:00:00"/>
    <x v="0"/>
    <m/>
    <s v="to shahid painter for salary adv"/>
    <m/>
    <n v="20000"/>
    <n v="-20000"/>
  </r>
  <r>
    <d v="2020-01-01T00:00:00"/>
    <x v="0"/>
    <m/>
    <s v="invoices"/>
    <m/>
    <n v="39790"/>
    <n v="-39790"/>
  </r>
  <r>
    <d v="2020-01-01T00:00:00"/>
    <x v="0"/>
    <m/>
    <s v="mobile balance"/>
    <m/>
    <n v="1000"/>
    <n v="-1000"/>
  </r>
  <r>
    <d v="2020-01-01T00:00:00"/>
    <x v="0"/>
    <m/>
    <s v="salary adv to iftikhar"/>
    <m/>
    <n v="500"/>
    <n v="-500"/>
  </r>
  <r>
    <d v="2020-01-14T00:00:00"/>
    <x v="0"/>
    <m/>
    <s v="zeelaf invoices"/>
    <m/>
    <n v="23500"/>
    <n v="-23500"/>
  </r>
  <r>
    <d v="2020-01-14T00:00:00"/>
    <x v="0"/>
    <m/>
    <s v="ftc invoices"/>
    <m/>
    <n v="5000"/>
    <n v="-5000"/>
  </r>
  <r>
    <d v="2020-01-14T00:00:00"/>
    <x v="0"/>
    <m/>
    <s v="falcon invoices"/>
    <m/>
    <n v="500"/>
    <n v="-500"/>
  </r>
  <r>
    <d v="2020-01-14T00:00:00"/>
    <x v="0"/>
    <m/>
    <s v="efu invoices"/>
    <m/>
    <n v="4000"/>
    <n v="-4000"/>
  </r>
  <r>
    <d v="2020-01-14T00:00:00"/>
    <x v="0"/>
    <m/>
    <s v="invocies naveed malik"/>
    <m/>
    <n v="8000"/>
    <n v="-8000"/>
  </r>
  <r>
    <d v="2020-01-14T00:00:00"/>
    <x v="0"/>
    <m/>
    <s v="to shahid painter for site expenses"/>
    <m/>
    <n v="5000"/>
    <n v="-5000"/>
  </r>
  <r>
    <d v="2020-01-15T00:00:00"/>
    <x v="0"/>
    <m/>
    <s v="cash paid"/>
    <n v="5000"/>
    <m/>
    <n v="5000"/>
  </r>
  <r>
    <d v="2020-01-23T00:00:00"/>
    <x v="0"/>
    <m/>
    <s v="zeelaf invoices"/>
    <m/>
    <n v="2000"/>
    <n v="-2000"/>
  </r>
  <r>
    <d v="2020-01-23T00:00:00"/>
    <x v="0"/>
    <m/>
    <s v="ftc invoices"/>
    <m/>
    <n v="2000"/>
    <n v="-2000"/>
  </r>
  <r>
    <d v="2020-01-23T00:00:00"/>
    <x v="0"/>
    <m/>
    <s v="for farhan bhai k elec bill"/>
    <n v="3281"/>
    <m/>
    <n v="3281"/>
  </r>
  <r>
    <d v="2020-01-27T00:00:00"/>
    <x v="0"/>
    <m/>
    <s v="to shahid"/>
    <m/>
    <n v="5000"/>
    <n v="-5000"/>
  </r>
  <r>
    <d v="2020-01-27T00:00:00"/>
    <x v="0"/>
    <m/>
    <s v="cash paid"/>
    <n v="6000"/>
    <m/>
    <n v="6000"/>
  </r>
  <r>
    <d v="2020-01-27T00:00:00"/>
    <x v="0"/>
    <m/>
    <s v="invocies zeelaf"/>
    <m/>
    <n v="8000"/>
    <n v="-8000"/>
  </r>
  <r>
    <d v="2020-01-31T00:00:00"/>
    <x v="0"/>
    <m/>
    <s v="cash paid"/>
    <n v="5000"/>
    <m/>
    <n v="5000"/>
  </r>
  <r>
    <d v="2020-02-01T00:00:00"/>
    <x v="0"/>
    <m/>
    <s v="cash paid"/>
    <n v="7000"/>
    <m/>
    <n v="7000"/>
  </r>
  <r>
    <d v="2020-02-04T00:00:00"/>
    <x v="0"/>
    <m/>
    <s v="imran c/o feroz salary adv"/>
    <m/>
    <n v="2000"/>
    <n v="-2000"/>
  </r>
  <r>
    <d v="2020-02-10T00:00:00"/>
    <x v="0"/>
    <m/>
    <s v="cash paid"/>
    <n v="300000"/>
    <m/>
    <n v="300000"/>
  </r>
  <r>
    <d v="2020-02-10T00:00:00"/>
    <x v="0"/>
    <m/>
    <s v="invoices for flue duct jpmc"/>
    <m/>
    <n v="239565"/>
    <n v="-239565"/>
  </r>
  <r>
    <d v="2020-02-10T00:00:00"/>
    <x v="0"/>
    <m/>
    <s v="invocies jpmc"/>
    <m/>
    <n v="2000"/>
    <n v="-2000"/>
  </r>
  <r>
    <d v="2020-02-10T00:00:00"/>
    <x v="0"/>
    <m/>
    <s v="invocies jpmc"/>
    <m/>
    <n v="1000"/>
    <n v="-1000"/>
  </r>
  <r>
    <d v="2020-02-10T00:00:00"/>
    <x v="0"/>
    <m/>
    <s v="invoices ftc"/>
    <m/>
    <n v="2000"/>
    <n v="-2000"/>
  </r>
  <r>
    <d v="2020-02-10T00:00:00"/>
    <x v="0"/>
    <m/>
    <s v="invoices zeelaf"/>
    <m/>
    <n v="1000"/>
    <n v="-1000"/>
  </r>
  <r>
    <d v="2020-02-17T00:00:00"/>
    <x v="0"/>
    <m/>
    <s v="invoices"/>
    <m/>
    <n v="5860"/>
    <n v="-5860"/>
  </r>
  <r>
    <d v="2020-02-18T00:00:00"/>
    <x v="0"/>
    <m/>
    <s v="to shahid painter for naveed malik"/>
    <m/>
    <n v="5000"/>
    <n v="-5000"/>
  </r>
  <r>
    <d v="2020-02-18T00:00:00"/>
    <x v="0"/>
    <m/>
    <s v="welding plant jpmc plant"/>
    <m/>
    <n v="1000"/>
    <n v="-1000"/>
  </r>
  <r>
    <d v="2020-02-18T00:00:00"/>
    <x v="0"/>
    <m/>
    <s v="welding plant hashmani"/>
    <m/>
    <n v="1000"/>
    <n v="-1000"/>
  </r>
  <r>
    <d v="2020-02-18T00:00:00"/>
    <x v="0"/>
    <m/>
    <s v="welding plant jpmc plant"/>
    <m/>
    <n v="1000"/>
    <n v="-1000"/>
  </r>
  <r>
    <d v="2020-02-18T00:00:00"/>
    <x v="0"/>
    <m/>
    <s v="welding plant jpmc plant"/>
    <m/>
    <n v="1000"/>
    <n v="-1000"/>
  </r>
  <r>
    <d v="2020-02-18T00:00:00"/>
    <x v="0"/>
    <m/>
    <s v="welding plant jpmc plant"/>
    <m/>
    <n v="1000"/>
    <n v="-1000"/>
  </r>
  <r>
    <d v="2020-02-24T00:00:00"/>
    <x v="0"/>
    <m/>
    <s v="shahid painter for navved malik"/>
    <m/>
    <n v="2000"/>
    <n v="-2000"/>
  </r>
  <r>
    <d v="2020-02-24T00:00:00"/>
    <x v="0"/>
    <m/>
    <s v="invoices"/>
    <m/>
    <n v="31440"/>
    <n v="-31440"/>
  </r>
  <r>
    <d v="2020-02-26T00:00:00"/>
    <x v="0"/>
    <m/>
    <s v="for printer purcahsed"/>
    <n v="20000"/>
    <m/>
    <n v="20000"/>
  </r>
  <r>
    <d v="2020-02-26T00:00:00"/>
    <x v="0"/>
    <m/>
    <s v="farhan bhai bill paid"/>
    <n v="1630"/>
    <m/>
    <n v="1630"/>
  </r>
  <r>
    <d v="2020-02-27T00:00:00"/>
    <x v="0"/>
    <m/>
    <s v="to shahid oainter in naveed malik"/>
    <m/>
    <n v="3000"/>
    <n v="-3000"/>
  </r>
  <r>
    <d v="2020-02-27T00:00:00"/>
    <x v="0"/>
    <m/>
    <s v="to imran engr for site expenses"/>
    <m/>
    <n v="3000"/>
    <n v="-3000"/>
  </r>
  <r>
    <d v="2020-02-27T00:00:00"/>
    <x v="0"/>
    <m/>
    <s v="paid for sqaure pipe"/>
    <n v="50000"/>
    <m/>
    <n v="50000"/>
  </r>
  <r>
    <d v="2020-02-27T00:00:00"/>
    <x v="0"/>
    <m/>
    <s v="SALARY ADV KHALID BHAI"/>
    <m/>
    <n v="10000"/>
    <n v="-10000"/>
  </r>
  <r>
    <d v="2020-02-27T00:00:00"/>
    <x v="0"/>
    <m/>
    <s v="to mughal for sqaure pipe"/>
    <m/>
    <n v="40600"/>
    <n v="-40600"/>
  </r>
  <r>
    <d v="2020-03-03T00:00:00"/>
    <x v="0"/>
    <m/>
    <s v="cash"/>
    <n v="5000"/>
    <m/>
    <n v="5000"/>
  </r>
  <r>
    <d v="2020-03-06T00:00:00"/>
    <x v="0"/>
    <m/>
    <s v="cash"/>
    <n v="10000"/>
    <m/>
    <n v="10000"/>
  </r>
  <r>
    <d v="2020-03-06T00:00:00"/>
    <x v="0"/>
    <m/>
    <s v="cash paidnter for site expenses naveed malik"/>
    <m/>
    <n v="3000"/>
    <n v="-3000"/>
  </r>
  <r>
    <d v="2020-03-11T00:00:00"/>
    <x v="0"/>
    <m/>
    <s v="cash paid to bilal auto"/>
    <m/>
    <n v="2500"/>
    <n v="-2500"/>
  </r>
  <r>
    <d v="2020-03-11T00:00:00"/>
    <x v="0"/>
    <m/>
    <s v="cash paid for truck fare in falcon pipe to nadeem baloch"/>
    <m/>
    <n v="7500"/>
    <n v="-7500"/>
  </r>
  <r>
    <d v="2020-03-17T00:00:00"/>
    <x v="0"/>
    <m/>
    <s v="cash paid"/>
    <n v="50000"/>
    <m/>
    <n v="50000"/>
  </r>
  <r>
    <d v="2020-03-17T00:00:00"/>
    <x v="0"/>
    <m/>
    <s v="invoices paid to haneef"/>
    <m/>
    <n v="2000"/>
    <n v="-2000"/>
  </r>
  <r>
    <d v="2020-03-17T00:00:00"/>
    <x v="0"/>
    <m/>
    <s v="invoices ftc"/>
    <m/>
    <n v="2000"/>
    <n v="-2000"/>
  </r>
  <r>
    <d v="2020-03-17T00:00:00"/>
    <x v="0"/>
    <m/>
    <s v="invoices efu"/>
    <m/>
    <n v="2000"/>
    <n v="-2000"/>
  </r>
  <r>
    <d v="2020-03-17T00:00:00"/>
    <x v="0"/>
    <m/>
    <s v="invoices jpmc"/>
    <m/>
    <n v="2000"/>
    <n v="-2000"/>
  </r>
  <r>
    <d v="2020-03-17T00:00:00"/>
    <x v="0"/>
    <m/>
    <s v="invoices zeelaf"/>
    <m/>
    <n v="17000"/>
    <n v="-17000"/>
  </r>
  <r>
    <d v="2020-03-19T00:00:00"/>
    <x v="0"/>
    <m/>
    <s v="cash"/>
    <n v="10000"/>
    <m/>
    <n v="10000"/>
  </r>
  <r>
    <d v="2020-04-01T00:00:00"/>
    <x v="0"/>
    <m/>
    <s v="paid to azaad"/>
    <m/>
    <n v="15000"/>
    <n v="-15000"/>
  </r>
  <r>
    <d v="2020-04-06T00:00:00"/>
    <x v="0"/>
    <m/>
    <s v="cash paid to farhan bhai"/>
    <n v="20000"/>
    <m/>
    <n v="20000"/>
  </r>
  <r>
    <d v="2020-04-09T00:00:00"/>
    <x v="0"/>
    <m/>
    <s v="for bilal bhai home medicine"/>
    <m/>
    <n v="8000"/>
    <n v="-8000"/>
  </r>
  <r>
    <d v="2020-04-11T00:00:00"/>
    <x v="0"/>
    <m/>
    <s v="paid to azaad"/>
    <m/>
    <n v="3000"/>
    <n v="-3000"/>
  </r>
  <r>
    <d v="2020-04-12T00:00:00"/>
    <x v="0"/>
    <m/>
    <s v="to rafeeq"/>
    <m/>
    <n v="1000"/>
    <n v="-1000"/>
  </r>
  <r>
    <d v="2020-04-12T00:00:00"/>
    <x v="0"/>
    <m/>
    <s v="to shahid painter"/>
    <m/>
    <n v="1000"/>
    <n v="-1000"/>
  </r>
  <r>
    <d v="2020-04-14T00:00:00"/>
    <x v="0"/>
    <m/>
    <s v="to rehan for office petty cash"/>
    <m/>
    <n v="1000"/>
    <n v="-1000"/>
  </r>
  <r>
    <d v="2020-04-14T00:00:00"/>
    <x v="0"/>
    <m/>
    <s v="to rehan for office petty cash"/>
    <m/>
    <n v="5000"/>
    <n v="-5000"/>
  </r>
  <r>
    <d v="2020-04-23T00:00:00"/>
    <x v="0"/>
    <m/>
    <s v="cash paid"/>
    <n v="5000"/>
    <m/>
    <n v="5000"/>
  </r>
  <r>
    <d v="2020-04-28T00:00:00"/>
    <x v="0"/>
    <m/>
    <s v="farhan bhai bill paid"/>
    <n v="3549"/>
    <m/>
    <n v="3549"/>
  </r>
  <r>
    <d v="2020-04-28T00:00:00"/>
    <x v="0"/>
    <m/>
    <s v="jpmc invoices"/>
    <m/>
    <n v="16580"/>
    <n v="-16580"/>
  </r>
  <r>
    <d v="2020-04-30T00:00:00"/>
    <x v="0"/>
    <m/>
    <s v="to jahangeer"/>
    <m/>
    <n v="5000"/>
    <n v="-5000"/>
  </r>
  <r>
    <d v="2020-04-30T00:00:00"/>
    <x v="0"/>
    <m/>
    <s v="to imran engr for gas kit"/>
    <m/>
    <n v="5000"/>
    <n v="-5000"/>
  </r>
  <r>
    <d v="2020-04-30T00:00:00"/>
    <x v="0"/>
    <m/>
    <s v="r mbile load"/>
    <m/>
    <n v="2000"/>
    <n v="-2000"/>
  </r>
  <r>
    <d v="2020-04-30T00:00:00"/>
    <x v="0"/>
    <m/>
    <s v="cash paid"/>
    <n v="3500"/>
    <m/>
    <n v="3500"/>
  </r>
  <r>
    <d v="2020-05-14T00:00:00"/>
    <x v="0"/>
    <m/>
    <s v="received from bilal bhai"/>
    <n v="200000"/>
    <m/>
    <n v="200000"/>
  </r>
  <r>
    <d v="2020-05-14T00:00:00"/>
    <x v="0"/>
    <m/>
    <s v="purcahsed exhast fans voldam for jpmc"/>
    <m/>
    <n v="45000"/>
    <n v="-45000"/>
  </r>
  <r>
    <d v="2020-05-14T00:00:00"/>
    <x v="0"/>
    <m/>
    <s v="unsulation and other items for zeelaf"/>
    <m/>
    <n v="65480"/>
    <n v="-65480"/>
  </r>
  <r>
    <d v="2020-05-20T00:00:00"/>
    <x v="0"/>
    <m/>
    <s v="To Shahbaz jpmc for salary advance"/>
    <m/>
    <n v="2000"/>
    <n v="-2000"/>
  </r>
  <r>
    <d v="2020-05-20T00:00:00"/>
    <x v="0"/>
    <m/>
    <s v="to khalid the place salary advance"/>
    <m/>
    <n v="3000"/>
    <n v="-3000"/>
  </r>
  <r>
    <d v="2020-05-20T00:00:00"/>
    <x v="0"/>
    <m/>
    <s v="Bilal bhai"/>
    <m/>
    <n v="8000"/>
    <n v="-8000"/>
  </r>
  <r>
    <d v="2020-05-20T00:00:00"/>
    <x v="0"/>
    <m/>
    <s v="Azeem for purchasing"/>
    <m/>
    <n v="3000"/>
    <n v="-3000"/>
  </r>
  <r>
    <d v="2020-05-20T00:00:00"/>
    <x v="0"/>
    <m/>
    <s v="Rehan for petty cash"/>
    <m/>
    <n v="22500"/>
    <n v="-22500"/>
  </r>
  <r>
    <d v="2020-05-20T00:00:00"/>
    <x v="0"/>
    <m/>
    <s v="to haneef bhai for nadeem bhai home pump"/>
    <n v="2500"/>
    <m/>
    <n v="2500"/>
  </r>
  <r>
    <d v="2020-05-21T00:00:00"/>
    <x v="0"/>
    <m/>
    <s v="to rehan for office petty cash"/>
    <m/>
    <n v="50000"/>
    <n v="-50000"/>
  </r>
  <r>
    <d v="2020-05-21T00:00:00"/>
    <x v="0"/>
    <m/>
    <s v="purchased office printer"/>
    <m/>
    <n v="5000"/>
    <n v="-5000"/>
  </r>
  <r>
    <d v="2020-06-05T00:00:00"/>
    <x v="0"/>
    <m/>
    <s v="nadeem bhai home utilities bill paid"/>
    <n v="9426"/>
    <m/>
    <n v="9426"/>
  </r>
  <r>
    <d v="2020-06-05T00:00:00"/>
    <x v="0"/>
    <m/>
    <s v="shahid painter for navved malik"/>
    <m/>
    <n v="1000"/>
    <n v="-1000"/>
  </r>
  <r>
    <d v="2020-06-05T00:00:00"/>
    <x v="0"/>
    <m/>
    <s v="khalid bhai naveed"/>
    <m/>
    <n v="1000"/>
    <n v="-1000"/>
  </r>
  <r>
    <d v="2020-06-05T00:00:00"/>
    <x v="0"/>
    <m/>
    <s v="rafeeq for zela"/>
    <m/>
    <n v="1000"/>
    <n v="-1000"/>
  </r>
  <r>
    <d v="2020-06-05T00:00:00"/>
    <x v="0"/>
    <m/>
    <s v="to nadeem bhai"/>
    <n v="6500"/>
    <m/>
    <n v="6500"/>
  </r>
  <r>
    <d v="2020-06-06T00:00:00"/>
    <x v="0"/>
    <m/>
    <s v="to farhan"/>
    <n v="20000"/>
    <m/>
    <n v="20000"/>
  </r>
  <r>
    <d v="2020-06-06T00:00:00"/>
    <x v="0"/>
    <m/>
    <s v="ahmed fees paid"/>
    <n v="28255"/>
    <m/>
    <n v="28255"/>
  </r>
  <r>
    <d v="2020-06-06T00:00:00"/>
    <x v="0"/>
    <m/>
    <s v="a rehman fees paid"/>
    <n v="28255"/>
    <m/>
    <n v="28255"/>
  </r>
  <r>
    <d v="2020-06-11T00:00:00"/>
    <x v="0"/>
    <m/>
    <s v="paid to azaad for switch for machine"/>
    <m/>
    <n v="5000"/>
    <n v="-5000"/>
  </r>
  <r>
    <d v="2020-06-15T00:00:00"/>
    <x v="0"/>
    <m/>
    <s v="cash paid"/>
    <n v="125000"/>
    <m/>
    <n v="125000"/>
  </r>
  <r>
    <d v="2020-06-15T00:00:00"/>
    <x v="0"/>
    <m/>
    <s v="invoices"/>
    <m/>
    <n v="6000"/>
    <n v="-6000"/>
  </r>
  <r>
    <d v="2020-06-15T00:00:00"/>
    <x v="0"/>
    <m/>
    <s v="invoices"/>
    <m/>
    <n v="2000"/>
    <n v="-2000"/>
  </r>
  <r>
    <d v="2020-06-15T00:00:00"/>
    <x v="0"/>
    <m/>
    <s v="paid to shahid in zeelaf"/>
    <m/>
    <n v="5000"/>
    <n v="-5000"/>
  </r>
  <r>
    <d v="2020-06-19T00:00:00"/>
    <x v="0"/>
    <m/>
    <s v="cash paid to saeed nhai saim bros"/>
    <m/>
    <n v="200000"/>
    <n v="-200000"/>
  </r>
  <r>
    <d v="2020-06-19T00:00:00"/>
    <x v="0"/>
    <m/>
    <s v="cash paid to rehan pump"/>
    <m/>
    <n v="10000"/>
    <n v="-10000"/>
  </r>
  <r>
    <d v="2020-06-19T00:00:00"/>
    <x v="0"/>
    <m/>
    <s v="office printer service and repaieing"/>
    <m/>
    <n v="2000"/>
    <n v="-2000"/>
  </r>
  <r>
    <d v="2020-06-23T00:00:00"/>
    <x v="0"/>
    <m/>
    <s v="to azaad"/>
    <m/>
    <n v="5000"/>
    <n v="-5000"/>
  </r>
  <r>
    <d v="2020-06-23T00:00:00"/>
    <x v="0"/>
    <m/>
    <s v="to adil plumber"/>
    <m/>
    <n v="3000"/>
    <n v="-3000"/>
  </r>
  <r>
    <d v="2020-06-24T00:00:00"/>
    <x v="0"/>
    <m/>
    <s v="invoices jpmc"/>
    <m/>
    <n v="8250"/>
    <n v="-8250"/>
  </r>
  <r>
    <d v="2020-06-24T00:00:00"/>
    <x v="0"/>
    <m/>
    <s v="farhan bhai bill paid"/>
    <n v="15664"/>
    <m/>
    <n v="15664"/>
  </r>
  <r>
    <d v="2020-06-24T00:00:00"/>
    <x v="0"/>
    <m/>
    <s v="cash paid"/>
    <n v="35000"/>
    <m/>
    <n v="35000"/>
  </r>
  <r>
    <d v="2020-06-27T00:00:00"/>
    <x v="0"/>
    <m/>
    <s v="to shahid rigger in jpmc"/>
    <m/>
    <n v="12000"/>
    <n v="-12000"/>
  </r>
  <r>
    <d v="2020-06-27T00:00:00"/>
    <x v="0"/>
    <m/>
    <s v="to adil plumber in naveed malik"/>
    <m/>
    <n v="6300"/>
    <n v="-6300"/>
  </r>
  <r>
    <d v="2020-06-27T00:00:00"/>
    <x v="0"/>
    <m/>
    <s v="to bharmal for gas regulator 1-1/2"/>
    <m/>
    <n v="11000"/>
    <n v="-11000"/>
  </r>
  <r>
    <d v="2020-06-27T00:00:00"/>
    <x v="0"/>
    <m/>
    <s v="to bharmal for gas regulator 1-1/2"/>
    <m/>
    <n v="14000"/>
    <n v="-14000"/>
  </r>
  <r>
    <d v="2020-06-27T00:00:00"/>
    <x v="0"/>
    <m/>
    <s v="Azeem for purchasing"/>
    <m/>
    <n v="3000"/>
    <n v="-3000"/>
  </r>
  <r>
    <d v="2020-06-27T00:00:00"/>
    <x v="0"/>
    <m/>
    <s v="PADI FOR diesl level control swithc 01 nos"/>
    <m/>
    <n v="8000"/>
    <n v="-8000"/>
  </r>
  <r>
    <d v="2020-06-30T00:00:00"/>
    <x v="0"/>
    <m/>
    <s v="paid for unit repair at naveed malik"/>
    <m/>
    <n v="3000"/>
    <n v="-3000"/>
  </r>
  <r>
    <d v="2020-06-30T00:00:00"/>
    <x v="0"/>
    <m/>
    <s v="cash paid"/>
    <n v="85000"/>
    <m/>
    <n v="85000"/>
  </r>
  <r>
    <d v="2020-06-30T00:00:00"/>
    <x v="0"/>
    <m/>
    <s v="cash paid "/>
    <m/>
    <n v="8200"/>
    <n v="-8200"/>
  </r>
  <r>
    <d v="2020-06-30T00:00:00"/>
    <x v="0"/>
    <m/>
    <s v="gland"/>
    <m/>
    <n v="3000"/>
    <n v="-3000"/>
  </r>
  <r>
    <d v="2020-06-30T00:00:00"/>
    <x v="0"/>
    <m/>
    <s v="split ac"/>
    <m/>
    <n v="2000"/>
    <n v="-2000"/>
  </r>
  <r>
    <d v="2020-06-30T00:00:00"/>
    <x v="0"/>
    <m/>
    <s v="for mulmal cloth"/>
    <m/>
    <n v="2000"/>
    <n v="-2000"/>
  </r>
  <r>
    <d v="2020-07-06T00:00:00"/>
    <x v="0"/>
    <m/>
    <s v="to imran engr"/>
    <m/>
    <n v="2000"/>
    <n v="-2000"/>
  </r>
  <r>
    <d v="2020-07-06T00:00:00"/>
    <x v="0"/>
    <m/>
    <s v="to shahid painter"/>
    <m/>
    <n v="1000"/>
    <n v="-1000"/>
  </r>
  <r>
    <d v="2020-07-06T00:00:00"/>
    <x v="0"/>
    <m/>
    <s v="jpmc lunch"/>
    <m/>
    <n v="5000"/>
    <n v="-5000"/>
  </r>
  <r>
    <d v="2020-07-06T00:00:00"/>
    <x v="0"/>
    <m/>
    <s v="invoices naveed malik"/>
    <m/>
    <n v="1080"/>
    <n v="-1080"/>
  </r>
  <r>
    <d v="2020-07-06T00:00:00"/>
    <x v="0"/>
    <m/>
    <s v="invoices jpmc"/>
    <m/>
    <n v="3000"/>
    <n v="-3000"/>
  </r>
  <r>
    <d v="2020-07-06T00:00:00"/>
    <x v="0"/>
    <m/>
    <s v="cash paid"/>
    <n v="80000"/>
    <m/>
    <n v="80000"/>
  </r>
  <r>
    <d v="2020-07-06T00:00:00"/>
    <x v="0"/>
    <m/>
    <s v="invoices"/>
    <m/>
    <n v="14290"/>
    <n v="-14290"/>
  </r>
  <r>
    <d v="2020-07-06T00:00:00"/>
    <x v="0"/>
    <m/>
    <s v="to imran engr"/>
    <m/>
    <n v="1000"/>
    <n v="-1000"/>
  </r>
  <r>
    <d v="2020-07-06T00:00:00"/>
    <x v="0"/>
    <m/>
    <s v="for misc expenses"/>
    <m/>
    <n v="1000"/>
    <n v="-1000"/>
  </r>
  <r>
    <d v="2020-07-06T00:00:00"/>
    <x v="0"/>
    <m/>
    <s v="cash"/>
    <n v="50000"/>
    <m/>
    <n v="50000"/>
  </r>
  <r>
    <d v="2020-07-14T00:00:00"/>
    <x v="0"/>
    <m/>
    <s v="paid to azaad"/>
    <m/>
    <n v="15000"/>
    <n v="-15000"/>
  </r>
  <r>
    <d v="2020-07-14T00:00:00"/>
    <x v="0"/>
    <m/>
    <s v="paid to ali khalid"/>
    <m/>
    <n v="4000"/>
    <n v="-4000"/>
  </r>
  <r>
    <d v="2020-07-14T00:00:00"/>
    <x v="0"/>
    <m/>
    <s v="paid to shahid painter "/>
    <m/>
    <n v="6000"/>
    <n v="-6000"/>
  </r>
  <r>
    <d v="2020-07-15T00:00:00"/>
    <x v="0"/>
    <m/>
    <s v="to imran engr"/>
    <m/>
    <n v="10000"/>
    <n v="-10000"/>
  </r>
  <r>
    <d v="2020-07-15T00:00:00"/>
    <x v="0"/>
    <m/>
    <s v="fuel invoice"/>
    <m/>
    <n v="2000"/>
    <n v="-2000"/>
  </r>
  <r>
    <d v="2020-07-15T00:00:00"/>
    <x v="0"/>
    <m/>
    <s v="advance to amir plumber for july"/>
    <m/>
    <n v="10000"/>
    <n v="-10000"/>
  </r>
  <r>
    <d v="2020-07-15T00:00:00"/>
    <x v="0"/>
    <m/>
    <s v="paid to labourer at jpmc"/>
    <m/>
    <n v="43800"/>
    <n v="-43800"/>
  </r>
  <r>
    <d v="2020-07-15T00:00:00"/>
    <x v="0"/>
    <m/>
    <s v="paid to rizwan core"/>
    <m/>
    <n v="4500"/>
    <n v="-4500"/>
  </r>
  <r>
    <d v="2020-07-20T00:00:00"/>
    <x v="0"/>
    <m/>
    <s v="paid for cast iron manhole colver"/>
    <m/>
    <n v="24600"/>
    <n v="-24600"/>
  </r>
  <r>
    <d v="2020-07-20T00:00:00"/>
    <x v="0"/>
    <m/>
    <s v="imtiaz tender ponam store"/>
    <m/>
    <n v="3000"/>
    <n v="-3000"/>
  </r>
  <r>
    <d v="2020-07-21T00:00:00"/>
    <x v="0"/>
    <m/>
    <s v="jpmc invoices"/>
    <m/>
    <n v="18972"/>
    <n v="-18972"/>
  </r>
  <r>
    <d v="2020-07-21T00:00:00"/>
    <x v="0"/>
    <m/>
    <s v="jpmc invoices"/>
    <m/>
    <n v="21410"/>
    <n v="-21410"/>
  </r>
  <r>
    <d v="2020-07-21T00:00:00"/>
    <x v="0"/>
    <m/>
    <s v="to faheem elec he will give invoices"/>
    <m/>
    <n v="5000"/>
    <n v="-5000"/>
  </r>
  <r>
    <d v="2020-07-21T00:00:00"/>
    <x v="0"/>
    <m/>
    <s v="to azaad duct"/>
    <m/>
    <n v="5000"/>
    <n v="-5000"/>
  </r>
  <r>
    <d v="2020-07-21T00:00:00"/>
    <x v="0"/>
    <m/>
    <s v="to abbas salary advance"/>
    <m/>
    <n v="2000"/>
    <n v="-2000"/>
  </r>
  <r>
    <d v="2020-07-21T00:00:00"/>
    <x v="0"/>
    <m/>
    <s v="cash paid"/>
    <n v="15000"/>
    <m/>
    <n v="15000"/>
  </r>
  <r>
    <d v="2020-07-21T00:00:00"/>
    <x v="0"/>
    <m/>
    <s v="naveed malik connector purcahed"/>
    <m/>
    <n v="8000"/>
    <n v="-8000"/>
  </r>
  <r>
    <d v="2020-07-21T00:00:00"/>
    <x v="0"/>
    <m/>
    <s v="jpmc invoices"/>
    <m/>
    <n v="3715"/>
    <n v="-3715"/>
  </r>
  <r>
    <d v="2020-07-29T00:00:00"/>
    <x v="0"/>
    <m/>
    <s v="to azaad"/>
    <m/>
    <n v="10000"/>
    <n v="-10000"/>
  </r>
  <r>
    <d v="2020-07-30T00:00:00"/>
    <x v="0"/>
    <m/>
    <s v="to shahid painter salary advance"/>
    <m/>
    <n v="5000"/>
    <n v="-5000"/>
  </r>
  <r>
    <d v="2020-07-30T00:00:00"/>
    <x v="0"/>
    <m/>
    <s v="cash paid"/>
    <n v="20000"/>
    <m/>
    <n v="20000"/>
  </r>
  <r>
    <d v="2020-08-11T00:00:00"/>
    <x v="0"/>
    <m/>
    <s v="cash paid"/>
    <n v="70000"/>
    <m/>
    <n v="70000"/>
  </r>
  <r>
    <d v="2020-08-12T00:00:00"/>
    <x v="0"/>
    <m/>
    <s v="cash paid"/>
    <n v="50000"/>
    <m/>
    <n v="50000"/>
  </r>
  <r>
    <d v="2020-08-12T00:00:00"/>
    <x v="0"/>
    <m/>
    <s v="cash paid"/>
    <n v="100000"/>
    <m/>
    <n v="100000"/>
  </r>
  <r>
    <d v="2020-08-20T00:00:00"/>
    <x v="0"/>
    <m/>
    <s v="to rehan for office petty cash"/>
    <m/>
    <n v="3000"/>
    <n v="-3000"/>
  </r>
  <r>
    <d v="2020-08-22T00:00:00"/>
    <x v="0"/>
    <m/>
    <s v="cash paid"/>
    <n v="10000"/>
    <m/>
    <n v="10000"/>
  </r>
  <r>
    <d v="2020-09-02T00:00:00"/>
    <x v="0"/>
    <m/>
    <s v="cash paid"/>
    <n v="2000"/>
    <m/>
    <n v="2000"/>
  </r>
  <r>
    <d v="2020-09-04T00:00:00"/>
    <x v="0"/>
    <m/>
    <s v="bank alfalah misc"/>
    <m/>
    <n v="1000"/>
    <n v="-1000"/>
  </r>
  <r>
    <d v="2020-09-04T00:00:00"/>
    <x v="0"/>
    <m/>
    <s v="rashid at bank alfalah"/>
    <m/>
    <n v="3000"/>
    <n v="-3000"/>
  </r>
  <r>
    <d v="2020-09-04T00:00:00"/>
    <x v="0"/>
    <m/>
    <s v="azaad at bank alfalah"/>
    <m/>
    <n v="1000"/>
    <n v="-1000"/>
  </r>
  <r>
    <d v="2020-09-04T00:00:00"/>
    <x v="0"/>
    <m/>
    <s v="salary advance to shahid painter"/>
    <m/>
    <n v="5000"/>
    <n v="-5000"/>
  </r>
  <r>
    <d v="2020-09-04T00:00:00"/>
    <x v="0"/>
    <m/>
    <s v="suzuki fare jpmc"/>
    <m/>
    <n v="1000"/>
    <n v="-1000"/>
  </r>
  <r>
    <d v="2020-09-04T00:00:00"/>
    <x v="0"/>
    <m/>
    <s v="ms pipe threading 6&quot; and 8&quot;"/>
    <m/>
    <n v="4000"/>
    <n v="-4000"/>
  </r>
  <r>
    <d v="2020-09-04T00:00:00"/>
    <x v="0"/>
    <m/>
    <s v="rubber plug in falcon"/>
    <m/>
    <n v="1000"/>
    <n v="-1000"/>
  </r>
  <r>
    <d v="2020-09-04T00:00:00"/>
    <x v="0"/>
    <m/>
    <s v="jpmc misc"/>
    <m/>
    <n v="1000"/>
    <n v="-1000"/>
  </r>
  <r>
    <d v="2020-09-04T00:00:00"/>
    <x v="0"/>
    <m/>
    <s v="suzuki fare jpmc"/>
    <m/>
    <n v="3000"/>
    <n v="-3000"/>
  </r>
  <r>
    <d v="2020-09-04T00:00:00"/>
    <x v="0"/>
    <m/>
    <s v="computer repair jpmc"/>
    <m/>
    <n v="4000"/>
    <n v="-4000"/>
  </r>
  <r>
    <d v="2020-09-04T00:00:00"/>
    <x v="0"/>
    <m/>
    <s v="amir plumber for marterial"/>
    <m/>
    <n v="1000"/>
    <n v="-1000"/>
  </r>
  <r>
    <d v="2020-09-04T00:00:00"/>
    <x v="0"/>
    <m/>
    <s v="salary advance to amir"/>
    <m/>
    <n v="1000"/>
    <n v="-1000"/>
  </r>
  <r>
    <d v="2020-09-04T00:00:00"/>
    <x v="0"/>
    <m/>
    <s v="paid to mukhtiaz"/>
    <m/>
    <n v="24000"/>
    <n v="-24000"/>
  </r>
  <r>
    <d v="2020-09-04T00:00:00"/>
    <x v="0"/>
    <m/>
    <s v="naveed malik invocies"/>
    <m/>
    <n v="3000"/>
    <n v="-3000"/>
  </r>
  <r>
    <d v="2020-09-04T00:00:00"/>
    <x v="0"/>
    <m/>
    <s v="jpmc invoices"/>
    <m/>
    <n v="78710"/>
    <n v="-78710"/>
  </r>
  <r>
    <d v="2020-09-04T00:00:00"/>
    <x v="0"/>
    <m/>
    <s v="falcon invoices"/>
    <m/>
    <n v="17488"/>
    <n v="-17488"/>
  </r>
  <r>
    <d v="2020-09-07T00:00:00"/>
    <x v="0"/>
    <m/>
    <s v="cash paid to azaad advance"/>
    <m/>
    <n v="20000"/>
    <n v="-20000"/>
  </r>
  <r>
    <d v="2020-09-10T00:00:00"/>
    <x v="0"/>
    <m/>
    <s v="salary adv to shahid painter"/>
    <m/>
    <n v="5000"/>
    <n v="-5000"/>
  </r>
  <r>
    <d v="2020-09-10T00:00:00"/>
    <x v="0"/>
    <m/>
    <s v="given to shahid in his salary"/>
    <m/>
    <n v="2000"/>
    <n v="-2000"/>
  </r>
  <r>
    <d v="2020-09-14T00:00:00"/>
    <x v="0"/>
    <m/>
    <s v="invoives"/>
    <m/>
    <n v="58000"/>
    <n v="-58000"/>
  </r>
  <r>
    <d v="2020-09-14T00:00:00"/>
    <x v="0"/>
    <m/>
    <s v="cash paid"/>
    <n v="25000"/>
    <m/>
    <n v="25000"/>
  </r>
  <r>
    <d v="2020-09-15T00:00:00"/>
    <x v="0"/>
    <m/>
    <s v="cash paid"/>
    <n v="30000"/>
    <m/>
    <n v="30000"/>
  </r>
  <r>
    <d v="2020-09-15T00:00:00"/>
    <x v="0"/>
    <m/>
    <s v="invoives jpmc"/>
    <m/>
    <n v="24300"/>
    <n v="-24300"/>
  </r>
  <r>
    <d v="2020-09-15T00:00:00"/>
    <x v="0"/>
    <m/>
    <s v="to shahid painter salary advance"/>
    <m/>
    <n v="1500"/>
    <n v="-1500"/>
  </r>
  <r>
    <d v="2020-09-15T00:00:00"/>
    <x v="0"/>
    <m/>
    <s v="to mukhtiar advance"/>
    <m/>
    <n v="15000"/>
    <n v="-15000"/>
  </r>
  <r>
    <d v="2020-09-18T00:00:00"/>
    <x v="0"/>
    <m/>
    <s v="cash paid"/>
    <n v="150000"/>
    <m/>
    <n v="150000"/>
  </r>
  <r>
    <d v="2020-09-18T00:00:00"/>
    <x v="0"/>
    <m/>
    <s v="to azaad"/>
    <m/>
    <n v="2000"/>
    <n v="-2000"/>
  </r>
  <r>
    <d v="2020-09-18T00:00:00"/>
    <x v="0"/>
    <m/>
    <s v="to amir engr for imran engr"/>
    <m/>
    <n v="4000"/>
    <n v="-4000"/>
  </r>
  <r>
    <d v="2020-09-18T00:00:00"/>
    <x v="0"/>
    <m/>
    <s v="to imran engr for purcashing"/>
    <m/>
    <n v="30000"/>
    <n v="-30000"/>
  </r>
  <r>
    <d v="2020-09-19T00:00:00"/>
    <x v="0"/>
    <m/>
    <s v="cash paid"/>
    <n v="50000"/>
    <m/>
    <n v="50000"/>
  </r>
  <r>
    <d v="2020-09-19T00:00:00"/>
    <x v="0"/>
    <m/>
    <s v="paid to hammad flang wala"/>
    <m/>
    <n v="60000"/>
    <n v="-60000"/>
  </r>
  <r>
    <d v="2020-09-19T00:00:00"/>
    <x v="0"/>
    <m/>
    <s v="invoices 3 nos ac installation"/>
    <m/>
    <n v="5000"/>
    <n v="-5000"/>
  </r>
  <r>
    <d v="2020-09-19T00:00:00"/>
    <x v="0"/>
    <m/>
    <s v="cash paid"/>
    <n v="15000"/>
    <m/>
    <n v="15000"/>
  </r>
  <r>
    <d v="2020-09-21T00:00:00"/>
    <x v="0"/>
    <m/>
    <s v="cash paid"/>
    <n v="5000"/>
    <m/>
    <n v="5000"/>
  </r>
  <r>
    <d v="2020-09-22T00:00:00"/>
    <x v="0"/>
    <m/>
    <s v="cash paid"/>
    <n v="5000"/>
    <m/>
    <n v="5000"/>
  </r>
  <r>
    <d v="2020-09-25T00:00:00"/>
    <x v="0"/>
    <m/>
    <s v="to mukhtiar advance"/>
    <m/>
    <n v="2000"/>
    <n v="-2000"/>
  </r>
  <r>
    <d v="2020-09-25T00:00:00"/>
    <x v="0"/>
    <m/>
    <s v="for transportation from bharmal to jpmc and then jpmc to bharmal"/>
    <m/>
    <n v="3000"/>
    <n v="-3000"/>
  </r>
  <r>
    <d v="2020-09-25T00:00:00"/>
    <x v="0"/>
    <m/>
    <s v="cash paid by bilal bhai"/>
    <n v="100000"/>
    <m/>
    <n v="100000"/>
  </r>
  <r>
    <d v="2020-09-25T00:00:00"/>
    <x v="0"/>
    <m/>
    <s v="cash paid for farhan bhai k elec bill"/>
    <n v="18660"/>
    <m/>
    <n v="18660"/>
  </r>
  <r>
    <d v="2020-09-25T00:00:00"/>
    <x v="0"/>
    <m/>
    <s v="cash paid "/>
    <n v="25000"/>
    <m/>
    <n v="25000"/>
  </r>
  <r>
    <d v="2020-09-28T00:00:00"/>
    <x v="0"/>
    <m/>
    <s v="to shahid painter for jpmc purchasing"/>
    <m/>
    <n v="15000"/>
    <n v="-15000"/>
  </r>
  <r>
    <d v="2020-10-01T00:00:00"/>
    <x v="0"/>
    <m/>
    <s v="cash paid"/>
    <n v="5000"/>
    <m/>
    <n v="5000"/>
  </r>
  <r>
    <d v="2020-10-02T00:00:00"/>
    <x v="0"/>
    <m/>
    <s v="invoices jpmc"/>
    <m/>
    <n v="13720"/>
    <n v="-13720"/>
  </r>
  <r>
    <d v="2020-10-02T00:00:00"/>
    <x v="0"/>
    <m/>
    <s v="invoices falcon"/>
    <m/>
    <n v="2350"/>
    <n v="-2350"/>
  </r>
  <r>
    <d v="2020-10-02T00:00:00"/>
    <x v="0"/>
    <m/>
    <s v="invoices naveed malik"/>
    <m/>
    <n v="3550"/>
    <n v="-3550"/>
  </r>
  <r>
    <d v="2020-10-02T00:00:00"/>
    <x v="0"/>
    <m/>
    <s v="cash paid"/>
    <n v="50000"/>
    <m/>
    <n v="50000"/>
  </r>
  <r>
    <d v="2020-10-03T00:00:00"/>
    <x v="0"/>
    <m/>
    <s v="to imran engr"/>
    <m/>
    <n v="25000"/>
    <n v="-25000"/>
  </r>
  <r>
    <d v="2020-10-05T00:00:00"/>
    <x v="0"/>
    <m/>
    <s v="cash paid against nadeem bhai home utilities bills"/>
    <n v="23634"/>
    <m/>
    <n v="23634"/>
  </r>
  <r>
    <d v="2020-10-06T00:00:00"/>
    <x v="0"/>
    <m/>
    <s v="cash paid"/>
    <n v="50000"/>
    <m/>
    <n v="50000"/>
  </r>
  <r>
    <d v="2020-10-08T00:00:00"/>
    <x v="0"/>
    <m/>
    <s v="nadeem bhai salary for the month of september 20"/>
    <m/>
    <n v="50000"/>
    <n v="-50000"/>
  </r>
  <r>
    <d v="2020-10-09T00:00:00"/>
    <x v="0"/>
    <m/>
    <s v="salary adv to amir engr"/>
    <m/>
    <n v="1000"/>
    <n v="-1000"/>
  </r>
  <r>
    <d v="2020-10-09T00:00:00"/>
    <x v="0"/>
    <m/>
    <s v="cash paid for pump"/>
    <n v="5000"/>
    <m/>
    <n v="5000"/>
  </r>
  <r>
    <d v="2020-10-10T00:00:00"/>
    <x v="0"/>
    <m/>
    <s v="cash paid"/>
    <n v="15000"/>
    <m/>
    <n v="15000"/>
  </r>
  <r>
    <d v="2020-10-12T00:00:00"/>
    <x v="0"/>
    <m/>
    <s v="Eesha fees paid in bank al habib"/>
    <n v="16500"/>
    <m/>
    <n v="16500"/>
  </r>
  <r>
    <d v="2020-10-12T00:00:00"/>
    <x v="0"/>
    <m/>
    <s v="cash paid"/>
    <n v="100000"/>
    <m/>
    <n v="100000"/>
  </r>
  <r>
    <d v="2020-10-14T00:00:00"/>
    <x v="0"/>
    <m/>
    <s v="invoices falcon"/>
    <m/>
    <n v="2000"/>
    <n v="-2000"/>
  </r>
  <r>
    <d v="2020-10-14T00:00:00"/>
    <x v="0"/>
    <m/>
    <s v="invoices jpmc"/>
    <m/>
    <n v="8500"/>
    <n v="-8500"/>
  </r>
  <r>
    <d v="2020-10-14T00:00:00"/>
    <x v="0"/>
    <m/>
    <s v="invoices ftc"/>
    <m/>
    <n v="1500"/>
    <n v="-1500"/>
  </r>
  <r>
    <d v="2020-10-15T00:00:00"/>
    <x v="0"/>
    <m/>
    <s v="to mukhtiar advance (0ct 20"/>
    <m/>
    <n v="1000"/>
    <n v="-1000"/>
  </r>
  <r>
    <d v="2020-10-21T00:00:00"/>
    <x v="0"/>
    <m/>
    <s v="cash paid from jpmc food cour cash"/>
    <n v="100000"/>
    <m/>
    <n v="100000"/>
  </r>
  <r>
    <d v="2020-10-21T00:00:00"/>
    <x v="0"/>
    <m/>
    <s v="salary adv to shahid painter for oct 20"/>
    <m/>
    <n v="10000"/>
    <n v="-10000"/>
  </r>
  <r>
    <d v="2020-10-23T00:00:00"/>
    <x v="0"/>
    <m/>
    <s v="invoice jpmc nut and washers"/>
    <m/>
    <n v="1790"/>
    <n v="-1790"/>
  </r>
  <r>
    <d v="2020-10-23T00:00:00"/>
    <x v="0"/>
    <m/>
    <s v="paid for fuel valve regger transporation of tank "/>
    <n v="150000"/>
    <m/>
    <n v="150000"/>
  </r>
  <r>
    <d v="2020-10-23T00:00:00"/>
    <x v="0"/>
    <m/>
    <s v="invoices jpmc"/>
    <m/>
    <n v="37000"/>
    <n v="-37000"/>
  </r>
  <r>
    <d v="2020-10-26T00:00:00"/>
    <x v="0"/>
    <m/>
    <s v="cash paid for farhan sahab utililtes bill"/>
    <n v="8371"/>
    <m/>
    <n v="8371"/>
  </r>
  <r>
    <d v="2020-10-26T00:00:00"/>
    <x v="0"/>
    <m/>
    <s v="Kumain Younis Villa advance received"/>
    <n v="350000"/>
    <m/>
    <n v="350000"/>
  </r>
  <r>
    <d v="2020-10-27T00:00:00"/>
    <x v="0"/>
    <m/>
    <s v="to imran engr"/>
    <m/>
    <n v="80000"/>
    <n v="-80000"/>
  </r>
  <r>
    <d v="2020-10-29T00:00:00"/>
    <x v="0"/>
    <m/>
    <s v="to nadeem bhai"/>
    <n v="10000"/>
    <m/>
    <n v="10000"/>
  </r>
  <r>
    <d v="2020-10-29T00:00:00"/>
    <x v="0"/>
    <m/>
    <s v="to sagheer ac advance"/>
    <m/>
    <n v="15000"/>
    <n v="-15000"/>
  </r>
  <r>
    <d v="2020-10-29T00:00:00"/>
    <x v="0"/>
    <m/>
    <s v="imran engr"/>
    <m/>
    <n v="30000"/>
    <n v="-30000"/>
  </r>
  <r>
    <d v="2020-10-29T00:00:00"/>
    <x v="0"/>
    <m/>
    <s v="to azaad"/>
    <m/>
    <n v="40000"/>
    <n v="-40000"/>
  </r>
  <r>
    <d v="2020-10-29T00:00:00"/>
    <x v="0"/>
    <m/>
    <s v="to amir engr salary advance for oct 20"/>
    <m/>
    <n v="5000"/>
    <n v="-5000"/>
  </r>
  <r>
    <d v="2020-10-29T00:00:00"/>
    <x v="0"/>
    <m/>
    <s v="Adjust this cash from Nadeem bhai profit share 2019 to 2020"/>
    <m/>
    <n v="197612"/>
    <n v="-197612"/>
  </r>
  <r>
    <d v="2020-11-02T00:00:00"/>
    <x v="0"/>
    <m/>
    <s v="cash paid"/>
    <n v="5000"/>
    <m/>
    <n v="5000"/>
  </r>
  <r>
    <d v="2020-11-04T00:00:00"/>
    <x v="0"/>
    <m/>
    <s v="nadeem bhai home utilities bill paid"/>
    <n v="9348"/>
    <m/>
    <n v="9348"/>
  </r>
  <r>
    <d v="2020-11-05T00:00:00"/>
    <x v="0"/>
    <m/>
    <s v="from bilal bhai"/>
    <n v="15000"/>
    <m/>
    <n v="15000"/>
  </r>
  <r>
    <d v="2020-11-06T00:00:00"/>
    <x v="0"/>
    <m/>
    <s v="to imran at site"/>
    <m/>
    <n v="10000"/>
    <n v="-10000"/>
  </r>
  <r>
    <d v="2020-11-17T00:00:00"/>
    <x v="0"/>
    <m/>
    <s v="to mukhtiar"/>
    <m/>
    <n v="5000"/>
    <n v="-5000"/>
  </r>
  <r>
    <d v="2020-11-17T00:00:00"/>
    <x v="0"/>
    <m/>
    <s v="to mukhtiar"/>
    <m/>
    <n v="7000"/>
    <n v="-7000"/>
  </r>
  <r>
    <d v="2020-11-17T00:00:00"/>
    <x v="0"/>
    <m/>
    <s v="Fateh retunn chq in 19-10-20 deal"/>
    <n v="100000"/>
    <m/>
    <n v="100000"/>
  </r>
  <r>
    <d v="2020-11-17T00:00:00"/>
    <x v="0"/>
    <m/>
    <s v="to kashif suzuki for jpmc"/>
    <m/>
    <n v="3000"/>
    <n v="-3000"/>
  </r>
  <r>
    <d v="2020-11-18T00:00:00"/>
    <x v="0"/>
    <m/>
    <s v="to fareed for fire panel repair in falcom"/>
    <m/>
    <n v="15000"/>
    <n v="-15000"/>
  </r>
  <r>
    <d v="2020-11-18T00:00:00"/>
    <x v="0"/>
    <m/>
    <s v="cash paid for site expenses"/>
    <n v="15000"/>
    <m/>
    <n v="15000"/>
  </r>
  <r>
    <d v="2020-11-18T00:00:00"/>
    <x v="0"/>
    <m/>
    <s v="jpmc invoices by mukhtiar"/>
    <m/>
    <n v="9815"/>
    <n v="-9815"/>
  </r>
  <r>
    <d v="2020-11-19T00:00:00"/>
    <x v="0"/>
    <m/>
    <s v="to shahid regger for jpmc material shifting"/>
    <m/>
    <n v="7000"/>
    <n v="-7000"/>
  </r>
  <r>
    <d v="2020-11-24T00:00:00"/>
    <x v="0"/>
    <m/>
    <s v="cash paid"/>
    <n v="5000"/>
    <m/>
    <n v="5000"/>
  </r>
  <r>
    <d v="2020-11-25T00:00:00"/>
    <x v="0"/>
    <m/>
    <s v="salary adv to amir engr"/>
    <m/>
    <n v="5000"/>
    <n v="-5000"/>
  </r>
  <r>
    <d v="2020-11-25T00:00:00"/>
    <x v="0"/>
    <m/>
    <s v="misc for trolly"/>
    <m/>
    <n v="5500"/>
    <n v="-5500"/>
  </r>
  <r>
    <d v="2020-11-25T00:00:00"/>
    <x v="0"/>
    <m/>
    <s v="given to Rizwan VRF"/>
    <m/>
    <n v="15000"/>
    <n v="-15000"/>
  </r>
  <r>
    <d v="2020-11-25T00:00:00"/>
    <x v="0"/>
    <m/>
    <s v="farhan bhai k elec bill"/>
    <n v="6491"/>
    <m/>
    <n v="6491"/>
  </r>
  <r>
    <d v="2020-11-28T00:00:00"/>
    <x v="0"/>
    <m/>
    <s v="cash paid (for farhan bhai)"/>
    <n v="20000"/>
    <m/>
    <n v="20000"/>
  </r>
  <r>
    <d v="2020-12-04T00:00:00"/>
    <x v="0"/>
    <m/>
    <s v="CASH paid to imran engr sent thru amir plumber"/>
    <m/>
    <n v="5000"/>
    <n v="-5000"/>
  </r>
  <r>
    <d v="2020-12-04T00:00:00"/>
    <x v="0"/>
    <m/>
    <s v="cash paid to mukhtiar for nut bolt and flanges"/>
    <m/>
    <n v="5000"/>
    <n v="-5000"/>
  </r>
  <r>
    <d v="2020-12-05T00:00:00"/>
    <x v="0"/>
    <m/>
    <s v="cash to mukhtiar"/>
    <m/>
    <n v="1000"/>
    <n v="-1000"/>
  </r>
  <r>
    <d v="2020-12-09T00:00:00"/>
    <x v="0"/>
    <m/>
    <s v="jpmc invoices"/>
    <m/>
    <n v="13640"/>
    <n v="-13640"/>
  </r>
  <r>
    <d v="2020-12-09T00:00:00"/>
    <x v="0"/>
    <m/>
    <s v="falcon invoices"/>
    <m/>
    <n v="2000"/>
    <n v="-2000"/>
  </r>
  <r>
    <d v="2020-12-09T00:00:00"/>
    <x v="0"/>
    <m/>
    <s v="ftc invoices"/>
    <m/>
    <n v="3000"/>
    <n v="-3000"/>
  </r>
  <r>
    <d v="2020-12-09T00:00:00"/>
    <x v="0"/>
    <m/>
    <s v="efu invoices"/>
    <m/>
    <n v="2000"/>
    <n v="-2000"/>
  </r>
  <r>
    <d v="2020-12-10T00:00:00"/>
    <x v="0"/>
    <m/>
    <s v="cash paid"/>
    <n v="3000"/>
    <m/>
    <n v="3000"/>
  </r>
  <r>
    <d v="2020-12-12T00:00:00"/>
    <x v="0"/>
    <m/>
    <s v="to imran engr Saturday"/>
    <m/>
    <n v="5000"/>
    <n v="-5000"/>
  </r>
  <r>
    <d v="2020-12-15T00:00:00"/>
    <x v="0"/>
    <m/>
    <s v="cash paid"/>
    <n v="1000"/>
    <m/>
    <n v="1000"/>
  </r>
  <r>
    <d v="2020-12-18T00:00:00"/>
    <x v="0"/>
    <m/>
    <s v="cash paid"/>
    <n v="1000"/>
    <m/>
    <n v="1000"/>
  </r>
  <r>
    <d v="2020-12-18T00:00:00"/>
    <x v="0"/>
    <m/>
    <s v="cash paid"/>
    <n v="10000"/>
    <m/>
    <n v="10000"/>
  </r>
  <r>
    <d v="2020-12-23T00:00:00"/>
    <x v="0"/>
    <m/>
    <s v="dib chq paid for purcahsing"/>
    <n v="100000"/>
    <m/>
    <n v="100000"/>
  </r>
  <r>
    <d v="2020-12-23T00:00:00"/>
    <x v="0"/>
    <m/>
    <s v="cash paid"/>
    <n v="1000"/>
    <m/>
    <n v="1000"/>
  </r>
  <r>
    <d v="2020-12-24T00:00:00"/>
    <x v="0"/>
    <m/>
    <s v="to khalid bhai in feroz textile"/>
    <m/>
    <n v="40000"/>
    <n v="-40000"/>
  </r>
  <r>
    <d v="2020-12-26T00:00:00"/>
    <x v="0"/>
    <m/>
    <s v="to imran s/o feroz for falcon (given invoices)"/>
    <m/>
    <n v="8000"/>
    <n v="-8000"/>
  </r>
  <r>
    <d v="2020-12-26T00:00:00"/>
    <x v="0"/>
    <m/>
    <s v="to abid for dec salary advance"/>
    <m/>
    <n v="20000"/>
    <n v="-20000"/>
  </r>
  <r>
    <d v="2020-12-28T00:00:00"/>
    <x v="0"/>
    <m/>
    <s v="salary advance to zahid jpmc"/>
    <m/>
    <n v="3000"/>
    <n v="-3000"/>
  </r>
  <r>
    <d v="2020-12-28T00:00:00"/>
    <x v="0"/>
    <m/>
    <s v="farhan bhai k elec bill"/>
    <n v="1358"/>
    <m/>
    <n v="1358"/>
  </r>
  <r>
    <d v="2020-12-29T00:00:00"/>
    <x v="0"/>
    <m/>
    <s v="to imran engr"/>
    <m/>
    <n v="5000"/>
    <n v="-5000"/>
  </r>
  <r>
    <d v="2020-12-29T00:00:00"/>
    <x v="0"/>
    <m/>
    <s v="to imran s/o feroz for falcon"/>
    <m/>
    <n v="7000"/>
    <n v="-7000"/>
  </r>
  <r>
    <d v="2021-01-04T00:00:00"/>
    <x v="0"/>
    <m/>
    <s v="to shahid painter  jansalary advance"/>
    <m/>
    <n v="10000"/>
    <n v="-10000"/>
  </r>
  <r>
    <d v="2021-01-04T00:00:00"/>
    <x v="0"/>
    <m/>
    <s v="to azeem for js bank shaheen purfahsing"/>
    <m/>
    <n v="20000"/>
    <n v="-20000"/>
  </r>
  <r>
    <d v="2021-01-05T00:00:00"/>
    <x v="0"/>
    <m/>
    <s v="cash paid"/>
    <n v="50000"/>
    <m/>
    <n v="50000"/>
  </r>
  <r>
    <d v="2021-01-06T00:00:00"/>
    <x v="0"/>
    <m/>
    <s v="cash paid"/>
    <n v="50000"/>
    <m/>
    <n v="50000"/>
  </r>
  <r>
    <d v="2021-01-06T00:00:00"/>
    <x v="0"/>
    <m/>
    <s v="to imran s/o feroz for falcon"/>
    <m/>
    <n v="5000"/>
    <n v="-5000"/>
  </r>
  <r>
    <d v="2021-01-08T00:00:00"/>
    <x v="0"/>
    <m/>
    <s v="salary advance to haneef "/>
    <m/>
    <n v="10000"/>
    <n v="-10000"/>
  </r>
  <r>
    <d v="2021-01-08T00:00:00"/>
    <x v="0"/>
    <m/>
    <s v="BHAMARMAL VALVE 08NOS"/>
    <m/>
    <n v="45000"/>
    <n v="-45000"/>
  </r>
  <r>
    <d v="2021-01-08T00:00:00"/>
    <x v="0"/>
    <m/>
    <s v="KHALID BHAI IN FEROZ"/>
    <m/>
    <n v="5000"/>
    <n v="-5000"/>
  </r>
  <r>
    <d v="2021-01-09T00:00:00"/>
    <x v="0"/>
    <m/>
    <s v="cash paid"/>
    <n v="15000"/>
    <m/>
    <n v="15000"/>
  </r>
  <r>
    <d v="2021-01-15T00:00:00"/>
    <x v="0"/>
    <m/>
    <s v="cash paid"/>
    <n v="50000"/>
    <m/>
    <n v="50000"/>
  </r>
  <r>
    <d v="2021-01-15T00:00:00"/>
    <x v="0"/>
    <m/>
    <s v="to mukhtiar for feroz pucchasing hissab cleared"/>
    <m/>
    <n v="5000"/>
    <n v="-5000"/>
  </r>
  <r>
    <d v="2021-01-16T00:00:00"/>
    <x v="0"/>
    <m/>
    <s v="cash paid"/>
    <n v="15000"/>
    <m/>
    <n v="15000"/>
  </r>
  <r>
    <d v="2021-01-18T00:00:00"/>
    <x v="1"/>
    <m/>
    <s v="cash paid"/>
    <n v="100000"/>
    <m/>
    <n v="100000"/>
  </r>
  <r>
    <d v="2021-01-18T00:00:00"/>
    <x v="0"/>
    <m/>
    <s v="invoices feroz textile"/>
    <m/>
    <n v="13750"/>
    <n v="-13750"/>
  </r>
  <r>
    <d v="2021-01-18T00:00:00"/>
    <x v="0"/>
    <m/>
    <s v="invoices jpmc"/>
    <m/>
    <n v="8770"/>
    <n v="-8770"/>
  </r>
  <r>
    <d v="2021-01-18T00:00:00"/>
    <x v="0"/>
    <m/>
    <s v="invoices efu"/>
    <m/>
    <n v="2500"/>
    <n v="-2500"/>
  </r>
  <r>
    <d v="2021-01-18T00:00:00"/>
    <x v="0"/>
    <m/>
    <s v="invoices falcon"/>
    <m/>
    <n v="13200"/>
    <n v="-13200"/>
  </r>
  <r>
    <d v="2021-01-20T00:00:00"/>
    <x v="0"/>
    <m/>
    <s v="to feroz"/>
    <m/>
    <n v="1000"/>
    <n v="-1000"/>
  </r>
  <r>
    <d v="2021-01-22T00:00:00"/>
    <x v="0"/>
    <m/>
    <s v="cash "/>
    <n v="20000"/>
    <m/>
    <n v="20000"/>
  </r>
  <r>
    <d v="2021-01-23T00:00:00"/>
    <x v="0"/>
    <m/>
    <s v="nadeem bhai dec 20 salary"/>
    <m/>
    <n v="50000"/>
    <n v="-50000"/>
  </r>
  <r>
    <d v="2021-01-23T00:00:00"/>
    <x v="0"/>
    <m/>
    <s v="waris july to dec 20   06 months salary"/>
    <m/>
    <n v="30000"/>
    <n v="-30000"/>
  </r>
  <r>
    <d v="2021-01-23T00:00:00"/>
    <x v="0"/>
    <m/>
    <s v="paid for falcon mall tagging"/>
    <m/>
    <n v="16900"/>
    <n v="-16900"/>
  </r>
  <r>
    <d v="2021-02-02T00:00:00"/>
    <x v="1"/>
    <m/>
    <s v="invoices"/>
    <m/>
    <n v="45925"/>
    <n v="-45925"/>
  </r>
  <r>
    <d v="2021-02-02T00:00:00"/>
    <x v="1"/>
    <m/>
    <s v="invoices"/>
    <m/>
    <n v="47040"/>
    <n v="-47040"/>
  </r>
  <r>
    <d v="2021-02-08T00:00:00"/>
    <x v="0"/>
    <m/>
    <s v="paid in feroz (location shah jee shop)"/>
    <m/>
    <n v="6000"/>
    <n v="-6000"/>
  </r>
  <r>
    <d v="2021-02-09T00:00:00"/>
    <x v="0"/>
    <m/>
    <s v="cash paid"/>
    <m/>
    <n v="25000"/>
    <n v="-25000"/>
  </r>
  <r>
    <d v="2021-02-10T00:00:00"/>
    <x v="0"/>
    <m/>
    <s v="nadeem bhai Jan 21 salary"/>
    <m/>
    <n v="50000"/>
    <n v="-50000"/>
  </r>
  <r>
    <d v="2021-02-10T00:00:00"/>
    <x v="0"/>
    <m/>
    <s v="waris Jan 21 salary"/>
    <m/>
    <n v="5000"/>
    <n v="-5000"/>
  </r>
  <r>
    <d v="2021-02-12T00:00:00"/>
    <x v="0"/>
    <m/>
    <s v="TO shabbir regger in the forum"/>
    <m/>
    <n v="30000"/>
    <n v="-30000"/>
  </r>
  <r>
    <d v="2021-02-12T00:00:00"/>
    <x v="0"/>
    <m/>
    <s v="cash paid"/>
    <n v="20000"/>
    <m/>
    <n v="20000"/>
  </r>
  <r>
    <d v="2021-02-13T00:00:00"/>
    <x v="0"/>
    <m/>
    <s v="cash paid"/>
    <n v="15000"/>
    <m/>
    <n v="15000"/>
  </r>
  <r>
    <d v="2021-02-14T00:00:00"/>
    <x v="1"/>
    <m/>
    <s v="cash paid"/>
    <n v="20000"/>
    <m/>
    <n v="20000"/>
  </r>
  <r>
    <d v="2021-02-15T00:00:00"/>
    <x v="0"/>
    <m/>
    <s v="falcon invoices"/>
    <m/>
    <n v="10710"/>
    <n v="-10710"/>
  </r>
  <r>
    <d v="2021-02-15T00:00:00"/>
    <x v="0"/>
    <m/>
    <s v="ftc invoices"/>
    <m/>
    <n v="2537"/>
    <n v="-2537"/>
  </r>
  <r>
    <d v="2021-02-15T00:00:00"/>
    <x v="0"/>
    <m/>
    <s v="the forum invoices"/>
    <m/>
    <n v="12500"/>
    <n v="-12500"/>
  </r>
  <r>
    <d v="2021-02-15T00:00:00"/>
    <x v="0"/>
    <m/>
    <s v="jpmc invoices"/>
    <m/>
    <n v="16510"/>
    <n v="-16510"/>
  </r>
  <r>
    <d v="2021-02-16T00:00:00"/>
    <x v="0"/>
    <m/>
    <s v="cash paid"/>
    <n v="10000"/>
    <m/>
    <n v="10000"/>
  </r>
  <r>
    <d v="2021-02-18T00:00:00"/>
    <x v="1"/>
    <m/>
    <s v="invocies"/>
    <m/>
    <n v="30247"/>
    <n v="-30247"/>
  </r>
  <r>
    <d v="2021-02-18T00:00:00"/>
    <x v="0"/>
    <m/>
    <s v="to khalid "/>
    <m/>
    <n v="5000"/>
    <n v="-5000"/>
  </r>
  <r>
    <d v="2021-02-19T00:00:00"/>
    <x v="0"/>
    <m/>
    <s v="to asif for hilti exchanged"/>
    <m/>
    <n v="3100"/>
    <n v="-3100"/>
  </r>
  <r>
    <d v="2021-02-20T00:00:00"/>
    <x v="0"/>
    <m/>
    <s v="to azeem"/>
    <m/>
    <n v="10000"/>
    <n v="-10000"/>
  </r>
  <r>
    <d v="2021-02-20T00:00:00"/>
    <x v="0"/>
    <m/>
    <s v="to jahangeer by  nadeem"/>
    <m/>
    <n v="5000"/>
    <n v="-5000"/>
  </r>
  <r>
    <d v="2021-02-20T00:00:00"/>
    <x v="0"/>
    <m/>
    <s v="to abid by nadeem bhai"/>
    <m/>
    <n v="2000"/>
    <n v="-2000"/>
  </r>
  <r>
    <d v="2021-02-20T00:00:00"/>
    <x v="0"/>
    <m/>
    <s v="to nisar by nadeem bhai for salary advance"/>
    <m/>
    <n v="1000"/>
    <n v="-1000"/>
  </r>
  <r>
    <d v="2021-03-01T00:00:00"/>
    <x v="0"/>
    <m/>
    <s v="cash to azeem for air curtian 2 nos "/>
    <m/>
    <n v="50000"/>
    <n v="-50000"/>
  </r>
  <r>
    <d v="2021-03-01T00:00:00"/>
    <x v="0"/>
    <m/>
    <s v="to asif"/>
    <m/>
    <n v="500"/>
    <n v="-500"/>
  </r>
  <r>
    <d v="2021-03-01T00:00:00"/>
    <x v="0"/>
    <m/>
    <s v="nadeem bhai Feb 21 salary"/>
    <m/>
    <n v="50000"/>
    <n v="-50000"/>
  </r>
  <r>
    <d v="2021-03-01T00:00:00"/>
    <x v="0"/>
    <m/>
    <s v="waris Feb 21 salary"/>
    <m/>
    <n v="5000"/>
    <n v="-5000"/>
  </r>
  <r>
    <d v="2021-03-01T00:00:00"/>
    <x v="0"/>
    <m/>
    <s v="to shahjee in bank al falah head office against cooling tower gear seice"/>
    <m/>
    <n v="15000"/>
    <n v="-15000"/>
  </r>
  <r>
    <d v="2021-03-01T00:00:00"/>
    <x v="0"/>
    <m/>
    <s v="for farhan k eke bill"/>
    <n v="1693"/>
    <m/>
    <n v="1693"/>
  </r>
  <r>
    <d v="2021-03-02T00:00:00"/>
    <x v="0"/>
    <m/>
    <s v="to mukhtiar salary adv"/>
    <m/>
    <n v="5000"/>
    <n v="-5000"/>
  </r>
  <r>
    <d v="2021-03-02T00:00:00"/>
    <x v="0"/>
    <m/>
    <s v="to imran feroz for material"/>
    <m/>
    <n v="5000"/>
    <n v="-5000"/>
  </r>
  <r>
    <d v="2021-03-02T00:00:00"/>
    <x v="0"/>
    <m/>
    <s v="to asif"/>
    <m/>
    <n v="2000"/>
    <n v="-2000"/>
  </r>
  <r>
    <d v="2021-03-02T00:00:00"/>
    <x v="0"/>
    <m/>
    <s v="to imran engr"/>
    <m/>
    <n v="5000"/>
    <n v="-5000"/>
  </r>
  <r>
    <d v="2021-03-03T00:00:00"/>
    <x v="0"/>
    <m/>
    <s v="the forum misc expenses"/>
    <m/>
    <n v="3000"/>
    <n v="-3000"/>
  </r>
  <r>
    <d v="2021-03-03T00:00:00"/>
    <x v="0"/>
    <m/>
    <s v="to asif fiber at home"/>
    <m/>
    <n v="15000"/>
    <n v="-15000"/>
  </r>
  <r>
    <d v="2021-03-03T00:00:00"/>
    <x v="0"/>
    <m/>
    <s v="to khalid in ubl"/>
    <m/>
    <n v="20000"/>
    <n v="-20000"/>
  </r>
  <r>
    <d v="2021-03-03T00:00:00"/>
    <x v="0"/>
    <m/>
    <s v="to nadeem bhai"/>
    <n v="50000"/>
    <m/>
    <n v="50000"/>
  </r>
  <r>
    <d v="2021-03-03T00:00:00"/>
    <x v="0"/>
    <m/>
    <s v="to nadeem bhai"/>
    <n v="20000"/>
    <m/>
    <n v="20000"/>
  </r>
  <r>
    <d v="2021-03-04T00:00:00"/>
    <x v="0"/>
    <m/>
    <s v="invoices the forum"/>
    <m/>
    <n v="3400"/>
    <n v="-3400"/>
  </r>
  <r>
    <d v="2021-03-04T00:00:00"/>
    <x v="0"/>
    <m/>
    <s v="invoices UBL"/>
    <m/>
    <n v="20700"/>
    <n v="-20700"/>
  </r>
  <r>
    <d v="2021-03-04T00:00:00"/>
    <x v="0"/>
    <m/>
    <s v="invoices naveed malik"/>
    <m/>
    <n v="132870"/>
    <n v="-132870"/>
  </r>
  <r>
    <d v="2021-03-04T00:00:00"/>
    <x v="0"/>
    <m/>
    <s v="invoices jpmc"/>
    <m/>
    <n v="1000"/>
    <n v="-1000"/>
  </r>
  <r>
    <d v="2021-03-04T00:00:00"/>
    <x v="0"/>
    <m/>
    <s v="cash paid"/>
    <n v="100000"/>
    <m/>
    <n v="100000"/>
  </r>
  <r>
    <d v="2021-03-04T00:00:00"/>
    <x v="0"/>
    <m/>
    <s v="cash paid farhan bhai"/>
    <n v="20000"/>
    <m/>
    <n v="20000"/>
  </r>
  <r>
    <d v="2021-03-05T00:00:00"/>
    <x v="0"/>
    <m/>
    <s v="to abid "/>
    <m/>
    <n v="6000"/>
    <n v="-6000"/>
  </r>
  <r>
    <d v="2021-03-06T00:00:00"/>
    <x v="1"/>
    <m/>
    <s v="cash paid sent thriugh amir plumnber"/>
    <n v="50000"/>
    <m/>
    <n v="50000"/>
  </r>
  <r>
    <d v="2021-03-06T00:00:00"/>
    <x v="0"/>
    <m/>
    <s v="to mukhtiar hisaab cleared"/>
    <m/>
    <n v="3000"/>
    <n v="-3000"/>
  </r>
  <r>
    <d v="2021-03-06T00:00:00"/>
    <x v="0"/>
    <m/>
    <s v="cash paid (actually given to mukhtiar)"/>
    <n v="15000"/>
    <m/>
    <n v="15000"/>
  </r>
  <r>
    <d v="2021-03-08T00:00:00"/>
    <x v="0"/>
    <m/>
    <s v="to azeem"/>
    <m/>
    <n v="15000"/>
    <n v="-15000"/>
  </r>
  <r>
    <d v="2021-03-08T00:00:00"/>
    <x v="0"/>
    <m/>
    <s v="to azeem"/>
    <m/>
    <n v="7000"/>
    <n v="-7000"/>
  </r>
  <r>
    <d v="2021-03-08T00:00:00"/>
    <x v="0"/>
    <m/>
    <s v="to asif by nadeem bhai 2000 + 3000"/>
    <m/>
    <n v="5000"/>
    <n v="-5000"/>
  </r>
  <r>
    <d v="2021-03-08T00:00:00"/>
    <x v="0"/>
    <m/>
    <s v="cash paid"/>
    <n v="45000"/>
    <m/>
    <n v="45000"/>
  </r>
  <r>
    <d v="2021-03-08T00:00:00"/>
    <x v="0"/>
    <m/>
    <s v="to shahid painter"/>
    <m/>
    <n v="35000"/>
    <n v="-35000"/>
  </r>
  <r>
    <d v="2021-03-08T00:00:00"/>
    <x v="0"/>
    <m/>
    <s v="to shahid painter"/>
    <m/>
    <n v="10000"/>
    <n v="-10000"/>
  </r>
  <r>
    <d v="2021-03-10T00:00:00"/>
    <x v="0"/>
    <m/>
    <s v="cash paid"/>
    <n v="100000"/>
    <m/>
    <n v="100000"/>
  </r>
  <r>
    <d v="2021-03-10T00:00:00"/>
    <x v="0"/>
    <m/>
    <s v="to rehan shahjee for pump"/>
    <m/>
    <n v="25000"/>
    <n v="-25000"/>
  </r>
  <r>
    <d v="2021-03-10T00:00:00"/>
    <x v="0"/>
    <m/>
    <s v="to khalid bhai in ubl"/>
    <m/>
    <n v="3000"/>
    <n v="-3000"/>
  </r>
  <r>
    <d v="2021-03-10T00:00:00"/>
    <x v="0"/>
    <m/>
    <s v="to shahid painter hisaab cleared"/>
    <m/>
    <n v="10000"/>
    <n v="-10000"/>
  </r>
  <r>
    <d v="2021-03-10T00:00:00"/>
    <x v="0"/>
    <m/>
    <s v="material from hamza ahmed"/>
    <m/>
    <n v="68800"/>
    <n v="-68800"/>
  </r>
  <r>
    <d v="2021-03-12T00:00:00"/>
    <x v="0"/>
    <m/>
    <s v="to asif"/>
    <m/>
    <n v="6000"/>
    <n v="-6000"/>
  </r>
  <r>
    <d v="2021-03-15T00:00:00"/>
    <x v="0"/>
    <m/>
    <s v="to zulfiquar for march salary advance"/>
    <m/>
    <n v="25000"/>
    <n v="-25000"/>
  </r>
  <r>
    <d v="2021-03-17T00:00:00"/>
    <x v="1"/>
    <m/>
    <s v="cash paid"/>
    <n v="20000"/>
    <m/>
    <n v="20000"/>
  </r>
  <r>
    <d v="2021-03-17T00:00:00"/>
    <x v="1"/>
    <m/>
    <s v="invocies"/>
    <m/>
    <n v="75516"/>
    <n v="-75516"/>
  </r>
  <r>
    <d v="2021-03-18T00:00:00"/>
    <x v="0"/>
    <m/>
    <s v="to rehan storm fiber payment"/>
    <m/>
    <n v="2000"/>
    <n v="-2000"/>
  </r>
  <r>
    <d v="2021-03-18T00:00:00"/>
    <x v="0"/>
    <m/>
    <s v="asif"/>
    <m/>
    <n v="1500"/>
    <n v="-1500"/>
  </r>
  <r>
    <d v="2021-03-19T00:00:00"/>
    <x v="0"/>
    <m/>
    <s v="bank alfalah invoices"/>
    <m/>
    <n v="10200"/>
    <n v="-10200"/>
  </r>
  <r>
    <d v="2021-03-19T00:00:00"/>
    <x v="0"/>
    <m/>
    <s v="cash paid"/>
    <n v="10000"/>
    <m/>
    <n v="10000"/>
  </r>
  <r>
    <d v="2021-03-19T00:00:00"/>
    <x v="0"/>
    <m/>
    <s v="to asif fiber"/>
    <m/>
    <n v="1000"/>
    <n v="-1000"/>
  </r>
  <r>
    <d v="2021-03-19T00:00:00"/>
    <x v="0"/>
    <m/>
    <s v="cash paid"/>
    <n v="25000"/>
    <m/>
    <n v="25000"/>
  </r>
  <r>
    <d v="2021-03-22T00:00:00"/>
    <x v="1"/>
    <m/>
    <s v="cash paid"/>
    <n v="20000"/>
    <m/>
    <n v="20000"/>
  </r>
  <r>
    <d v="2021-03-26T00:00:00"/>
    <x v="1"/>
    <m/>
    <s v="invoices"/>
    <m/>
    <n v="94340"/>
    <n v="-94340"/>
  </r>
  <r>
    <d v="2021-03-26T00:00:00"/>
    <x v="0"/>
    <m/>
    <s v="cash paid"/>
    <n v="1500"/>
    <m/>
    <n v="1500"/>
  </r>
  <r>
    <d v="2021-03-26T00:00:00"/>
    <x v="0"/>
    <m/>
    <s v="to shahid painter"/>
    <m/>
    <n v="1000"/>
    <n v="-1000"/>
  </r>
  <r>
    <d v="2021-03-27T00:00:00"/>
    <x v="1"/>
    <m/>
    <s v="cash paid sent thriugh amir plumnber"/>
    <n v="5000"/>
    <m/>
    <n v="5000"/>
  </r>
  <r>
    <d v="2021-03-29T00:00:00"/>
    <x v="0"/>
    <m/>
    <s v="cash paid"/>
    <n v="15000"/>
    <m/>
    <n v="15000"/>
  </r>
  <r>
    <d v="2021-03-30T00:00:00"/>
    <x v="0"/>
    <m/>
    <s v="to abbas plumber salary advacne"/>
    <m/>
    <n v="1000"/>
    <n v="-1000"/>
  </r>
  <r>
    <d v="2021-03-30T00:00:00"/>
    <x v="0"/>
    <m/>
    <s v="to shahid painter for material"/>
    <m/>
    <n v="7000"/>
    <n v="-7000"/>
  </r>
  <r>
    <d v="2021-03-31T00:00:00"/>
    <x v="0"/>
    <m/>
    <s v="cash paid"/>
    <n v="5000"/>
    <m/>
    <n v="5000"/>
  </r>
  <r>
    <d v="2021-04-01T00:00:00"/>
    <x v="1"/>
    <m/>
    <s v="cash paid"/>
    <n v="100000"/>
    <m/>
    <n v="100000"/>
  </r>
  <r>
    <d v="2021-04-02T00:00:00"/>
    <x v="0"/>
    <m/>
    <s v="bank alfalah invoices"/>
    <m/>
    <n v="44030"/>
    <n v="-44030"/>
  </r>
  <r>
    <d v="2021-04-04T00:00:00"/>
    <x v="1"/>
    <m/>
    <s v="cash paid thro office (for new site)"/>
    <n v="20000"/>
    <m/>
    <n v="20000"/>
  </r>
  <r>
    <d v="2021-04-06T00:00:00"/>
    <x v="0"/>
    <m/>
    <s v="cash paid to farhan bhai (sent thru his sons)"/>
    <n v="20000"/>
    <m/>
    <n v="20000"/>
  </r>
  <r>
    <d v="2021-04-07T00:00:00"/>
    <x v="0"/>
    <m/>
    <s v="cash paid"/>
    <n v="15000"/>
    <m/>
    <n v="15000"/>
  </r>
  <r>
    <d v="2021-04-08T00:00:00"/>
    <x v="0"/>
    <m/>
    <s v="nadeem bhai MAr 21 salary"/>
    <m/>
    <n v="50000"/>
    <n v="-50000"/>
  </r>
  <r>
    <d v="2021-04-08T00:00:00"/>
    <x v="0"/>
    <m/>
    <s v="waris March 21 salary"/>
    <m/>
    <n v="5000"/>
    <n v="-5000"/>
  </r>
  <r>
    <d v="2021-04-08T00:00:00"/>
    <x v="0"/>
    <m/>
    <s v="to abbas for purchasing"/>
    <m/>
    <n v="1000"/>
    <n v="-1000"/>
  </r>
  <r>
    <d v="2021-04-08T00:00:00"/>
    <x v="0"/>
    <m/>
    <s v="invoices feroz textile"/>
    <m/>
    <n v="7650"/>
    <n v="-7650"/>
  </r>
  <r>
    <d v="2021-04-08T00:00:00"/>
    <x v="0"/>
    <m/>
    <s v="invoices naveed malik"/>
    <m/>
    <n v="3000"/>
    <n v="-3000"/>
  </r>
  <r>
    <d v="2021-04-12T00:00:00"/>
    <x v="1"/>
    <m/>
    <s v="invoices"/>
    <m/>
    <n v="64875"/>
    <n v="-64875"/>
  </r>
  <r>
    <d v="2021-04-13T00:00:00"/>
    <x v="0"/>
    <m/>
    <s v="cash paid"/>
    <n v="15000"/>
    <m/>
    <n v="15000"/>
  </r>
  <r>
    <d v="2021-04-15T00:00:00"/>
    <x v="1"/>
    <m/>
    <s v="cash paid"/>
    <n v="30000"/>
    <m/>
    <n v="30000"/>
  </r>
  <r>
    <d v="2021-04-15T00:00:00"/>
    <x v="1"/>
    <m/>
    <s v="invoices"/>
    <m/>
    <n v="21336"/>
    <n v="-21336"/>
  </r>
  <r>
    <d v="2021-04-15T00:00:00"/>
    <x v="1"/>
    <m/>
    <s v="cash paid"/>
    <n v="22000"/>
    <m/>
    <n v="22000"/>
  </r>
  <r>
    <d v="2021-04-15T00:00:00"/>
    <x v="0"/>
    <m/>
    <s v="to imran feroz at site"/>
    <m/>
    <n v="4000"/>
    <n v="-4000"/>
  </r>
  <r>
    <d v="2021-04-16T00:00:00"/>
    <x v="1"/>
    <m/>
    <s v="cash paid"/>
    <n v="20000"/>
    <m/>
    <n v="20000"/>
  </r>
  <r>
    <d v="2021-04-16T00:00:00"/>
    <x v="1"/>
    <m/>
    <s v="invoices"/>
    <m/>
    <n v="27935"/>
    <n v="-27935"/>
  </r>
  <r>
    <d v="2021-04-28T00:00:00"/>
    <x v="0"/>
    <m/>
    <s v="to asif"/>
    <m/>
    <n v="1000"/>
    <n v="-1000"/>
  </r>
  <r>
    <d v="2021-05-01T00:00:00"/>
    <x v="1"/>
    <m/>
    <s v="invocies"/>
    <m/>
    <n v="38342"/>
    <n v="-38342"/>
  </r>
  <r>
    <d v="2021-05-03T00:00:00"/>
    <x v="1"/>
    <m/>
    <s v="cash paid sent thriugh amir plumnber"/>
    <n v="40000"/>
    <m/>
    <n v="40000"/>
  </r>
  <r>
    <d v="2021-05-03T00:00:00"/>
    <x v="0"/>
    <m/>
    <s v="for k elec bills farhan"/>
    <n v="6503"/>
    <m/>
    <n v="6503"/>
  </r>
  <r>
    <d v="2021-05-05T00:00:00"/>
    <x v="1"/>
    <m/>
    <s v="invocies"/>
    <m/>
    <n v="65310"/>
    <n v="-65310"/>
  </r>
  <r>
    <d v="2021-05-06T00:00:00"/>
    <x v="0"/>
    <m/>
    <s v="to waris for purchasing"/>
    <m/>
    <n v="5000"/>
    <n v="-5000"/>
  </r>
  <r>
    <d v="2021-05-07T00:00:00"/>
    <x v="0"/>
    <m/>
    <s v="invoices ubl"/>
    <m/>
    <n v="3000"/>
    <n v="-3000"/>
  </r>
  <r>
    <d v="2021-05-07T00:00:00"/>
    <x v="0"/>
    <m/>
    <s v="invoices bank alfalah"/>
    <m/>
    <n v="4200"/>
    <n v="-4200"/>
  </r>
  <r>
    <d v="2021-05-07T00:00:00"/>
    <x v="0"/>
    <m/>
    <s v="invoices ftc"/>
    <m/>
    <n v="2000"/>
    <n v="-2000"/>
  </r>
  <r>
    <d v="2021-05-07T00:00:00"/>
    <x v="0"/>
    <m/>
    <s v="nadeem bhai April 21 salary"/>
    <m/>
    <n v="50000"/>
    <n v="-50000"/>
  </r>
  <r>
    <d v="2021-05-07T00:00:00"/>
    <x v="0"/>
    <m/>
    <s v="waris April 21 salary"/>
    <m/>
    <n v="5000"/>
    <n v="-5000"/>
  </r>
  <r>
    <d v="2021-05-07T00:00:00"/>
    <x v="0"/>
    <m/>
    <s v="cash paid"/>
    <n v="10000"/>
    <m/>
    <n v="10000"/>
  </r>
  <r>
    <d v="2021-05-08T00:00:00"/>
    <x v="0"/>
    <m/>
    <s v="cash paid for new notes"/>
    <n v="15000"/>
    <m/>
    <n v="15000"/>
  </r>
  <r>
    <d v="2021-05-17T00:00:00"/>
    <x v="0"/>
    <m/>
    <s v="cash paid"/>
    <n v="20000"/>
    <m/>
    <n v="20000"/>
  </r>
  <r>
    <d v="2021-05-20T00:00:00"/>
    <x v="1"/>
    <m/>
    <s v="cash paid (sent thru bakhti)"/>
    <n v="20000"/>
    <m/>
    <n v="20000"/>
  </r>
  <r>
    <d v="2021-05-20T00:00:00"/>
    <x v="0"/>
    <m/>
    <s v="to shahid painter for baitul sukoon"/>
    <m/>
    <n v="15000"/>
    <n v="-15000"/>
  </r>
  <r>
    <d v="2021-05-25T00:00:00"/>
    <x v="0"/>
    <m/>
    <s v="cash paid"/>
    <n v="5000"/>
    <m/>
    <n v="5000"/>
  </r>
  <r>
    <d v="2021-05-27T00:00:00"/>
    <x v="0"/>
    <m/>
    <s v="cash paid"/>
    <n v="5000"/>
    <m/>
    <n v="5000"/>
  </r>
  <r>
    <d v="2021-05-31T00:00:00"/>
    <x v="0"/>
    <m/>
    <s v="k elec bills + farhan bills"/>
    <n v="32235"/>
    <m/>
    <n v="32235"/>
  </r>
  <r>
    <d v="2021-06-02T00:00:00"/>
    <x v="0"/>
    <m/>
    <s v="nadeem bhai May 21 salary"/>
    <m/>
    <n v="50000"/>
    <n v="-50000"/>
  </r>
  <r>
    <d v="2021-06-02T00:00:00"/>
    <x v="0"/>
    <m/>
    <s v="waris May 21 salary"/>
    <m/>
    <n v="5000"/>
    <n v="-5000"/>
  </r>
  <r>
    <d v="2021-06-03T00:00:00"/>
    <x v="1"/>
    <m/>
    <s v="cash paid sent thriugh amir plumnber"/>
    <n v="20000"/>
    <m/>
    <n v="20000"/>
  </r>
  <r>
    <d v="2021-06-03T00:00:00"/>
    <x v="0"/>
    <m/>
    <s v="to farhan bhai"/>
    <n v="20000"/>
    <m/>
    <n v="20000"/>
  </r>
  <r>
    <d v="2021-06-05T00:00:00"/>
    <x v="1"/>
    <m/>
    <s v="cash paid sent thriugh amir plumnber"/>
    <n v="70000"/>
    <m/>
    <n v="70000"/>
  </r>
  <r>
    <d v="2021-06-08T00:00:00"/>
    <x v="1"/>
    <m/>
    <s v="invocies"/>
    <m/>
    <n v="62305"/>
    <n v="-62305"/>
  </r>
  <r>
    <d v="2021-06-09T00:00:00"/>
    <x v="0"/>
    <m/>
    <s v="cash paid to abid for fare"/>
    <m/>
    <n v="2000"/>
    <n v="-2000"/>
  </r>
  <r>
    <d v="2021-06-14T00:00:00"/>
    <x v="1"/>
    <m/>
    <s v="paid sent thru abbas"/>
    <n v="15000"/>
    <m/>
    <n v="15000"/>
  </r>
  <r>
    <d v="2021-06-14T00:00:00"/>
    <x v="0"/>
    <m/>
    <s v="cash paid (transfer to Robina account) faisalabad"/>
    <n v="50000"/>
    <m/>
    <n v="50000"/>
  </r>
  <r>
    <d v="2021-06-15T00:00:00"/>
    <x v="0"/>
    <m/>
    <s v="to rehan for office petty cash"/>
    <m/>
    <n v="10000"/>
    <n v="-10000"/>
  </r>
  <r>
    <d v="2021-06-19T00:00:00"/>
    <x v="1"/>
    <m/>
    <s v="paid sent thru abbas"/>
    <n v="20000"/>
    <m/>
    <n v="20000"/>
  </r>
  <r>
    <d v="2021-06-19T00:00:00"/>
    <x v="0"/>
    <m/>
    <s v="from bilal bhai"/>
    <n v="5000"/>
    <m/>
    <n v="5000"/>
  </r>
  <r>
    <d v="2021-06-23T00:00:00"/>
    <x v="1"/>
    <m/>
    <s v="Cash paid (RIZWAN VRF) remaiing"/>
    <n v="14000"/>
    <m/>
    <n v="14000"/>
  </r>
  <r>
    <d v="2021-06-24T00:00:00"/>
    <x v="1"/>
    <m/>
    <s v="To Amir plumber salary advance"/>
    <m/>
    <n v="35000"/>
    <n v="-35000"/>
  </r>
  <r>
    <d v="2021-06-24T00:00:00"/>
    <x v="1"/>
    <m/>
    <s v="cash paid "/>
    <n v="10000"/>
    <m/>
    <n v="10000"/>
  </r>
  <r>
    <d v="2021-06-25T00:00:00"/>
    <x v="0"/>
    <m/>
    <s v="cash paid"/>
    <n v="5000"/>
    <m/>
    <n v="5000"/>
  </r>
  <r>
    <d v="2021-06-26T00:00:00"/>
    <x v="1"/>
    <m/>
    <s v="cash paid "/>
    <n v="20000"/>
    <m/>
    <n v="20000"/>
  </r>
  <r>
    <d v="2021-06-26T00:00:00"/>
    <x v="1"/>
    <m/>
    <s v="cash paid (by abbas)"/>
    <n v="3000"/>
    <m/>
    <n v="3000"/>
  </r>
  <r>
    <d v="2021-06-26T00:00:00"/>
    <x v="1"/>
    <m/>
    <s v="invoices"/>
    <m/>
    <n v="57729"/>
    <n v="-57729"/>
  </r>
  <r>
    <d v="2021-06-30T00:00:00"/>
    <x v="1"/>
    <m/>
    <s v="cash paid "/>
    <n v="30000"/>
    <m/>
    <n v="30000"/>
  </r>
  <r>
    <d v="2021-07-02T00:00:00"/>
    <x v="0"/>
    <m/>
    <s v="cash paid farhan bhai"/>
    <n v="20000"/>
    <m/>
    <n v="20000"/>
  </r>
  <r>
    <d v="2021-07-03T00:00:00"/>
    <x v="1"/>
    <m/>
    <s v="cash paid sent thriugh amir plumnber"/>
    <n v="5000"/>
    <m/>
    <n v="5000"/>
  </r>
  <r>
    <d v="2021-07-03T00:00:00"/>
    <x v="0"/>
    <m/>
    <s v="cash paid"/>
    <n v="5000"/>
    <m/>
    <n v="5000"/>
  </r>
  <r>
    <d v="2021-07-04T00:00:00"/>
    <x v="0"/>
    <m/>
    <s v="to mukhtiar"/>
    <m/>
    <n v="5000"/>
    <n v="-5000"/>
  </r>
  <r>
    <d v="2021-07-05T00:00:00"/>
    <x v="0"/>
    <m/>
    <s v="nadeem bhai June 21 salary"/>
    <m/>
    <n v="50000"/>
    <n v="-50000"/>
  </r>
  <r>
    <d v="2021-07-05T00:00:00"/>
    <x v="0"/>
    <m/>
    <s v="waris June 21 salary"/>
    <m/>
    <n v="5000"/>
    <n v="-5000"/>
  </r>
  <r>
    <d v="2021-07-05T00:00:00"/>
    <x v="0"/>
    <m/>
    <s v="utilities bills  k ele + ssgc"/>
    <n v="16341"/>
    <m/>
    <n v="16341"/>
  </r>
  <r>
    <d v="2021-07-05T00:00:00"/>
    <x v="0"/>
    <m/>
    <s v="for welding plant"/>
    <n v="25000"/>
    <m/>
    <n v="25000"/>
  </r>
  <r>
    <d v="2021-07-06T00:00:00"/>
    <x v="0"/>
    <m/>
    <s v="to shahid painter"/>
    <m/>
    <n v="5000"/>
    <n v="-5000"/>
  </r>
  <r>
    <d v="2021-07-06T00:00:00"/>
    <x v="0"/>
    <m/>
    <s v="cash paid"/>
    <n v="10000"/>
    <m/>
    <n v="10000"/>
  </r>
  <r>
    <d v="2021-07-08T00:00:00"/>
    <x v="0"/>
    <m/>
    <s v="welding plant repaired"/>
    <m/>
    <n v="2000"/>
    <n v="-2000"/>
  </r>
  <r>
    <d v="2021-07-08T00:00:00"/>
    <x v="0"/>
    <m/>
    <s v="given to shahid painter"/>
    <m/>
    <n v="4000"/>
    <n v="-4000"/>
  </r>
  <r>
    <d v="2021-07-09T00:00:00"/>
    <x v="0"/>
    <m/>
    <s v="cash paid"/>
    <n v="5000"/>
    <m/>
    <n v="5000"/>
  </r>
  <r>
    <d v="2021-07-10T00:00:00"/>
    <x v="1"/>
    <m/>
    <s v="cash paid sent thru amir plumber"/>
    <n v="10000"/>
    <m/>
    <n v="10000"/>
  </r>
  <r>
    <d v="2021-07-10T00:00:00"/>
    <x v="0"/>
    <m/>
    <s v="cash tahen"/>
    <n v="80000"/>
    <m/>
    <n v="80000"/>
  </r>
  <r>
    <d v="2021-07-13T00:00:00"/>
    <x v="0"/>
    <m/>
    <s v="cash paid"/>
    <n v="5000"/>
    <m/>
    <n v="5000"/>
  </r>
  <r>
    <d v="2021-07-13T00:00:00"/>
    <x v="0"/>
    <m/>
    <s v="to rehan for office use"/>
    <m/>
    <n v="2000"/>
    <n v="-2000"/>
  </r>
  <r>
    <d v="2021-07-14T00:00:00"/>
    <x v="0"/>
    <m/>
    <s v="to mukhtiar"/>
    <m/>
    <n v="2000"/>
    <n v="-2000"/>
  </r>
  <r>
    <d v="2021-07-15T00:00:00"/>
    <x v="0"/>
    <m/>
    <s v="cash paid"/>
    <n v="25000"/>
    <m/>
    <n v="25000"/>
  </r>
  <r>
    <d v="2021-07-16T00:00:00"/>
    <x v="0"/>
    <m/>
    <s v="to rizwan vrf"/>
    <m/>
    <n v="5000"/>
    <n v="-5000"/>
  </r>
  <r>
    <d v="2021-07-10T00:00:00"/>
    <x v="2"/>
    <m/>
    <s v="cash paid"/>
    <n v="2000"/>
    <m/>
    <n v="2000"/>
  </r>
  <r>
    <d v="2021-07-15T00:00:00"/>
    <x v="2"/>
    <m/>
    <s v="cash paid"/>
    <n v="55000"/>
    <m/>
    <n v="55000"/>
  </r>
  <r>
    <d v="2021-07-15T00:00:00"/>
    <x v="2"/>
    <m/>
    <s v="invoices"/>
    <m/>
    <n v="1540"/>
    <n v="-1540"/>
  </r>
  <r>
    <d v="2021-07-15T00:00:00"/>
    <x v="2"/>
    <m/>
    <s v="invoices"/>
    <m/>
    <n v="26156"/>
    <n v="-26156"/>
  </r>
  <r>
    <d v="2021-07-15T00:00:00"/>
    <x v="3"/>
    <m/>
    <s v="prievious balance"/>
    <n v="5300"/>
    <m/>
    <n v="5300"/>
  </r>
  <r>
    <d v="2021-07-15T00:00:00"/>
    <x v="4"/>
    <m/>
    <s v="prievious balance"/>
    <n v="16940"/>
    <m/>
    <n v="16940"/>
  </r>
  <r>
    <d v="2021-07-15T00:00:00"/>
    <x v="5"/>
    <m/>
    <s v="prievious balance"/>
    <n v="16240"/>
    <m/>
    <n v="16240"/>
  </r>
  <r>
    <d v="2021-07-15T00:00:00"/>
    <x v="6"/>
    <m/>
    <s v="prievious balance"/>
    <n v="5650"/>
    <m/>
    <n v="5650"/>
  </r>
  <r>
    <d v="2021-07-15T00:00:00"/>
    <x v="7"/>
    <m/>
    <s v="prievious balance"/>
    <n v="66000"/>
    <m/>
    <n v="66000"/>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r>
    <m/>
    <x v="8"/>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14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3:D13" firstHeaderRow="0" firstDataRow="1" firstDataCol="1"/>
  <pivotFields count="7">
    <pivotField showAll="0"/>
    <pivotField axis="axisRow" showAll="0">
      <items count="10">
        <item x="1"/>
        <item x="0"/>
        <item x="2"/>
        <item x="3"/>
        <item x="4"/>
        <item x="5"/>
        <item x="6"/>
        <item x="7"/>
        <item x="8"/>
        <item t="default"/>
      </items>
    </pivotField>
    <pivotField showAll="0"/>
    <pivotField showAll="0"/>
    <pivotField dataField="1" showAll="0"/>
    <pivotField dataField="1" showAll="0"/>
    <pivotField dataField="1" numFmtId="164" showAll="0"/>
  </pivotFields>
  <rowFields count="1">
    <field x="1"/>
  </rowFields>
  <rowItems count="10">
    <i>
      <x/>
    </i>
    <i>
      <x v="1"/>
    </i>
    <i>
      <x v="2"/>
    </i>
    <i>
      <x v="3"/>
    </i>
    <i>
      <x v="4"/>
    </i>
    <i>
      <x v="5"/>
    </i>
    <i>
      <x v="6"/>
    </i>
    <i>
      <x v="7"/>
    </i>
    <i>
      <x v="8"/>
    </i>
    <i t="grand">
      <x/>
    </i>
  </rowItems>
  <colFields count="1">
    <field x="-2"/>
  </colFields>
  <colItems count="3">
    <i>
      <x/>
    </i>
    <i i="1">
      <x v="1"/>
    </i>
    <i i="2">
      <x v="2"/>
    </i>
  </colItems>
  <dataFields count="3">
    <dataField name="Sum of Cash taken" fld="4" baseField="1" baseItem="0"/>
    <dataField name="Sum of Invoices submit" fld="5" baseField="1" baseItem="0"/>
    <dataField name="Sum of Balance amount" fld="6" baseField="1" baseItem="0"/>
  </dataFields>
  <formats count="18">
    <format dxfId="17">
      <pivotArea type="all" dataOnly="0" outline="0" fieldPosition="0"/>
    </format>
    <format dxfId="16">
      <pivotArea outline="0" collapsedLevelsAreSubtotals="1" fieldPosition="0"/>
    </format>
    <format dxfId="15">
      <pivotArea field="1" type="button" dataOnly="0" labelOnly="1" outline="0" axis="axisRow" fieldPosition="0"/>
    </format>
    <format dxfId="14">
      <pivotArea dataOnly="0" labelOnly="1" fieldPosition="0">
        <references count="1">
          <reference field="1" count="0"/>
        </references>
      </pivotArea>
    </format>
    <format dxfId="13">
      <pivotArea dataOnly="0" labelOnly="1" grandRow="1" outline="0" fieldPosition="0"/>
    </format>
    <format dxfId="12">
      <pivotArea dataOnly="0" labelOnly="1" outline="0" fieldPosition="0">
        <references count="1">
          <reference field="4294967294" count="3">
            <x v="0"/>
            <x v="1"/>
            <x v="2"/>
          </reference>
        </references>
      </pivotArea>
    </format>
    <format dxfId="11">
      <pivotArea type="all" dataOnly="0" outline="0" fieldPosition="0"/>
    </format>
    <format dxfId="10">
      <pivotArea outline="0" collapsedLevelsAreSubtotals="1" fieldPosition="0"/>
    </format>
    <format dxfId="9">
      <pivotArea field="1" type="button" dataOnly="0" labelOnly="1" outline="0" axis="axisRow" fieldPosition="0"/>
    </format>
    <format dxfId="8">
      <pivotArea dataOnly="0" labelOnly="1" fieldPosition="0">
        <references count="1">
          <reference field="1" count="0"/>
        </references>
      </pivotArea>
    </format>
    <format dxfId="7">
      <pivotArea dataOnly="0" labelOnly="1" grandRow="1" outline="0" fieldPosition="0"/>
    </format>
    <format dxfId="6">
      <pivotArea dataOnly="0" labelOnly="1" outline="0" fieldPosition="0">
        <references count="1">
          <reference field="4294967294" count="3">
            <x v="0"/>
            <x v="1"/>
            <x v="2"/>
          </reference>
        </references>
      </pivotArea>
    </format>
    <format dxfId="5">
      <pivotArea type="all" dataOnly="0" outline="0" fieldPosition="0"/>
    </format>
    <format dxfId="4">
      <pivotArea outline="0" collapsedLevelsAreSubtotals="1" fieldPosition="0"/>
    </format>
    <format dxfId="3">
      <pivotArea field="1" type="button" dataOnly="0" labelOnly="1" outline="0" axis="axisRow" fieldPosition="0"/>
    </format>
    <format dxfId="2">
      <pivotArea dataOnly="0" labelOnly="1" fieldPosition="0">
        <references count="1">
          <reference field="1" count="0"/>
        </references>
      </pivotArea>
    </format>
    <format dxfId="1">
      <pivotArea dataOnly="0" labelOnly="1" grandRow="1" outline="0" fieldPosition="0"/>
    </format>
    <format dxfId="0">
      <pivotArea dataOnly="0" labelOnly="1" outline="0" fieldPosition="0">
        <references count="1">
          <reference field="4294967294" count="3">
            <x v="0"/>
            <x v="1"/>
            <x v="2"/>
          </reference>
        </references>
      </pivotArea>
    </format>
  </formats>
  <pivotTableStyleInfo name="PivotStyleMedium1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tabColor rgb="FFFF0000"/>
  </sheetPr>
  <dimension ref="A1:O10057"/>
  <sheetViews>
    <sheetView showGridLines="0" view="pageBreakPreview" zoomScaleNormal="100" zoomScaleSheetLayoutView="100" workbookViewId="0">
      <pane ySplit="1" topLeftCell="A9737" activePane="bottomLeft" state="frozen"/>
      <selection pane="bottomLeft" activeCell="D9746" sqref="D9746"/>
    </sheetView>
  </sheetViews>
  <sheetFormatPr defaultColWidth="8.85546875" defaultRowHeight="15" x14ac:dyDescent="0.25"/>
  <cols>
    <col min="1" max="1" width="12.7109375" style="6" customWidth="1"/>
    <col min="2" max="2" width="18.5703125" style="6" customWidth="1"/>
    <col min="3" max="3" width="46.5703125" style="6" customWidth="1"/>
    <col min="4" max="4" width="12.7109375" style="10" customWidth="1"/>
    <col min="5" max="5" width="12" style="10" customWidth="1"/>
    <col min="6" max="6" width="12.7109375" style="10" customWidth="1"/>
    <col min="7" max="7" width="14.28515625" style="6" customWidth="1"/>
    <col min="8" max="8" width="13.28515625" style="10" customWidth="1"/>
    <col min="9" max="9" width="19.7109375" style="10" customWidth="1"/>
    <col min="10" max="10" width="22.7109375" style="10" customWidth="1"/>
    <col min="11" max="11" width="11.85546875" style="6" customWidth="1"/>
    <col min="12" max="12" width="11.5703125" style="6" bestFit="1" customWidth="1"/>
    <col min="13" max="13" width="8.85546875" style="6"/>
    <col min="14" max="14" width="10.5703125" style="6" bestFit="1" customWidth="1"/>
    <col min="15" max="15" width="13.28515625" style="6" bestFit="1" customWidth="1"/>
    <col min="16" max="16384" width="8.85546875" style="6"/>
  </cols>
  <sheetData>
    <row r="1" spans="1:7" x14ac:dyDescent="0.25">
      <c r="A1" s="175" t="s">
        <v>1</v>
      </c>
      <c r="B1" s="176" t="s">
        <v>338</v>
      </c>
      <c r="C1" s="176" t="s">
        <v>3</v>
      </c>
      <c r="D1" s="177" t="s">
        <v>337</v>
      </c>
      <c r="E1" s="177" t="s">
        <v>358</v>
      </c>
      <c r="F1" s="177" t="s">
        <v>357</v>
      </c>
      <c r="G1" s="176" t="s">
        <v>39</v>
      </c>
    </row>
    <row r="2" spans="1:7" x14ac:dyDescent="0.25">
      <c r="A2" s="466" t="s">
        <v>2</v>
      </c>
      <c r="B2" s="467"/>
      <c r="C2" s="467"/>
      <c r="D2" s="467"/>
      <c r="E2" s="468"/>
      <c r="F2" s="41">
        <v>258487</v>
      </c>
      <c r="G2" s="68"/>
    </row>
    <row r="3" spans="1:7" x14ac:dyDescent="0.25">
      <c r="A3" s="178">
        <v>42552</v>
      </c>
      <c r="B3" s="26" t="s">
        <v>120</v>
      </c>
      <c r="C3" s="26" t="s">
        <v>41</v>
      </c>
      <c r="D3" s="8">
        <v>40000</v>
      </c>
      <c r="E3" s="8"/>
      <c r="F3" s="8">
        <f t="shared" ref="F3:F66" si="0">F2-D3+E3</f>
        <v>218487</v>
      </c>
      <c r="G3" s="26"/>
    </row>
    <row r="4" spans="1:7" x14ac:dyDescent="0.25">
      <c r="A4" s="178">
        <v>42552</v>
      </c>
      <c r="B4" s="26" t="s">
        <v>121</v>
      </c>
      <c r="C4" s="26" t="s">
        <v>32</v>
      </c>
      <c r="D4" s="8">
        <v>5000</v>
      </c>
      <c r="E4" s="8"/>
      <c r="F4" s="8">
        <f t="shared" si="0"/>
        <v>213487</v>
      </c>
      <c r="G4" s="26"/>
    </row>
    <row r="5" spans="1:7" x14ac:dyDescent="0.25">
      <c r="A5" s="179">
        <v>42552</v>
      </c>
      <c r="B5" s="180" t="s">
        <v>123</v>
      </c>
      <c r="C5" s="180" t="s">
        <v>32</v>
      </c>
      <c r="D5" s="57">
        <v>15000</v>
      </c>
      <c r="E5" s="57"/>
      <c r="F5" s="8">
        <f t="shared" si="0"/>
        <v>198487</v>
      </c>
      <c r="G5" s="180"/>
    </row>
    <row r="6" spans="1:7" x14ac:dyDescent="0.25">
      <c r="A6" s="178">
        <v>42552</v>
      </c>
      <c r="B6" s="26" t="s">
        <v>124</v>
      </c>
      <c r="C6" s="26" t="s">
        <v>32</v>
      </c>
      <c r="D6" s="8">
        <v>1000</v>
      </c>
      <c r="E6" s="8"/>
      <c r="F6" s="8">
        <f t="shared" si="0"/>
        <v>197487</v>
      </c>
      <c r="G6" s="26"/>
    </row>
    <row r="7" spans="1:7" x14ac:dyDescent="0.25">
      <c r="A7" s="178">
        <v>42552</v>
      </c>
      <c r="B7" s="26" t="s">
        <v>126</v>
      </c>
      <c r="C7" s="26" t="s">
        <v>122</v>
      </c>
      <c r="D7" s="8">
        <v>10000</v>
      </c>
      <c r="E7" s="8"/>
      <c r="F7" s="8">
        <f t="shared" si="0"/>
        <v>187487</v>
      </c>
      <c r="G7" s="26"/>
    </row>
    <row r="8" spans="1:7" x14ac:dyDescent="0.25">
      <c r="A8" s="178">
        <v>42555</v>
      </c>
      <c r="B8" s="26" t="s">
        <v>5</v>
      </c>
      <c r="C8" s="26" t="s">
        <v>127</v>
      </c>
      <c r="D8" s="8">
        <v>150</v>
      </c>
      <c r="E8" s="8"/>
      <c r="F8" s="8">
        <f t="shared" si="0"/>
        <v>187337</v>
      </c>
      <c r="G8" s="26"/>
    </row>
    <row r="9" spans="1:7" x14ac:dyDescent="0.25">
      <c r="A9" s="178">
        <v>42555</v>
      </c>
      <c r="B9" s="26" t="s">
        <v>128</v>
      </c>
      <c r="C9" s="26" t="s">
        <v>129</v>
      </c>
      <c r="D9" s="8">
        <v>2000</v>
      </c>
      <c r="E9" s="8"/>
      <c r="F9" s="8">
        <f t="shared" si="0"/>
        <v>185337</v>
      </c>
      <c r="G9" s="26"/>
    </row>
    <row r="10" spans="1:7" x14ac:dyDescent="0.25">
      <c r="A10" s="178">
        <v>42555</v>
      </c>
      <c r="B10" s="26" t="s">
        <v>26</v>
      </c>
      <c r="C10" s="26" t="s">
        <v>130</v>
      </c>
      <c r="D10" s="8">
        <v>1400</v>
      </c>
      <c r="E10" s="8"/>
      <c r="F10" s="8">
        <f t="shared" si="0"/>
        <v>183937</v>
      </c>
      <c r="G10" s="26"/>
    </row>
    <row r="11" spans="1:7" x14ac:dyDescent="0.25">
      <c r="A11" s="178">
        <v>42555</v>
      </c>
      <c r="B11" s="26" t="s">
        <v>5</v>
      </c>
      <c r="C11" s="26" t="s">
        <v>32</v>
      </c>
      <c r="D11" s="8">
        <v>2000</v>
      </c>
      <c r="E11" s="8"/>
      <c r="F11" s="8">
        <f t="shared" si="0"/>
        <v>181937</v>
      </c>
      <c r="G11" s="26"/>
    </row>
    <row r="12" spans="1:7" x14ac:dyDescent="0.25">
      <c r="A12" s="178">
        <v>42555</v>
      </c>
      <c r="B12" s="26" t="s">
        <v>128</v>
      </c>
      <c r="C12" s="26" t="s">
        <v>131</v>
      </c>
      <c r="D12" s="8">
        <v>10000</v>
      </c>
      <c r="E12" s="8"/>
      <c r="F12" s="8">
        <f t="shared" si="0"/>
        <v>171937</v>
      </c>
      <c r="G12" s="26"/>
    </row>
    <row r="13" spans="1:7" x14ac:dyDescent="0.25">
      <c r="A13" s="178">
        <v>42523</v>
      </c>
      <c r="B13" s="26" t="s">
        <v>120</v>
      </c>
      <c r="C13" s="26" t="s">
        <v>24</v>
      </c>
      <c r="D13" s="8">
        <v>1060</v>
      </c>
      <c r="E13" s="8"/>
      <c r="F13" s="8">
        <f t="shared" si="0"/>
        <v>170877</v>
      </c>
      <c r="G13" s="26"/>
    </row>
    <row r="14" spans="1:7" x14ac:dyDescent="0.25">
      <c r="A14" s="178">
        <v>42523</v>
      </c>
      <c r="B14" s="43" t="s">
        <v>119</v>
      </c>
      <c r="C14" s="43" t="s">
        <v>132</v>
      </c>
      <c r="D14" s="44"/>
      <c r="E14" s="44">
        <v>166090</v>
      </c>
      <c r="F14" s="8">
        <f t="shared" si="0"/>
        <v>336967</v>
      </c>
      <c r="G14" s="181"/>
    </row>
    <row r="15" spans="1:7" x14ac:dyDescent="0.25">
      <c r="A15" s="178">
        <v>42555</v>
      </c>
      <c r="B15" s="43" t="s">
        <v>119</v>
      </c>
      <c r="C15" s="43" t="s">
        <v>133</v>
      </c>
      <c r="D15" s="44">
        <v>336000</v>
      </c>
      <c r="E15" s="44"/>
      <c r="F15" s="8">
        <f t="shared" si="0"/>
        <v>967</v>
      </c>
      <c r="G15" s="26"/>
    </row>
    <row r="16" spans="1:7" x14ac:dyDescent="0.25">
      <c r="A16" s="178">
        <v>42555</v>
      </c>
      <c r="B16" s="43" t="s">
        <v>119</v>
      </c>
      <c r="C16" s="43" t="s">
        <v>339</v>
      </c>
      <c r="D16" s="44"/>
      <c r="E16" s="44">
        <v>200000</v>
      </c>
      <c r="F16" s="8">
        <f t="shared" si="0"/>
        <v>200967</v>
      </c>
      <c r="G16" s="181"/>
    </row>
    <row r="17" spans="1:7" x14ac:dyDescent="0.25">
      <c r="A17" s="178">
        <v>42555</v>
      </c>
      <c r="B17" s="26"/>
      <c r="C17" s="26" t="s">
        <v>134</v>
      </c>
      <c r="D17" s="8">
        <v>40000</v>
      </c>
      <c r="E17" s="8"/>
      <c r="F17" s="8">
        <f t="shared" si="0"/>
        <v>160967</v>
      </c>
      <c r="G17" s="26"/>
    </row>
    <row r="18" spans="1:7" x14ac:dyDescent="0.25">
      <c r="A18" s="178">
        <v>42555</v>
      </c>
      <c r="B18" s="26" t="s">
        <v>135</v>
      </c>
      <c r="C18" s="26" t="s">
        <v>136</v>
      </c>
      <c r="D18" s="8">
        <v>12000</v>
      </c>
      <c r="E18" s="8"/>
      <c r="F18" s="8">
        <f t="shared" si="0"/>
        <v>148967</v>
      </c>
      <c r="G18" s="26"/>
    </row>
    <row r="19" spans="1:7" x14ac:dyDescent="0.25">
      <c r="A19" s="178">
        <v>42555</v>
      </c>
      <c r="B19" s="26" t="s">
        <v>38</v>
      </c>
      <c r="C19" s="26" t="s">
        <v>137</v>
      </c>
      <c r="D19" s="8">
        <v>5000</v>
      </c>
      <c r="E19" s="8"/>
      <c r="F19" s="8">
        <f t="shared" si="0"/>
        <v>143967</v>
      </c>
      <c r="G19" s="26"/>
    </row>
    <row r="20" spans="1:7" x14ac:dyDescent="0.25">
      <c r="A20" s="178">
        <v>42555</v>
      </c>
      <c r="B20" s="26" t="s">
        <v>20</v>
      </c>
      <c r="C20" s="26" t="s">
        <v>32</v>
      </c>
      <c r="D20" s="8">
        <v>1000</v>
      </c>
      <c r="E20" s="8"/>
      <c r="F20" s="8">
        <f t="shared" si="0"/>
        <v>142967</v>
      </c>
      <c r="G20" s="26"/>
    </row>
    <row r="21" spans="1:7" x14ac:dyDescent="0.25">
      <c r="A21" s="178">
        <v>42555</v>
      </c>
      <c r="B21" s="26" t="s">
        <v>138</v>
      </c>
      <c r="C21" s="26" t="s">
        <v>34</v>
      </c>
      <c r="D21" s="8">
        <v>16150</v>
      </c>
      <c r="E21" s="8"/>
      <c r="F21" s="8">
        <f t="shared" si="0"/>
        <v>126817</v>
      </c>
      <c r="G21" s="26"/>
    </row>
    <row r="22" spans="1:7" x14ac:dyDescent="0.25">
      <c r="A22" s="178">
        <v>42556</v>
      </c>
      <c r="B22" s="26" t="s">
        <v>96</v>
      </c>
      <c r="C22" s="26" t="s">
        <v>139</v>
      </c>
      <c r="D22" s="8">
        <v>1000</v>
      </c>
      <c r="E22" s="8"/>
      <c r="F22" s="8">
        <f t="shared" si="0"/>
        <v>125817</v>
      </c>
      <c r="G22" s="26"/>
    </row>
    <row r="23" spans="1:7" x14ac:dyDescent="0.25">
      <c r="A23" s="178">
        <v>42560</v>
      </c>
      <c r="B23" s="26" t="s">
        <v>120</v>
      </c>
      <c r="C23" s="26" t="s">
        <v>41</v>
      </c>
      <c r="D23" s="8">
        <v>2120</v>
      </c>
      <c r="E23" s="8"/>
      <c r="F23" s="8">
        <f t="shared" si="0"/>
        <v>123697</v>
      </c>
      <c r="G23" s="26"/>
    </row>
    <row r="24" spans="1:7" x14ac:dyDescent="0.25">
      <c r="A24" s="178">
        <v>42562</v>
      </c>
      <c r="B24" s="26" t="s">
        <v>26</v>
      </c>
      <c r="C24" s="26" t="s">
        <v>140</v>
      </c>
      <c r="D24" s="8">
        <v>30</v>
      </c>
      <c r="E24" s="8"/>
      <c r="F24" s="8">
        <f t="shared" si="0"/>
        <v>123667</v>
      </c>
      <c r="G24" s="26"/>
    </row>
    <row r="25" spans="1:7" x14ac:dyDescent="0.25">
      <c r="A25" s="178">
        <v>42562</v>
      </c>
      <c r="B25" s="26" t="s">
        <v>141</v>
      </c>
      <c r="C25" s="26" t="s">
        <v>142</v>
      </c>
      <c r="D25" s="8">
        <v>5000</v>
      </c>
      <c r="E25" s="8"/>
      <c r="F25" s="8">
        <f t="shared" si="0"/>
        <v>118667</v>
      </c>
      <c r="G25" s="26"/>
    </row>
    <row r="26" spans="1:7" x14ac:dyDescent="0.25">
      <c r="A26" s="178" t="s">
        <v>3994</v>
      </c>
      <c r="B26" s="26" t="s">
        <v>26</v>
      </c>
      <c r="C26" s="26" t="s">
        <v>143</v>
      </c>
      <c r="D26" s="8">
        <v>100</v>
      </c>
      <c r="E26" s="8"/>
      <c r="F26" s="8">
        <f t="shared" si="0"/>
        <v>118567</v>
      </c>
      <c r="G26" s="26"/>
    </row>
    <row r="27" spans="1:7" x14ac:dyDescent="0.25">
      <c r="A27" s="178">
        <v>42562</v>
      </c>
      <c r="B27" s="29" t="s">
        <v>20</v>
      </c>
      <c r="C27" s="29" t="s">
        <v>32</v>
      </c>
      <c r="D27" s="14">
        <v>200</v>
      </c>
      <c r="E27" s="8"/>
      <c r="F27" s="8">
        <f t="shared" si="0"/>
        <v>118367</v>
      </c>
      <c r="G27" s="26"/>
    </row>
    <row r="28" spans="1:7" x14ac:dyDescent="0.25">
      <c r="A28" s="178">
        <v>42562</v>
      </c>
      <c r="B28" s="26" t="s">
        <v>20</v>
      </c>
      <c r="C28" s="26" t="s">
        <v>32</v>
      </c>
      <c r="D28" s="8">
        <v>2000</v>
      </c>
      <c r="E28" s="8"/>
      <c r="F28" s="8">
        <f t="shared" si="0"/>
        <v>116367</v>
      </c>
      <c r="G28" s="26"/>
    </row>
    <row r="29" spans="1:7" x14ac:dyDescent="0.25">
      <c r="A29" s="178">
        <v>42562</v>
      </c>
      <c r="B29" s="26" t="s">
        <v>5</v>
      </c>
      <c r="C29" s="26" t="s">
        <v>34</v>
      </c>
      <c r="D29" s="8">
        <v>500</v>
      </c>
      <c r="E29" s="8"/>
      <c r="F29" s="8">
        <f t="shared" si="0"/>
        <v>115867</v>
      </c>
      <c r="G29" s="26"/>
    </row>
    <row r="30" spans="1:7" x14ac:dyDescent="0.25">
      <c r="A30" s="178">
        <v>42562</v>
      </c>
      <c r="B30" s="26" t="s">
        <v>5</v>
      </c>
      <c r="C30" s="33" t="s">
        <v>148</v>
      </c>
      <c r="D30" s="27">
        <v>2450</v>
      </c>
      <c r="E30" s="8"/>
      <c r="F30" s="8">
        <f t="shared" si="0"/>
        <v>113417</v>
      </c>
      <c r="G30" s="33"/>
    </row>
    <row r="31" spans="1:7" x14ac:dyDescent="0.25">
      <c r="A31" s="178">
        <v>42562</v>
      </c>
      <c r="B31" s="26" t="s">
        <v>5</v>
      </c>
      <c r="C31" s="33" t="s">
        <v>112</v>
      </c>
      <c r="D31" s="27">
        <v>18446</v>
      </c>
      <c r="E31" s="8"/>
      <c r="F31" s="8">
        <f t="shared" si="0"/>
        <v>94971</v>
      </c>
      <c r="G31" s="33"/>
    </row>
    <row r="32" spans="1:7" x14ac:dyDescent="0.25">
      <c r="A32" s="182">
        <v>42563</v>
      </c>
      <c r="B32" s="31" t="s">
        <v>26</v>
      </c>
      <c r="C32" s="31" t="s">
        <v>200</v>
      </c>
      <c r="D32" s="32">
        <v>500</v>
      </c>
      <c r="E32" s="8"/>
      <c r="F32" s="8">
        <f t="shared" si="0"/>
        <v>94471</v>
      </c>
      <c r="G32" s="33"/>
    </row>
    <row r="33" spans="1:7" x14ac:dyDescent="0.25">
      <c r="A33" s="178">
        <v>42563</v>
      </c>
      <c r="B33" s="26" t="s">
        <v>38</v>
      </c>
      <c r="C33" s="26" t="s">
        <v>32</v>
      </c>
      <c r="D33" s="8">
        <v>1020</v>
      </c>
      <c r="E33" s="8"/>
      <c r="F33" s="8">
        <f t="shared" si="0"/>
        <v>93451</v>
      </c>
      <c r="G33" s="26"/>
    </row>
    <row r="34" spans="1:7" x14ac:dyDescent="0.25">
      <c r="A34" s="178">
        <v>42563</v>
      </c>
      <c r="B34" s="26" t="s">
        <v>124</v>
      </c>
      <c r="C34" s="26" t="s">
        <v>32</v>
      </c>
      <c r="D34" s="8">
        <v>1000</v>
      </c>
      <c r="E34" s="8"/>
      <c r="F34" s="8">
        <f t="shared" si="0"/>
        <v>92451</v>
      </c>
      <c r="G34" s="26"/>
    </row>
    <row r="35" spans="1:7" x14ac:dyDescent="0.25">
      <c r="A35" s="178">
        <v>42563</v>
      </c>
      <c r="B35" s="26" t="s">
        <v>118</v>
      </c>
      <c r="C35" s="26" t="s">
        <v>34</v>
      </c>
      <c r="D35" s="8">
        <v>100</v>
      </c>
      <c r="E35" s="8"/>
      <c r="F35" s="8">
        <f t="shared" si="0"/>
        <v>92351</v>
      </c>
      <c r="G35" s="26"/>
    </row>
    <row r="36" spans="1:7" x14ac:dyDescent="0.25">
      <c r="A36" s="178">
        <v>42563</v>
      </c>
      <c r="B36" s="26" t="s">
        <v>26</v>
      </c>
      <c r="C36" s="26" t="s">
        <v>144</v>
      </c>
      <c r="D36" s="8">
        <v>35</v>
      </c>
      <c r="E36" s="8"/>
      <c r="F36" s="8">
        <f t="shared" si="0"/>
        <v>92316</v>
      </c>
      <c r="G36" s="26"/>
    </row>
    <row r="37" spans="1:7" x14ac:dyDescent="0.25">
      <c r="A37" s="178">
        <v>42563</v>
      </c>
      <c r="B37" s="26" t="s">
        <v>120</v>
      </c>
      <c r="C37" s="26" t="s">
        <v>32</v>
      </c>
      <c r="D37" s="8">
        <v>2000</v>
      </c>
      <c r="E37" s="8"/>
      <c r="F37" s="8">
        <f t="shared" si="0"/>
        <v>90316</v>
      </c>
      <c r="G37" s="26"/>
    </row>
    <row r="38" spans="1:7" x14ac:dyDescent="0.25">
      <c r="A38" s="178">
        <v>42563</v>
      </c>
      <c r="B38" s="26" t="s">
        <v>120</v>
      </c>
      <c r="C38" s="26" t="s">
        <v>145</v>
      </c>
      <c r="D38" s="8">
        <v>300</v>
      </c>
      <c r="E38" s="8"/>
      <c r="F38" s="8">
        <f t="shared" si="0"/>
        <v>90016</v>
      </c>
      <c r="G38" s="26"/>
    </row>
    <row r="39" spans="1:7" x14ac:dyDescent="0.25">
      <c r="A39" s="178">
        <v>42563</v>
      </c>
      <c r="B39" s="26" t="s">
        <v>26</v>
      </c>
      <c r="C39" s="26" t="s">
        <v>146</v>
      </c>
      <c r="D39" s="8">
        <v>420</v>
      </c>
      <c r="E39" s="8"/>
      <c r="F39" s="8">
        <f t="shared" si="0"/>
        <v>89596</v>
      </c>
      <c r="G39" s="26"/>
    </row>
    <row r="40" spans="1:7" x14ac:dyDescent="0.25">
      <c r="A40" s="178">
        <v>42563</v>
      </c>
      <c r="B40" s="26" t="s">
        <v>17</v>
      </c>
      <c r="C40" s="26" t="s">
        <v>32</v>
      </c>
      <c r="D40" s="8">
        <v>100</v>
      </c>
      <c r="E40" s="8"/>
      <c r="F40" s="8">
        <f t="shared" si="0"/>
        <v>89496</v>
      </c>
      <c r="G40" s="26"/>
    </row>
    <row r="41" spans="1:7" x14ac:dyDescent="0.25">
      <c r="A41" s="178">
        <v>42563</v>
      </c>
      <c r="B41" s="26" t="s">
        <v>40</v>
      </c>
      <c r="C41" s="26" t="s">
        <v>32</v>
      </c>
      <c r="D41" s="8">
        <v>5115</v>
      </c>
      <c r="E41" s="8"/>
      <c r="F41" s="8">
        <f t="shared" si="0"/>
        <v>84381</v>
      </c>
      <c r="G41" s="26"/>
    </row>
    <row r="42" spans="1:7" x14ac:dyDescent="0.25">
      <c r="A42" s="178">
        <v>42563</v>
      </c>
      <c r="B42" s="29" t="s">
        <v>5</v>
      </c>
      <c r="C42" s="29" t="s">
        <v>32</v>
      </c>
      <c r="D42" s="14">
        <v>8500</v>
      </c>
      <c r="E42" s="8"/>
      <c r="F42" s="8">
        <f t="shared" si="0"/>
        <v>75881</v>
      </c>
      <c r="G42" s="26"/>
    </row>
    <row r="43" spans="1:7" x14ac:dyDescent="0.25">
      <c r="A43" s="178">
        <v>42563</v>
      </c>
      <c r="B43" s="26" t="s">
        <v>17</v>
      </c>
      <c r="C43" s="26" t="s">
        <v>34</v>
      </c>
      <c r="D43" s="8">
        <v>500</v>
      </c>
      <c r="E43" s="8"/>
      <c r="F43" s="8">
        <f t="shared" si="0"/>
        <v>75381</v>
      </c>
      <c r="G43" s="26"/>
    </row>
    <row r="44" spans="1:7" x14ac:dyDescent="0.25">
      <c r="A44" s="55">
        <v>42564</v>
      </c>
      <c r="B44" s="462" t="s">
        <v>149</v>
      </c>
      <c r="C44" s="463"/>
      <c r="D44" s="71"/>
      <c r="E44" s="58">
        <v>500000</v>
      </c>
      <c r="F44" s="8">
        <f t="shared" si="0"/>
        <v>575381</v>
      </c>
      <c r="G44" s="29"/>
    </row>
    <row r="45" spans="1:7" x14ac:dyDescent="0.25">
      <c r="A45" s="178">
        <v>42563</v>
      </c>
      <c r="B45" s="29" t="s">
        <v>5</v>
      </c>
      <c r="C45" s="29" t="s">
        <v>147</v>
      </c>
      <c r="D45" s="14">
        <v>100000</v>
      </c>
      <c r="E45" s="8"/>
      <c r="F45" s="8">
        <f t="shared" si="0"/>
        <v>475381</v>
      </c>
      <c r="G45" s="26"/>
    </row>
    <row r="46" spans="1:7" x14ac:dyDescent="0.25">
      <c r="A46" s="183">
        <v>42564</v>
      </c>
      <c r="B46" s="29" t="s">
        <v>150</v>
      </c>
      <c r="C46" s="29" t="s">
        <v>32</v>
      </c>
      <c r="D46" s="14">
        <v>10000</v>
      </c>
      <c r="E46" s="14"/>
      <c r="F46" s="8">
        <f t="shared" si="0"/>
        <v>465381</v>
      </c>
      <c r="G46" s="29"/>
    </row>
    <row r="47" spans="1:7" x14ac:dyDescent="0.25">
      <c r="A47" s="183">
        <v>42564</v>
      </c>
      <c r="B47" s="29" t="s">
        <v>40</v>
      </c>
      <c r="C47" s="29" t="s">
        <v>151</v>
      </c>
      <c r="D47" s="14">
        <v>1560</v>
      </c>
      <c r="E47" s="14"/>
      <c r="F47" s="8">
        <f t="shared" si="0"/>
        <v>463821</v>
      </c>
      <c r="G47" s="29"/>
    </row>
    <row r="48" spans="1:7" x14ac:dyDescent="0.25">
      <c r="A48" s="183">
        <v>42564</v>
      </c>
      <c r="B48" s="29" t="s">
        <v>40</v>
      </c>
      <c r="C48" s="29" t="s">
        <v>152</v>
      </c>
      <c r="D48" s="14">
        <v>1050</v>
      </c>
      <c r="E48" s="14"/>
      <c r="F48" s="8">
        <f t="shared" si="0"/>
        <v>462771</v>
      </c>
      <c r="G48" s="29"/>
    </row>
    <row r="49" spans="1:7" x14ac:dyDescent="0.25">
      <c r="A49" s="183">
        <v>42564</v>
      </c>
      <c r="B49" s="29" t="s">
        <v>5</v>
      </c>
      <c r="C49" s="29" t="s">
        <v>153</v>
      </c>
      <c r="D49" s="14">
        <v>290</v>
      </c>
      <c r="E49" s="14"/>
      <c r="F49" s="8">
        <f t="shared" si="0"/>
        <v>462481</v>
      </c>
      <c r="G49" s="29"/>
    </row>
    <row r="50" spans="1:7" x14ac:dyDescent="0.25">
      <c r="A50" s="183">
        <v>42564</v>
      </c>
      <c r="B50" s="29" t="s">
        <v>119</v>
      </c>
      <c r="C50" s="29" t="s">
        <v>154</v>
      </c>
      <c r="D50" s="14">
        <v>400</v>
      </c>
      <c r="E50" s="14"/>
      <c r="F50" s="8">
        <f t="shared" si="0"/>
        <v>462081</v>
      </c>
      <c r="G50" s="29"/>
    </row>
    <row r="51" spans="1:7" x14ac:dyDescent="0.25">
      <c r="A51" s="183">
        <v>42564</v>
      </c>
      <c r="B51" s="29" t="s">
        <v>155</v>
      </c>
      <c r="C51" s="29" t="s">
        <v>32</v>
      </c>
      <c r="D51" s="14">
        <v>3110</v>
      </c>
      <c r="E51" s="14"/>
      <c r="F51" s="8">
        <f t="shared" si="0"/>
        <v>458971</v>
      </c>
      <c r="G51" s="29"/>
    </row>
    <row r="52" spans="1:7" x14ac:dyDescent="0.25">
      <c r="A52" s="183">
        <v>42565</v>
      </c>
      <c r="B52" s="29" t="s">
        <v>26</v>
      </c>
      <c r="C52" s="29" t="s">
        <v>156</v>
      </c>
      <c r="D52" s="14">
        <v>470</v>
      </c>
      <c r="E52" s="14"/>
      <c r="F52" s="8">
        <f t="shared" si="0"/>
        <v>458501</v>
      </c>
      <c r="G52" s="29"/>
    </row>
    <row r="53" spans="1:7" x14ac:dyDescent="0.25">
      <c r="A53" s="183">
        <v>42565</v>
      </c>
      <c r="B53" s="29" t="s">
        <v>40</v>
      </c>
      <c r="C53" s="29" t="s">
        <v>32</v>
      </c>
      <c r="D53" s="14">
        <v>12000</v>
      </c>
      <c r="E53" s="14"/>
      <c r="F53" s="8">
        <f t="shared" si="0"/>
        <v>446501</v>
      </c>
      <c r="G53" s="29"/>
    </row>
    <row r="54" spans="1:7" x14ac:dyDescent="0.25">
      <c r="A54" s="183">
        <v>42565</v>
      </c>
      <c r="B54" s="29" t="s">
        <v>283</v>
      </c>
      <c r="C54" s="29" t="s">
        <v>32</v>
      </c>
      <c r="D54" s="14">
        <v>15000</v>
      </c>
      <c r="E54" s="14"/>
      <c r="F54" s="8">
        <f t="shared" si="0"/>
        <v>431501</v>
      </c>
      <c r="G54" s="29"/>
    </row>
    <row r="55" spans="1:7" x14ac:dyDescent="0.25">
      <c r="A55" s="183">
        <v>42565</v>
      </c>
      <c r="B55" s="29" t="s">
        <v>157</v>
      </c>
      <c r="C55" s="29" t="s">
        <v>32</v>
      </c>
      <c r="D55" s="14">
        <v>1000</v>
      </c>
      <c r="E55" s="14"/>
      <c r="F55" s="8">
        <f t="shared" si="0"/>
        <v>430501</v>
      </c>
      <c r="G55" s="29"/>
    </row>
    <row r="56" spans="1:7" x14ac:dyDescent="0.25">
      <c r="A56" s="183">
        <v>42565</v>
      </c>
      <c r="B56" s="29" t="s">
        <v>107</v>
      </c>
      <c r="C56" s="29" t="s">
        <v>158</v>
      </c>
      <c r="D56" s="14">
        <v>500</v>
      </c>
      <c r="E56" s="14"/>
      <c r="F56" s="8">
        <f t="shared" si="0"/>
        <v>430001</v>
      </c>
      <c r="G56" s="29"/>
    </row>
    <row r="57" spans="1:7" x14ac:dyDescent="0.25">
      <c r="A57" s="183">
        <v>42565</v>
      </c>
      <c r="B57" s="29" t="s">
        <v>26</v>
      </c>
      <c r="C57" s="29" t="s">
        <v>159</v>
      </c>
      <c r="D57" s="14">
        <v>60</v>
      </c>
      <c r="E57" s="14"/>
      <c r="F57" s="8">
        <f t="shared" si="0"/>
        <v>429941</v>
      </c>
      <c r="G57" s="29"/>
    </row>
    <row r="58" spans="1:7" x14ac:dyDescent="0.25">
      <c r="A58" s="183">
        <v>42565</v>
      </c>
      <c r="B58" s="29" t="s">
        <v>20</v>
      </c>
      <c r="C58" s="29" t="s">
        <v>122</v>
      </c>
      <c r="D58" s="14">
        <v>2000</v>
      </c>
      <c r="E58" s="14"/>
      <c r="F58" s="8">
        <f t="shared" si="0"/>
        <v>427941</v>
      </c>
      <c r="G58" s="29"/>
    </row>
    <row r="59" spans="1:7" x14ac:dyDescent="0.25">
      <c r="A59" s="183">
        <v>42565</v>
      </c>
      <c r="B59" s="29" t="s">
        <v>118</v>
      </c>
      <c r="C59" s="29" t="s">
        <v>160</v>
      </c>
      <c r="D59" s="14">
        <v>925</v>
      </c>
      <c r="E59" s="14"/>
      <c r="F59" s="8">
        <f t="shared" si="0"/>
        <v>427016</v>
      </c>
      <c r="G59" s="29"/>
    </row>
    <row r="60" spans="1:7" x14ac:dyDescent="0.25">
      <c r="A60" s="183">
        <v>42565</v>
      </c>
      <c r="B60" s="29" t="s">
        <v>161</v>
      </c>
      <c r="C60" s="29" t="s">
        <v>204</v>
      </c>
      <c r="D60" s="14">
        <v>500</v>
      </c>
      <c r="E60" s="14"/>
      <c r="F60" s="8">
        <f t="shared" si="0"/>
        <v>426516</v>
      </c>
      <c r="G60" s="29"/>
    </row>
    <row r="61" spans="1:7" x14ac:dyDescent="0.25">
      <c r="A61" s="183">
        <v>42565</v>
      </c>
      <c r="B61" s="29" t="s">
        <v>163</v>
      </c>
      <c r="C61" s="29" t="s">
        <v>162</v>
      </c>
      <c r="D61" s="14">
        <v>3000</v>
      </c>
      <c r="E61" s="14"/>
      <c r="F61" s="8">
        <f t="shared" si="0"/>
        <v>423516</v>
      </c>
      <c r="G61" s="29"/>
    </row>
    <row r="62" spans="1:7" x14ac:dyDescent="0.25">
      <c r="A62" s="183">
        <v>42565</v>
      </c>
      <c r="B62" s="29" t="s">
        <v>121</v>
      </c>
      <c r="C62" s="29" t="s">
        <v>34</v>
      </c>
      <c r="D62" s="14">
        <v>2500</v>
      </c>
      <c r="E62" s="14"/>
      <c r="F62" s="8">
        <f t="shared" si="0"/>
        <v>421016</v>
      </c>
      <c r="G62" s="29"/>
    </row>
    <row r="63" spans="1:7" x14ac:dyDescent="0.25">
      <c r="A63" s="183">
        <v>42566</v>
      </c>
      <c r="B63" s="29" t="s">
        <v>40</v>
      </c>
      <c r="C63" s="29" t="s">
        <v>32</v>
      </c>
      <c r="D63" s="14">
        <v>5000</v>
      </c>
      <c r="E63" s="14"/>
      <c r="F63" s="8">
        <f t="shared" si="0"/>
        <v>416016</v>
      </c>
      <c r="G63" s="29"/>
    </row>
    <row r="64" spans="1:7" x14ac:dyDescent="0.25">
      <c r="A64" s="183">
        <v>42566</v>
      </c>
      <c r="B64" s="29" t="s">
        <v>5</v>
      </c>
      <c r="C64" s="29" t="s">
        <v>32</v>
      </c>
      <c r="D64" s="14">
        <v>1500</v>
      </c>
      <c r="E64" s="14"/>
      <c r="F64" s="8">
        <f t="shared" si="0"/>
        <v>414516</v>
      </c>
      <c r="G64" s="29"/>
    </row>
    <row r="65" spans="1:7" x14ac:dyDescent="0.25">
      <c r="A65" s="183">
        <v>42566</v>
      </c>
      <c r="B65" s="29" t="s">
        <v>43</v>
      </c>
      <c r="C65" s="29" t="s">
        <v>164</v>
      </c>
      <c r="D65" s="14">
        <v>890</v>
      </c>
      <c r="E65" s="14"/>
      <c r="F65" s="8">
        <f t="shared" si="0"/>
        <v>413626</v>
      </c>
      <c r="G65" s="29"/>
    </row>
    <row r="66" spans="1:7" x14ac:dyDescent="0.25">
      <c r="A66" s="183">
        <v>42566</v>
      </c>
      <c r="B66" s="29" t="s">
        <v>43</v>
      </c>
      <c r="C66" s="29" t="s">
        <v>32</v>
      </c>
      <c r="D66" s="14">
        <v>2000</v>
      </c>
      <c r="E66" s="14"/>
      <c r="F66" s="8">
        <f t="shared" si="0"/>
        <v>411626</v>
      </c>
      <c r="G66" s="29"/>
    </row>
    <row r="67" spans="1:7" x14ac:dyDescent="0.25">
      <c r="A67" s="183">
        <v>42566</v>
      </c>
      <c r="B67" s="29" t="s">
        <v>165</v>
      </c>
      <c r="C67" s="29" t="s">
        <v>32</v>
      </c>
      <c r="D67" s="14">
        <v>20000</v>
      </c>
      <c r="E67" s="14"/>
      <c r="F67" s="8">
        <f t="shared" ref="F67:F130" si="1">F66-D67+E67</f>
        <v>391626</v>
      </c>
      <c r="G67" s="29"/>
    </row>
    <row r="68" spans="1:7" x14ac:dyDescent="0.25">
      <c r="A68" s="183">
        <v>42566</v>
      </c>
      <c r="B68" s="29" t="s">
        <v>120</v>
      </c>
      <c r="C68" s="29" t="s">
        <v>32</v>
      </c>
      <c r="D68" s="14">
        <v>1000</v>
      </c>
      <c r="E68" s="14"/>
      <c r="F68" s="8">
        <f t="shared" si="1"/>
        <v>390626</v>
      </c>
      <c r="G68" s="29"/>
    </row>
    <row r="69" spans="1:7" x14ac:dyDescent="0.25">
      <c r="A69" s="183">
        <v>42566</v>
      </c>
      <c r="B69" s="29" t="s">
        <v>26</v>
      </c>
      <c r="C69" s="29" t="s">
        <v>167</v>
      </c>
      <c r="D69" s="14">
        <v>120</v>
      </c>
      <c r="E69" s="14"/>
      <c r="F69" s="8">
        <f t="shared" si="1"/>
        <v>390506</v>
      </c>
      <c r="G69" s="29"/>
    </row>
    <row r="70" spans="1:7" x14ac:dyDescent="0.25">
      <c r="A70" s="183">
        <v>42566</v>
      </c>
      <c r="B70" s="29" t="s">
        <v>28</v>
      </c>
      <c r="C70" s="29" t="s">
        <v>166</v>
      </c>
      <c r="D70" s="14">
        <v>2780</v>
      </c>
      <c r="E70" s="14"/>
      <c r="F70" s="8">
        <f t="shared" si="1"/>
        <v>387726</v>
      </c>
      <c r="G70" s="29"/>
    </row>
    <row r="71" spans="1:7" x14ac:dyDescent="0.25">
      <c r="A71" s="183">
        <v>42566</v>
      </c>
      <c r="B71" s="29" t="s">
        <v>54</v>
      </c>
      <c r="C71" s="29" t="s">
        <v>214</v>
      </c>
      <c r="D71" s="14">
        <v>590</v>
      </c>
      <c r="E71" s="14"/>
      <c r="F71" s="8">
        <f t="shared" si="1"/>
        <v>387136</v>
      </c>
      <c r="G71" s="29"/>
    </row>
    <row r="72" spans="1:7" x14ac:dyDescent="0.25">
      <c r="A72" s="183">
        <v>42566</v>
      </c>
      <c r="B72" s="29" t="s">
        <v>161</v>
      </c>
      <c r="C72" s="29" t="s">
        <v>205</v>
      </c>
      <c r="D72" s="14">
        <v>5000</v>
      </c>
      <c r="E72" s="14"/>
      <c r="F72" s="8">
        <f t="shared" si="1"/>
        <v>382136</v>
      </c>
      <c r="G72" s="29"/>
    </row>
    <row r="73" spans="1:7" x14ac:dyDescent="0.25">
      <c r="A73" s="183">
        <v>42566</v>
      </c>
      <c r="B73" s="29" t="s">
        <v>26</v>
      </c>
      <c r="C73" s="29" t="s">
        <v>206</v>
      </c>
      <c r="D73" s="14">
        <v>420</v>
      </c>
      <c r="E73" s="14"/>
      <c r="F73" s="8">
        <f t="shared" si="1"/>
        <v>381716</v>
      </c>
      <c r="G73" s="29"/>
    </row>
    <row r="74" spans="1:7" x14ac:dyDescent="0.25">
      <c r="A74" s="183">
        <v>42567</v>
      </c>
      <c r="B74" s="29" t="s">
        <v>103</v>
      </c>
      <c r="C74" s="29" t="s">
        <v>299</v>
      </c>
      <c r="D74" s="14">
        <v>1000</v>
      </c>
      <c r="E74" s="14"/>
      <c r="F74" s="8">
        <f t="shared" si="1"/>
        <v>380716</v>
      </c>
      <c r="G74" s="29"/>
    </row>
    <row r="75" spans="1:7" x14ac:dyDescent="0.25">
      <c r="A75" s="183">
        <v>42567</v>
      </c>
      <c r="B75" s="29" t="s">
        <v>38</v>
      </c>
      <c r="C75" s="29" t="s">
        <v>32</v>
      </c>
      <c r="D75" s="14">
        <v>2000</v>
      </c>
      <c r="E75" s="14"/>
      <c r="F75" s="8">
        <f t="shared" si="1"/>
        <v>378716</v>
      </c>
      <c r="G75" s="29"/>
    </row>
    <row r="76" spans="1:7" x14ac:dyDescent="0.25">
      <c r="A76" s="183">
        <v>42567</v>
      </c>
      <c r="B76" s="29" t="s">
        <v>121</v>
      </c>
      <c r="C76" s="29" t="s">
        <v>168</v>
      </c>
      <c r="D76" s="14">
        <v>2000</v>
      </c>
      <c r="E76" s="14"/>
      <c r="F76" s="8">
        <f t="shared" si="1"/>
        <v>376716</v>
      </c>
      <c r="G76" s="29"/>
    </row>
    <row r="77" spans="1:7" x14ac:dyDescent="0.25">
      <c r="A77" s="183">
        <v>42567</v>
      </c>
      <c r="B77" s="29" t="s">
        <v>26</v>
      </c>
      <c r="C77" s="29" t="s">
        <v>207</v>
      </c>
      <c r="D77" s="14">
        <v>360</v>
      </c>
      <c r="E77" s="14"/>
      <c r="F77" s="8">
        <f t="shared" si="1"/>
        <v>376356</v>
      </c>
      <c r="G77" s="29"/>
    </row>
    <row r="78" spans="1:7" x14ac:dyDescent="0.25">
      <c r="A78" s="183">
        <v>42567</v>
      </c>
      <c r="B78" s="29" t="s">
        <v>5</v>
      </c>
      <c r="C78" s="29" t="s">
        <v>169</v>
      </c>
      <c r="D78" s="14">
        <v>1400</v>
      </c>
      <c r="E78" s="14"/>
      <c r="F78" s="8">
        <f t="shared" si="1"/>
        <v>374956</v>
      </c>
      <c r="G78" s="29"/>
    </row>
    <row r="79" spans="1:7" x14ac:dyDescent="0.25">
      <c r="A79" s="183">
        <v>42567</v>
      </c>
      <c r="B79" s="29" t="s">
        <v>161</v>
      </c>
      <c r="C79" s="29" t="s">
        <v>208</v>
      </c>
      <c r="D79" s="14">
        <v>2000</v>
      </c>
      <c r="E79" s="14"/>
      <c r="F79" s="8">
        <f t="shared" si="1"/>
        <v>372956</v>
      </c>
      <c r="G79" s="29"/>
    </row>
    <row r="80" spans="1:7" x14ac:dyDescent="0.25">
      <c r="A80" s="183">
        <v>42567</v>
      </c>
      <c r="B80" s="29" t="s">
        <v>120</v>
      </c>
      <c r="C80" s="29" t="s">
        <v>56</v>
      </c>
      <c r="D80" s="14">
        <v>5000</v>
      </c>
      <c r="E80" s="14"/>
      <c r="F80" s="8">
        <f t="shared" si="1"/>
        <v>367956</v>
      </c>
      <c r="G80" s="29"/>
    </row>
    <row r="81" spans="1:7" x14ac:dyDescent="0.25">
      <c r="A81" s="183">
        <v>42567</v>
      </c>
      <c r="B81" s="29" t="s">
        <v>5</v>
      </c>
      <c r="C81" s="29" t="s">
        <v>170</v>
      </c>
      <c r="D81" s="14">
        <v>40200</v>
      </c>
      <c r="E81" s="14"/>
      <c r="F81" s="8">
        <f t="shared" si="1"/>
        <v>327756</v>
      </c>
      <c r="G81" s="29"/>
    </row>
    <row r="82" spans="1:7" x14ac:dyDescent="0.25">
      <c r="A82" s="183">
        <v>42567</v>
      </c>
      <c r="B82" s="29" t="s">
        <v>5</v>
      </c>
      <c r="C82" s="29" t="s">
        <v>188</v>
      </c>
      <c r="D82" s="14">
        <v>400</v>
      </c>
      <c r="E82" s="14"/>
      <c r="F82" s="8">
        <f t="shared" si="1"/>
        <v>327356</v>
      </c>
      <c r="G82" s="29"/>
    </row>
    <row r="83" spans="1:7" x14ac:dyDescent="0.25">
      <c r="A83" s="183">
        <v>42567</v>
      </c>
      <c r="B83" s="29" t="s">
        <v>5</v>
      </c>
      <c r="C83" s="29" t="s">
        <v>171</v>
      </c>
      <c r="D83" s="14">
        <v>1000</v>
      </c>
      <c r="E83" s="14"/>
      <c r="F83" s="8">
        <f t="shared" si="1"/>
        <v>326356</v>
      </c>
      <c r="G83" s="29"/>
    </row>
    <row r="84" spans="1:7" x14ac:dyDescent="0.25">
      <c r="A84" s="183">
        <v>42569</v>
      </c>
      <c r="B84" s="29" t="s">
        <v>26</v>
      </c>
      <c r="C84" s="29" t="s">
        <v>180</v>
      </c>
      <c r="D84" s="14">
        <v>670</v>
      </c>
      <c r="E84" s="14"/>
      <c r="F84" s="8">
        <f t="shared" si="1"/>
        <v>325686</v>
      </c>
      <c r="G84" s="29"/>
    </row>
    <row r="85" spans="1:7" x14ac:dyDescent="0.25">
      <c r="A85" s="183">
        <v>42569</v>
      </c>
      <c r="B85" s="29" t="s">
        <v>17</v>
      </c>
      <c r="C85" s="29" t="s">
        <v>189</v>
      </c>
      <c r="D85" s="14">
        <f>330-110</f>
        <v>220</v>
      </c>
      <c r="E85" s="14"/>
      <c r="F85" s="8">
        <f t="shared" si="1"/>
        <v>325466</v>
      </c>
      <c r="G85" s="29"/>
    </row>
    <row r="86" spans="1:7" x14ac:dyDescent="0.25">
      <c r="A86" s="183">
        <v>42569</v>
      </c>
      <c r="B86" s="29" t="s">
        <v>103</v>
      </c>
      <c r="C86" s="29" t="s">
        <v>172</v>
      </c>
      <c r="D86" s="14">
        <v>4400</v>
      </c>
      <c r="E86" s="14"/>
      <c r="F86" s="8">
        <f t="shared" si="1"/>
        <v>321066</v>
      </c>
      <c r="G86" s="29"/>
    </row>
    <row r="87" spans="1:7" x14ac:dyDescent="0.25">
      <c r="A87" s="183">
        <v>42569</v>
      </c>
      <c r="B87" s="29" t="s">
        <v>23</v>
      </c>
      <c r="C87" s="29" t="s">
        <v>41</v>
      </c>
      <c r="D87" s="14">
        <v>10000</v>
      </c>
      <c r="E87" s="14"/>
      <c r="F87" s="8">
        <f t="shared" si="1"/>
        <v>311066</v>
      </c>
      <c r="G87" s="29"/>
    </row>
    <row r="88" spans="1:7" x14ac:dyDescent="0.25">
      <c r="A88" s="183">
        <v>42569</v>
      </c>
      <c r="B88" s="29" t="s">
        <v>37</v>
      </c>
      <c r="C88" s="29" t="s">
        <v>32</v>
      </c>
      <c r="D88" s="14">
        <v>2000</v>
      </c>
      <c r="E88" s="14"/>
      <c r="F88" s="8">
        <f t="shared" si="1"/>
        <v>309066</v>
      </c>
      <c r="G88" s="29"/>
    </row>
    <row r="89" spans="1:7" x14ac:dyDescent="0.25">
      <c r="A89" s="183">
        <v>42569</v>
      </c>
      <c r="B89" s="29" t="s">
        <v>165</v>
      </c>
      <c r="C89" s="29" t="s">
        <v>173</v>
      </c>
      <c r="D89" s="14">
        <v>6000</v>
      </c>
      <c r="E89" s="14"/>
      <c r="F89" s="8">
        <f t="shared" si="1"/>
        <v>303066</v>
      </c>
      <c r="G89" s="29"/>
    </row>
    <row r="90" spans="1:7" x14ac:dyDescent="0.25">
      <c r="A90" s="183">
        <v>42569</v>
      </c>
      <c r="B90" s="40" t="s">
        <v>107</v>
      </c>
      <c r="C90" s="40" t="s">
        <v>186</v>
      </c>
      <c r="D90" s="41">
        <v>22800</v>
      </c>
      <c r="E90" s="14"/>
      <c r="F90" s="8">
        <f t="shared" si="1"/>
        <v>280266</v>
      </c>
      <c r="G90" s="29"/>
    </row>
    <row r="91" spans="1:7" x14ac:dyDescent="0.25">
      <c r="A91" s="183">
        <v>42569</v>
      </c>
      <c r="B91" s="29" t="s">
        <v>174</v>
      </c>
      <c r="C91" s="29" t="s">
        <v>175</v>
      </c>
      <c r="D91" s="14">
        <v>2383</v>
      </c>
      <c r="E91" s="14"/>
      <c r="F91" s="8">
        <f t="shared" si="1"/>
        <v>277883</v>
      </c>
      <c r="G91" s="29"/>
    </row>
    <row r="92" spans="1:7" x14ac:dyDescent="0.25">
      <c r="A92" s="183">
        <v>42569</v>
      </c>
      <c r="B92" s="29" t="s">
        <v>174</v>
      </c>
      <c r="C92" s="29" t="s">
        <v>175</v>
      </c>
      <c r="D92" s="14">
        <v>570</v>
      </c>
      <c r="E92" s="14"/>
      <c r="F92" s="8">
        <f t="shared" si="1"/>
        <v>277313</v>
      </c>
      <c r="G92" s="29"/>
    </row>
    <row r="93" spans="1:7" x14ac:dyDescent="0.25">
      <c r="A93" s="183">
        <v>42569</v>
      </c>
      <c r="B93" s="29" t="s">
        <v>161</v>
      </c>
      <c r="C93" s="29" t="s">
        <v>176</v>
      </c>
      <c r="D93" s="14">
        <v>10000</v>
      </c>
      <c r="E93" s="14"/>
      <c r="F93" s="8">
        <f t="shared" si="1"/>
        <v>267313</v>
      </c>
      <c r="G93" s="29"/>
    </row>
    <row r="94" spans="1:7" x14ac:dyDescent="0.25">
      <c r="A94" s="183">
        <v>42569</v>
      </c>
      <c r="B94" s="29" t="s">
        <v>177</v>
      </c>
      <c r="C94" s="29" t="s">
        <v>179</v>
      </c>
      <c r="D94" s="14">
        <v>8300</v>
      </c>
      <c r="E94" s="14"/>
      <c r="F94" s="8">
        <f t="shared" si="1"/>
        <v>259013</v>
      </c>
      <c r="G94" s="29"/>
    </row>
    <row r="95" spans="1:7" x14ac:dyDescent="0.25">
      <c r="A95" s="183">
        <v>42569</v>
      </c>
      <c r="B95" s="29" t="s">
        <v>165</v>
      </c>
      <c r="C95" s="29" t="s">
        <v>178</v>
      </c>
      <c r="D95" s="14">
        <v>1700</v>
      </c>
      <c r="E95" s="14"/>
      <c r="F95" s="8">
        <f t="shared" si="1"/>
        <v>257313</v>
      </c>
      <c r="G95" s="29"/>
    </row>
    <row r="96" spans="1:7" x14ac:dyDescent="0.25">
      <c r="A96" s="183">
        <v>42570</v>
      </c>
      <c r="B96" s="29" t="s">
        <v>124</v>
      </c>
      <c r="C96" s="29" t="s">
        <v>32</v>
      </c>
      <c r="D96" s="14">
        <v>500</v>
      </c>
      <c r="E96" s="14"/>
      <c r="F96" s="8">
        <f t="shared" si="1"/>
        <v>256813</v>
      </c>
      <c r="G96" s="29"/>
    </row>
    <row r="97" spans="1:7" x14ac:dyDescent="0.25">
      <c r="A97" s="183">
        <v>42570</v>
      </c>
      <c r="B97" s="29" t="s">
        <v>26</v>
      </c>
      <c r="C97" s="29" t="s">
        <v>181</v>
      </c>
      <c r="D97" s="14">
        <v>45</v>
      </c>
      <c r="E97" s="14"/>
      <c r="F97" s="8">
        <f t="shared" si="1"/>
        <v>256768</v>
      </c>
      <c r="G97" s="29"/>
    </row>
    <row r="98" spans="1:7" x14ac:dyDescent="0.25">
      <c r="A98" s="183">
        <v>42570</v>
      </c>
      <c r="B98" s="29" t="s">
        <v>118</v>
      </c>
      <c r="C98" s="29" t="s">
        <v>209</v>
      </c>
      <c r="D98" s="14">
        <v>150</v>
      </c>
      <c r="E98" s="14"/>
      <c r="F98" s="8">
        <f t="shared" si="1"/>
        <v>256618</v>
      </c>
      <c r="G98" s="29"/>
    </row>
    <row r="99" spans="1:7" x14ac:dyDescent="0.25">
      <c r="A99" s="183">
        <v>42570</v>
      </c>
      <c r="B99" s="29" t="s">
        <v>40</v>
      </c>
      <c r="C99" s="29" t="s">
        <v>32</v>
      </c>
      <c r="D99" s="14">
        <v>2000</v>
      </c>
      <c r="E99" s="14"/>
      <c r="F99" s="8">
        <f t="shared" si="1"/>
        <v>254618</v>
      </c>
      <c r="G99" s="29"/>
    </row>
    <row r="100" spans="1:7" x14ac:dyDescent="0.25">
      <c r="A100" s="183">
        <v>42570</v>
      </c>
      <c r="B100" s="29" t="s">
        <v>182</v>
      </c>
      <c r="C100" s="29" t="s">
        <v>183</v>
      </c>
      <c r="D100" s="14">
        <v>400</v>
      </c>
      <c r="E100" s="14"/>
      <c r="F100" s="8">
        <f t="shared" si="1"/>
        <v>254218</v>
      </c>
      <c r="G100" s="29"/>
    </row>
    <row r="101" spans="1:7" x14ac:dyDescent="0.25">
      <c r="A101" s="183">
        <v>42570</v>
      </c>
      <c r="B101" s="29" t="s">
        <v>5</v>
      </c>
      <c r="C101" s="29" t="s">
        <v>78</v>
      </c>
      <c r="D101" s="14">
        <v>300</v>
      </c>
      <c r="E101" s="14"/>
      <c r="F101" s="8">
        <f t="shared" si="1"/>
        <v>253918</v>
      </c>
      <c r="G101" s="29"/>
    </row>
    <row r="102" spans="1:7" x14ac:dyDescent="0.25">
      <c r="A102" s="183">
        <v>42570</v>
      </c>
      <c r="B102" s="29" t="s">
        <v>5</v>
      </c>
      <c r="C102" s="29" t="s">
        <v>184</v>
      </c>
      <c r="D102" s="14">
        <v>645</v>
      </c>
      <c r="E102" s="14"/>
      <c r="F102" s="8">
        <f t="shared" si="1"/>
        <v>253273</v>
      </c>
      <c r="G102" s="29"/>
    </row>
    <row r="103" spans="1:7" x14ac:dyDescent="0.25">
      <c r="A103" s="183">
        <v>42570</v>
      </c>
      <c r="B103" s="29" t="s">
        <v>161</v>
      </c>
      <c r="C103" s="29" t="s">
        <v>185</v>
      </c>
      <c r="D103" s="14">
        <v>2000</v>
      </c>
      <c r="E103" s="14"/>
      <c r="F103" s="8">
        <f t="shared" si="1"/>
        <v>251273</v>
      </c>
      <c r="G103" s="29"/>
    </row>
    <row r="104" spans="1:7" x14ac:dyDescent="0.25">
      <c r="A104" s="183">
        <v>42570</v>
      </c>
      <c r="B104" s="29" t="s">
        <v>165</v>
      </c>
      <c r="C104" s="29" t="s">
        <v>32</v>
      </c>
      <c r="D104" s="14">
        <v>20000</v>
      </c>
      <c r="E104" s="14"/>
      <c r="F104" s="8">
        <f t="shared" si="1"/>
        <v>231273</v>
      </c>
      <c r="G104" s="29"/>
    </row>
    <row r="105" spans="1:7" x14ac:dyDescent="0.25">
      <c r="A105" s="183">
        <v>42571</v>
      </c>
      <c r="B105" s="29" t="s">
        <v>26</v>
      </c>
      <c r="C105" s="29" t="s">
        <v>52</v>
      </c>
      <c r="D105" s="14">
        <v>15</v>
      </c>
      <c r="E105" s="14"/>
      <c r="F105" s="8">
        <f t="shared" si="1"/>
        <v>231258</v>
      </c>
      <c r="G105" s="29"/>
    </row>
    <row r="106" spans="1:7" x14ac:dyDescent="0.25">
      <c r="A106" s="183">
        <v>42571</v>
      </c>
      <c r="B106" s="29" t="s">
        <v>38</v>
      </c>
      <c r="C106" s="29" t="s">
        <v>187</v>
      </c>
      <c r="D106" s="14">
        <v>8000</v>
      </c>
      <c r="E106" s="14"/>
      <c r="F106" s="8">
        <f t="shared" si="1"/>
        <v>223258</v>
      </c>
      <c r="G106" s="29"/>
    </row>
    <row r="107" spans="1:7" x14ac:dyDescent="0.25">
      <c r="A107" s="183">
        <v>42571</v>
      </c>
      <c r="B107" s="29" t="s">
        <v>5</v>
      </c>
      <c r="C107" s="29" t="s">
        <v>79</v>
      </c>
      <c r="D107" s="14">
        <v>100</v>
      </c>
      <c r="E107" s="14"/>
      <c r="F107" s="8">
        <f t="shared" si="1"/>
        <v>223158</v>
      </c>
      <c r="G107" s="29"/>
    </row>
    <row r="108" spans="1:7" x14ac:dyDescent="0.25">
      <c r="A108" s="183">
        <v>42571</v>
      </c>
      <c r="B108" s="29" t="s">
        <v>5</v>
      </c>
      <c r="C108" s="29" t="s">
        <v>190</v>
      </c>
      <c r="D108" s="14">
        <v>4200</v>
      </c>
      <c r="E108" s="14"/>
      <c r="F108" s="8">
        <f t="shared" si="1"/>
        <v>218958</v>
      </c>
      <c r="G108" s="29"/>
    </row>
    <row r="109" spans="1:7" x14ac:dyDescent="0.25">
      <c r="A109" s="183">
        <v>42571</v>
      </c>
      <c r="B109" s="29" t="s">
        <v>5</v>
      </c>
      <c r="C109" s="29" t="s">
        <v>194</v>
      </c>
      <c r="D109" s="14">
        <v>650</v>
      </c>
      <c r="E109" s="14"/>
      <c r="F109" s="8">
        <f t="shared" si="1"/>
        <v>218308</v>
      </c>
      <c r="G109" s="29"/>
    </row>
    <row r="110" spans="1:7" x14ac:dyDescent="0.25">
      <c r="A110" s="183">
        <v>42571</v>
      </c>
      <c r="B110" s="29" t="s">
        <v>163</v>
      </c>
      <c r="C110" s="29" t="s">
        <v>32</v>
      </c>
      <c r="D110" s="14">
        <v>1000</v>
      </c>
      <c r="E110" s="14"/>
      <c r="F110" s="8">
        <f t="shared" si="1"/>
        <v>217308</v>
      </c>
      <c r="G110" s="29"/>
    </row>
    <row r="111" spans="1:7" x14ac:dyDescent="0.25">
      <c r="A111" s="183">
        <v>42571</v>
      </c>
      <c r="B111" s="29" t="s">
        <v>165</v>
      </c>
      <c r="C111" s="29" t="s">
        <v>191</v>
      </c>
      <c r="D111" s="14">
        <v>2590</v>
      </c>
      <c r="E111" s="14"/>
      <c r="F111" s="8">
        <f t="shared" si="1"/>
        <v>214718</v>
      </c>
      <c r="G111" s="29"/>
    </row>
    <row r="112" spans="1:7" x14ac:dyDescent="0.25">
      <c r="A112" s="183">
        <v>42571</v>
      </c>
      <c r="B112" s="29" t="s">
        <v>17</v>
      </c>
      <c r="C112" s="29" t="s">
        <v>192</v>
      </c>
      <c r="D112" s="14">
        <v>5000</v>
      </c>
      <c r="E112" s="14"/>
      <c r="F112" s="8">
        <f t="shared" si="1"/>
        <v>209718</v>
      </c>
      <c r="G112" s="29"/>
    </row>
    <row r="113" spans="1:7" x14ac:dyDescent="0.25">
      <c r="A113" s="183">
        <v>42571</v>
      </c>
      <c r="B113" s="29" t="s">
        <v>17</v>
      </c>
      <c r="C113" s="29" t="s">
        <v>34</v>
      </c>
      <c r="D113" s="14">
        <v>650</v>
      </c>
      <c r="E113" s="14"/>
      <c r="F113" s="8">
        <f t="shared" si="1"/>
        <v>209068</v>
      </c>
      <c r="G113" s="29"/>
    </row>
    <row r="114" spans="1:7" x14ac:dyDescent="0.25">
      <c r="A114" s="183">
        <v>42571</v>
      </c>
      <c r="B114" s="29" t="s">
        <v>161</v>
      </c>
      <c r="C114" s="29" t="s">
        <v>193</v>
      </c>
      <c r="D114" s="14">
        <v>1000</v>
      </c>
      <c r="E114" s="14"/>
      <c r="F114" s="8">
        <f t="shared" si="1"/>
        <v>208068</v>
      </c>
      <c r="G114" s="29"/>
    </row>
    <row r="115" spans="1:7" x14ac:dyDescent="0.25">
      <c r="A115" s="183">
        <v>42571</v>
      </c>
      <c r="B115" s="29" t="s">
        <v>26</v>
      </c>
      <c r="C115" s="29" t="s">
        <v>88</v>
      </c>
      <c r="D115" s="14">
        <v>50</v>
      </c>
      <c r="E115" s="14"/>
      <c r="F115" s="8">
        <f t="shared" si="1"/>
        <v>208018</v>
      </c>
      <c r="G115" s="29"/>
    </row>
    <row r="116" spans="1:7" x14ac:dyDescent="0.25">
      <c r="A116" s="183">
        <v>42571</v>
      </c>
      <c r="B116" s="29" t="s">
        <v>155</v>
      </c>
      <c r="C116" s="29" t="s">
        <v>195</v>
      </c>
      <c r="D116" s="14">
        <v>5200</v>
      </c>
      <c r="E116" s="14"/>
      <c r="F116" s="8">
        <f t="shared" si="1"/>
        <v>202818</v>
      </c>
      <c r="G116" s="29"/>
    </row>
    <row r="117" spans="1:7" x14ac:dyDescent="0.25">
      <c r="A117" s="183">
        <v>42571</v>
      </c>
      <c r="B117" s="29"/>
      <c r="C117" s="29" t="s">
        <v>213</v>
      </c>
      <c r="D117" s="14">
        <v>3650</v>
      </c>
      <c r="E117" s="14"/>
      <c r="F117" s="8">
        <f t="shared" si="1"/>
        <v>199168</v>
      </c>
      <c r="G117" s="29"/>
    </row>
    <row r="118" spans="1:7" x14ac:dyDescent="0.25">
      <c r="A118" s="183">
        <v>42572</v>
      </c>
      <c r="B118" s="29" t="s">
        <v>38</v>
      </c>
      <c r="C118" s="29" t="s">
        <v>32</v>
      </c>
      <c r="D118" s="14">
        <v>3000</v>
      </c>
      <c r="E118" s="14"/>
      <c r="F118" s="8">
        <f t="shared" si="1"/>
        <v>196168</v>
      </c>
      <c r="G118" s="29"/>
    </row>
    <row r="119" spans="1:7" x14ac:dyDescent="0.25">
      <c r="A119" s="183">
        <v>42572</v>
      </c>
      <c r="B119" s="29" t="s">
        <v>40</v>
      </c>
      <c r="C119" s="29" t="s">
        <v>32</v>
      </c>
      <c r="D119" s="14">
        <v>10000</v>
      </c>
      <c r="E119" s="14"/>
      <c r="F119" s="8">
        <f t="shared" si="1"/>
        <v>186168</v>
      </c>
      <c r="G119" s="29"/>
    </row>
    <row r="120" spans="1:7" x14ac:dyDescent="0.25">
      <c r="A120" s="183">
        <v>42572</v>
      </c>
      <c r="B120" s="29" t="s">
        <v>5</v>
      </c>
      <c r="C120" s="29" t="s">
        <v>196</v>
      </c>
      <c r="D120" s="14">
        <v>200</v>
      </c>
      <c r="E120" s="14"/>
      <c r="F120" s="8">
        <f t="shared" si="1"/>
        <v>185968</v>
      </c>
      <c r="G120" s="29"/>
    </row>
    <row r="121" spans="1:7" x14ac:dyDescent="0.25">
      <c r="A121" s="183">
        <v>42572</v>
      </c>
      <c r="B121" s="29" t="s">
        <v>197</v>
      </c>
      <c r="C121" s="29" t="s">
        <v>198</v>
      </c>
      <c r="D121" s="14">
        <v>35500</v>
      </c>
      <c r="E121" s="14"/>
      <c r="F121" s="8">
        <f t="shared" si="1"/>
        <v>150468</v>
      </c>
      <c r="G121" s="29"/>
    </row>
    <row r="122" spans="1:7" x14ac:dyDescent="0.25">
      <c r="A122" s="183">
        <v>42572</v>
      </c>
      <c r="B122" s="29" t="s">
        <v>157</v>
      </c>
      <c r="C122" s="29" t="s">
        <v>32</v>
      </c>
      <c r="D122" s="14">
        <v>1000</v>
      </c>
      <c r="E122" s="14"/>
      <c r="F122" s="8">
        <f t="shared" si="1"/>
        <v>149468</v>
      </c>
      <c r="G122" s="29"/>
    </row>
    <row r="123" spans="1:7" x14ac:dyDescent="0.25">
      <c r="A123" s="183">
        <v>42572</v>
      </c>
      <c r="B123" s="29" t="s">
        <v>46</v>
      </c>
      <c r="C123" s="29" t="s">
        <v>201</v>
      </c>
      <c r="D123" s="14">
        <v>520</v>
      </c>
      <c r="E123" s="14"/>
      <c r="F123" s="8">
        <f t="shared" si="1"/>
        <v>148948</v>
      </c>
      <c r="G123" s="29"/>
    </row>
    <row r="124" spans="1:7" x14ac:dyDescent="0.25">
      <c r="A124" s="183">
        <v>42572</v>
      </c>
      <c r="B124" s="29" t="s">
        <v>26</v>
      </c>
      <c r="C124" s="29" t="s">
        <v>216</v>
      </c>
      <c r="D124" s="14">
        <v>470</v>
      </c>
      <c r="E124" s="14"/>
      <c r="F124" s="8">
        <f t="shared" si="1"/>
        <v>148478</v>
      </c>
      <c r="G124" s="29"/>
    </row>
    <row r="125" spans="1:7" x14ac:dyDescent="0.25">
      <c r="A125" s="183">
        <v>42572</v>
      </c>
      <c r="B125" s="29" t="s">
        <v>5</v>
      </c>
      <c r="C125" s="29" t="s">
        <v>234</v>
      </c>
      <c r="D125" s="14">
        <v>2860</v>
      </c>
      <c r="E125" s="14"/>
      <c r="F125" s="8">
        <f t="shared" si="1"/>
        <v>145618</v>
      </c>
      <c r="G125" s="29"/>
    </row>
    <row r="126" spans="1:7" x14ac:dyDescent="0.25">
      <c r="A126" s="183">
        <v>42572</v>
      </c>
      <c r="B126" s="29" t="s">
        <v>119</v>
      </c>
      <c r="C126" s="29" t="s">
        <v>199</v>
      </c>
      <c r="D126" s="14">
        <v>540</v>
      </c>
      <c r="E126" s="14"/>
      <c r="F126" s="8">
        <f t="shared" si="1"/>
        <v>145078</v>
      </c>
      <c r="G126" s="29"/>
    </row>
    <row r="127" spans="1:7" x14ac:dyDescent="0.25">
      <c r="A127" s="183">
        <v>42572</v>
      </c>
      <c r="B127" s="29" t="s">
        <v>118</v>
      </c>
      <c r="C127" s="29" t="s">
        <v>210</v>
      </c>
      <c r="D127" s="14">
        <v>2330</v>
      </c>
      <c r="E127" s="14"/>
      <c r="F127" s="8">
        <f t="shared" si="1"/>
        <v>142748</v>
      </c>
      <c r="G127" s="29"/>
    </row>
    <row r="128" spans="1:7" x14ac:dyDescent="0.25">
      <c r="A128" s="183">
        <v>42572</v>
      </c>
      <c r="B128" s="29" t="s">
        <v>26</v>
      </c>
      <c r="C128" s="29" t="s">
        <v>215</v>
      </c>
      <c r="D128" s="14">
        <v>70</v>
      </c>
      <c r="E128" s="14"/>
      <c r="F128" s="8">
        <f t="shared" si="1"/>
        <v>142678</v>
      </c>
      <c r="G128" s="29"/>
    </row>
    <row r="129" spans="1:7" x14ac:dyDescent="0.25">
      <c r="A129" s="183">
        <v>42573</v>
      </c>
      <c r="B129" s="29" t="s">
        <v>102</v>
      </c>
      <c r="C129" s="29" t="s">
        <v>202</v>
      </c>
      <c r="D129" s="14">
        <v>20000</v>
      </c>
      <c r="E129" s="14"/>
      <c r="F129" s="8">
        <f t="shared" si="1"/>
        <v>122678</v>
      </c>
      <c r="G129" s="29"/>
    </row>
    <row r="130" spans="1:7" x14ac:dyDescent="0.25">
      <c r="A130" s="183">
        <v>42573</v>
      </c>
      <c r="B130" s="29" t="s">
        <v>5</v>
      </c>
      <c r="C130" s="29" t="s">
        <v>203</v>
      </c>
      <c r="D130" s="14">
        <v>9870</v>
      </c>
      <c r="E130" s="14"/>
      <c r="F130" s="8">
        <f t="shared" si="1"/>
        <v>112808</v>
      </c>
      <c r="G130" s="29"/>
    </row>
    <row r="131" spans="1:7" x14ac:dyDescent="0.25">
      <c r="A131" s="183">
        <v>42573</v>
      </c>
      <c r="B131" s="29" t="s">
        <v>26</v>
      </c>
      <c r="C131" s="29" t="s">
        <v>153</v>
      </c>
      <c r="D131" s="14">
        <v>100</v>
      </c>
      <c r="E131" s="14"/>
      <c r="F131" s="8">
        <f t="shared" ref="F131:F194" si="2">F130-D131+E131</f>
        <v>112708</v>
      </c>
      <c r="G131" s="29"/>
    </row>
    <row r="132" spans="1:7" x14ac:dyDescent="0.25">
      <c r="A132" s="183">
        <v>42573</v>
      </c>
      <c r="B132" s="29" t="s">
        <v>43</v>
      </c>
      <c r="C132" s="29" t="s">
        <v>32</v>
      </c>
      <c r="D132" s="14">
        <v>2000</v>
      </c>
      <c r="E132" s="14"/>
      <c r="F132" s="8">
        <f t="shared" si="2"/>
        <v>110708</v>
      </c>
      <c r="G132" s="29"/>
    </row>
    <row r="133" spans="1:7" x14ac:dyDescent="0.25">
      <c r="A133" s="183">
        <v>42574</v>
      </c>
      <c r="B133" s="29" t="s">
        <v>40</v>
      </c>
      <c r="C133" s="29" t="s">
        <v>211</v>
      </c>
      <c r="D133" s="14">
        <v>1000</v>
      </c>
      <c r="E133" s="14"/>
      <c r="F133" s="8">
        <f t="shared" si="2"/>
        <v>109708</v>
      </c>
      <c r="G133" s="29"/>
    </row>
    <row r="134" spans="1:7" x14ac:dyDescent="0.25">
      <c r="A134" s="183">
        <v>42574</v>
      </c>
      <c r="B134" s="29" t="s">
        <v>26</v>
      </c>
      <c r="C134" s="29" t="s">
        <v>212</v>
      </c>
      <c r="D134" s="14">
        <v>350</v>
      </c>
      <c r="E134" s="14"/>
      <c r="F134" s="8">
        <f t="shared" si="2"/>
        <v>109358</v>
      </c>
      <c r="G134" s="29"/>
    </row>
    <row r="135" spans="1:7" x14ac:dyDescent="0.25">
      <c r="A135" s="183">
        <v>42574</v>
      </c>
      <c r="B135" s="29" t="s">
        <v>217</v>
      </c>
      <c r="C135" s="29" t="s">
        <v>218</v>
      </c>
      <c r="D135" s="14">
        <v>390</v>
      </c>
      <c r="E135" s="14"/>
      <c r="F135" s="8">
        <f t="shared" si="2"/>
        <v>108968</v>
      </c>
      <c r="G135" s="29"/>
    </row>
    <row r="136" spans="1:7" x14ac:dyDescent="0.25">
      <c r="A136" s="183">
        <v>42574</v>
      </c>
      <c r="B136" s="29" t="s">
        <v>119</v>
      </c>
      <c r="C136" s="29" t="s">
        <v>219</v>
      </c>
      <c r="D136" s="14">
        <v>430</v>
      </c>
      <c r="E136" s="14"/>
      <c r="F136" s="8">
        <f t="shared" si="2"/>
        <v>108538</v>
      </c>
      <c r="G136" s="29"/>
    </row>
    <row r="137" spans="1:7" x14ac:dyDescent="0.25">
      <c r="A137" s="183">
        <v>42574</v>
      </c>
      <c r="B137" s="29" t="s">
        <v>120</v>
      </c>
      <c r="C137" s="29" t="s">
        <v>220</v>
      </c>
      <c r="D137" s="14">
        <v>20000</v>
      </c>
      <c r="E137" s="14"/>
      <c r="F137" s="8">
        <f t="shared" si="2"/>
        <v>88538</v>
      </c>
      <c r="G137" s="29"/>
    </row>
    <row r="138" spans="1:7" x14ac:dyDescent="0.25">
      <c r="A138" s="183">
        <v>42574</v>
      </c>
      <c r="B138" s="29" t="s">
        <v>121</v>
      </c>
      <c r="C138" s="29" t="s">
        <v>122</v>
      </c>
      <c r="D138" s="14">
        <v>5000</v>
      </c>
      <c r="E138" s="14"/>
      <c r="F138" s="8">
        <f t="shared" si="2"/>
        <v>83538</v>
      </c>
      <c r="G138" s="29"/>
    </row>
    <row r="139" spans="1:7" x14ac:dyDescent="0.25">
      <c r="A139" s="183">
        <v>42574</v>
      </c>
      <c r="B139" s="29" t="s">
        <v>40</v>
      </c>
      <c r="C139" s="29" t="s">
        <v>221</v>
      </c>
      <c r="D139" s="14">
        <v>1500</v>
      </c>
      <c r="E139" s="14"/>
      <c r="F139" s="8">
        <f t="shared" si="2"/>
        <v>82038</v>
      </c>
      <c r="G139" s="29"/>
    </row>
    <row r="140" spans="1:7" x14ac:dyDescent="0.25">
      <c r="A140" s="183">
        <v>42574</v>
      </c>
      <c r="B140" s="29" t="s">
        <v>40</v>
      </c>
      <c r="C140" s="29" t="s">
        <v>122</v>
      </c>
      <c r="D140" s="14">
        <v>2500</v>
      </c>
      <c r="E140" s="14"/>
      <c r="F140" s="8">
        <f t="shared" si="2"/>
        <v>79538</v>
      </c>
      <c r="G140" s="29"/>
    </row>
    <row r="141" spans="1:7" x14ac:dyDescent="0.25">
      <c r="A141" s="183">
        <v>42574</v>
      </c>
      <c r="B141" s="29" t="s">
        <v>163</v>
      </c>
      <c r="C141" s="29" t="s">
        <v>222</v>
      </c>
      <c r="D141" s="14">
        <v>80</v>
      </c>
      <c r="E141" s="14"/>
      <c r="F141" s="8">
        <f t="shared" si="2"/>
        <v>79458</v>
      </c>
      <c r="G141" s="29"/>
    </row>
    <row r="142" spans="1:7" x14ac:dyDescent="0.25">
      <c r="A142" s="183">
        <v>42574</v>
      </c>
      <c r="B142" s="29" t="s">
        <v>28</v>
      </c>
      <c r="C142" s="29" t="s">
        <v>78</v>
      </c>
      <c r="D142" s="14">
        <v>1010</v>
      </c>
      <c r="E142" s="14"/>
      <c r="F142" s="8">
        <f t="shared" si="2"/>
        <v>78448</v>
      </c>
      <c r="G142" s="29"/>
    </row>
    <row r="143" spans="1:7" x14ac:dyDescent="0.25">
      <c r="A143" s="183">
        <v>42574</v>
      </c>
      <c r="B143" s="29" t="s">
        <v>40</v>
      </c>
      <c r="C143" s="29" t="s">
        <v>32</v>
      </c>
      <c r="D143" s="14">
        <v>1000</v>
      </c>
      <c r="E143" s="14"/>
      <c r="F143" s="8">
        <f t="shared" si="2"/>
        <v>77448</v>
      </c>
      <c r="G143" s="29"/>
    </row>
    <row r="144" spans="1:7" x14ac:dyDescent="0.25">
      <c r="A144" s="183">
        <v>42574</v>
      </c>
      <c r="B144" s="29" t="s">
        <v>43</v>
      </c>
      <c r="C144" s="29" t="s">
        <v>32</v>
      </c>
      <c r="D144" s="14">
        <v>1000</v>
      </c>
      <c r="E144" s="14"/>
      <c r="F144" s="8">
        <f t="shared" si="2"/>
        <v>76448</v>
      </c>
      <c r="G144" s="29"/>
    </row>
    <row r="145" spans="1:7" x14ac:dyDescent="0.25">
      <c r="A145" s="183">
        <v>42574</v>
      </c>
      <c r="B145" s="29" t="s">
        <v>43</v>
      </c>
      <c r="C145" s="29" t="s">
        <v>223</v>
      </c>
      <c r="D145" s="14">
        <v>1320</v>
      </c>
      <c r="E145" s="14"/>
      <c r="F145" s="8">
        <f t="shared" si="2"/>
        <v>75128</v>
      </c>
      <c r="G145" s="29"/>
    </row>
    <row r="146" spans="1:7" x14ac:dyDescent="0.25">
      <c r="A146" s="183">
        <v>42574</v>
      </c>
      <c r="B146" s="26" t="s">
        <v>119</v>
      </c>
      <c r="C146" s="26" t="s">
        <v>167</v>
      </c>
      <c r="D146" s="8">
        <v>100</v>
      </c>
      <c r="E146" s="8"/>
      <c r="F146" s="8">
        <f t="shared" si="2"/>
        <v>75028</v>
      </c>
      <c r="G146" s="26"/>
    </row>
    <row r="147" spans="1:7" x14ac:dyDescent="0.25">
      <c r="A147" s="183">
        <v>42574</v>
      </c>
      <c r="B147" s="29" t="s">
        <v>161</v>
      </c>
      <c r="C147" s="29" t="s">
        <v>235</v>
      </c>
      <c r="D147" s="14">
        <v>4000</v>
      </c>
      <c r="E147" s="14"/>
      <c r="F147" s="8">
        <f t="shared" si="2"/>
        <v>71028</v>
      </c>
      <c r="G147" s="29"/>
    </row>
    <row r="148" spans="1:7" x14ac:dyDescent="0.25">
      <c r="A148" s="183">
        <v>42576</v>
      </c>
      <c r="B148" s="29" t="s">
        <v>107</v>
      </c>
      <c r="C148" s="29" t="s">
        <v>224</v>
      </c>
      <c r="D148" s="14">
        <v>500</v>
      </c>
      <c r="E148" s="14"/>
      <c r="F148" s="8">
        <f t="shared" si="2"/>
        <v>70528</v>
      </c>
      <c r="G148" s="29"/>
    </row>
    <row r="149" spans="1:7" x14ac:dyDescent="0.25">
      <c r="A149" s="183">
        <v>42576</v>
      </c>
      <c r="B149" s="29" t="s">
        <v>40</v>
      </c>
      <c r="C149" s="29" t="s">
        <v>32</v>
      </c>
      <c r="D149" s="14">
        <v>5000</v>
      </c>
      <c r="E149" s="14"/>
      <c r="F149" s="8">
        <f t="shared" si="2"/>
        <v>65528</v>
      </c>
      <c r="G149" s="29"/>
    </row>
    <row r="150" spans="1:7" x14ac:dyDescent="0.25">
      <c r="A150" s="183">
        <v>42576</v>
      </c>
      <c r="B150" s="29" t="s">
        <v>119</v>
      </c>
      <c r="C150" s="29" t="s">
        <v>225</v>
      </c>
      <c r="D150" s="14">
        <v>170</v>
      </c>
      <c r="E150" s="14"/>
      <c r="F150" s="8">
        <f t="shared" si="2"/>
        <v>65358</v>
      </c>
      <c r="G150" s="29"/>
    </row>
    <row r="151" spans="1:7" x14ac:dyDescent="0.25">
      <c r="A151" s="183">
        <v>42576</v>
      </c>
      <c r="B151" s="29" t="s">
        <v>26</v>
      </c>
      <c r="C151" s="29" t="s">
        <v>226</v>
      </c>
      <c r="D151" s="14">
        <v>140</v>
      </c>
      <c r="E151" s="14"/>
      <c r="F151" s="8">
        <f t="shared" si="2"/>
        <v>65218</v>
      </c>
      <c r="G151" s="29"/>
    </row>
    <row r="152" spans="1:7" x14ac:dyDescent="0.25">
      <c r="A152" s="183">
        <v>42576</v>
      </c>
      <c r="B152" s="29" t="s">
        <v>72</v>
      </c>
      <c r="C152" s="29" t="s">
        <v>227</v>
      </c>
      <c r="D152" s="14">
        <v>15000</v>
      </c>
      <c r="E152" s="14"/>
      <c r="F152" s="8">
        <f t="shared" si="2"/>
        <v>50218</v>
      </c>
      <c r="G152" s="29"/>
    </row>
    <row r="153" spans="1:7" x14ac:dyDescent="0.25">
      <c r="A153" s="183">
        <v>42576</v>
      </c>
      <c r="B153" s="29" t="s">
        <v>165</v>
      </c>
      <c r="C153" s="29" t="s">
        <v>81</v>
      </c>
      <c r="D153" s="14">
        <v>16400</v>
      </c>
      <c r="E153" s="14"/>
      <c r="F153" s="8">
        <f t="shared" si="2"/>
        <v>33818</v>
      </c>
      <c r="G153" s="29"/>
    </row>
    <row r="154" spans="1:7" x14ac:dyDescent="0.25">
      <c r="A154" s="183">
        <v>42576</v>
      </c>
      <c r="B154" s="29" t="s">
        <v>123</v>
      </c>
      <c r="C154" s="29" t="s">
        <v>281</v>
      </c>
      <c r="D154" s="14">
        <v>3250</v>
      </c>
      <c r="E154" s="14"/>
      <c r="F154" s="8">
        <f t="shared" si="2"/>
        <v>30568</v>
      </c>
      <c r="G154" s="29"/>
    </row>
    <row r="155" spans="1:7" x14ac:dyDescent="0.25">
      <c r="A155" s="183">
        <v>42576</v>
      </c>
      <c r="B155" s="29" t="s">
        <v>107</v>
      </c>
      <c r="C155" s="29" t="s">
        <v>237</v>
      </c>
      <c r="D155" s="14">
        <v>1000</v>
      </c>
      <c r="E155" s="14"/>
      <c r="F155" s="8">
        <f t="shared" si="2"/>
        <v>29568</v>
      </c>
      <c r="G155" s="29"/>
    </row>
    <row r="156" spans="1:7" x14ac:dyDescent="0.25">
      <c r="A156" s="183">
        <v>42576</v>
      </c>
      <c r="B156" s="29" t="s">
        <v>40</v>
      </c>
      <c r="C156" s="29" t="s">
        <v>32</v>
      </c>
      <c r="D156" s="14">
        <v>3000</v>
      </c>
      <c r="E156" s="14"/>
      <c r="F156" s="8">
        <f t="shared" si="2"/>
        <v>26568</v>
      </c>
      <c r="G156" s="29"/>
    </row>
    <row r="157" spans="1:7" x14ac:dyDescent="0.25">
      <c r="A157" s="183">
        <v>42576</v>
      </c>
      <c r="B157" s="29" t="s">
        <v>43</v>
      </c>
      <c r="C157" s="29" t="s">
        <v>78</v>
      </c>
      <c r="D157" s="14">
        <v>7500</v>
      </c>
      <c r="E157" s="14"/>
      <c r="F157" s="8">
        <f t="shared" si="2"/>
        <v>19068</v>
      </c>
      <c r="G157" s="29"/>
    </row>
    <row r="158" spans="1:7" x14ac:dyDescent="0.25">
      <c r="A158" s="183">
        <v>42576</v>
      </c>
      <c r="B158" s="29" t="s">
        <v>43</v>
      </c>
      <c r="C158" s="29" t="s">
        <v>228</v>
      </c>
      <c r="D158" s="14">
        <v>1000</v>
      </c>
      <c r="E158" s="14"/>
      <c r="F158" s="8">
        <f t="shared" si="2"/>
        <v>18068</v>
      </c>
      <c r="G158" s="29"/>
    </row>
    <row r="159" spans="1:7" x14ac:dyDescent="0.25">
      <c r="A159" s="183">
        <v>42576</v>
      </c>
      <c r="B159" s="29" t="s">
        <v>26</v>
      </c>
      <c r="C159" s="29" t="s">
        <v>229</v>
      </c>
      <c r="D159" s="14">
        <v>40</v>
      </c>
      <c r="E159" s="14"/>
      <c r="F159" s="8">
        <f t="shared" si="2"/>
        <v>18028</v>
      </c>
      <c r="G159" s="29"/>
    </row>
    <row r="160" spans="1:7" x14ac:dyDescent="0.25">
      <c r="A160" s="183">
        <v>42576</v>
      </c>
      <c r="B160" s="29" t="s">
        <v>5</v>
      </c>
      <c r="C160" s="29" t="s">
        <v>241</v>
      </c>
      <c r="D160" s="14">
        <v>3965</v>
      </c>
      <c r="E160" s="14"/>
      <c r="F160" s="8">
        <f t="shared" si="2"/>
        <v>14063</v>
      </c>
      <c r="G160" s="29"/>
    </row>
    <row r="161" spans="1:7" x14ac:dyDescent="0.25">
      <c r="A161" s="183">
        <v>42576</v>
      </c>
      <c r="B161" s="29" t="s">
        <v>161</v>
      </c>
      <c r="C161" s="29" t="s">
        <v>230</v>
      </c>
      <c r="D161" s="14">
        <v>1000</v>
      </c>
      <c r="E161" s="14"/>
      <c r="F161" s="8">
        <f t="shared" si="2"/>
        <v>13063</v>
      </c>
      <c r="G161" s="29"/>
    </row>
    <row r="162" spans="1:7" x14ac:dyDescent="0.25">
      <c r="A162" s="183">
        <v>42576</v>
      </c>
      <c r="B162" s="29" t="s">
        <v>231</v>
      </c>
      <c r="C162" s="29" t="s">
        <v>232</v>
      </c>
      <c r="D162" s="14">
        <v>50</v>
      </c>
      <c r="E162" s="14"/>
      <c r="F162" s="8">
        <f t="shared" si="2"/>
        <v>13013</v>
      </c>
      <c r="G162" s="29"/>
    </row>
    <row r="163" spans="1:7" x14ac:dyDescent="0.25">
      <c r="A163" s="183">
        <v>42576</v>
      </c>
      <c r="B163" s="29" t="s">
        <v>161</v>
      </c>
      <c r="C163" s="29" t="s">
        <v>233</v>
      </c>
      <c r="D163" s="14">
        <v>2000</v>
      </c>
      <c r="E163" s="14"/>
      <c r="F163" s="8">
        <f t="shared" si="2"/>
        <v>11013</v>
      </c>
      <c r="G163" s="29"/>
    </row>
    <row r="164" spans="1:7" x14ac:dyDescent="0.25">
      <c r="A164" s="183">
        <v>42576</v>
      </c>
      <c r="B164" s="29" t="s">
        <v>17</v>
      </c>
      <c r="C164" s="29" t="s">
        <v>9</v>
      </c>
      <c r="D164" s="14">
        <v>100</v>
      </c>
      <c r="E164" s="14"/>
      <c r="F164" s="8">
        <f t="shared" si="2"/>
        <v>10913</v>
      </c>
      <c r="G164" s="29"/>
    </row>
    <row r="165" spans="1:7" x14ac:dyDescent="0.25">
      <c r="A165" s="183">
        <v>42577</v>
      </c>
      <c r="B165" s="29" t="s">
        <v>26</v>
      </c>
      <c r="C165" s="29" t="s">
        <v>167</v>
      </c>
      <c r="D165" s="14">
        <v>100</v>
      </c>
      <c r="E165" s="14"/>
      <c r="F165" s="8">
        <f t="shared" si="2"/>
        <v>10813</v>
      </c>
      <c r="G165" s="29"/>
    </row>
    <row r="166" spans="1:7" x14ac:dyDescent="0.25">
      <c r="A166" s="183">
        <v>42577</v>
      </c>
      <c r="B166" s="29" t="s">
        <v>109</v>
      </c>
      <c r="C166" s="29" t="s">
        <v>242</v>
      </c>
      <c r="D166" s="14">
        <v>1200</v>
      </c>
      <c r="E166" s="14"/>
      <c r="F166" s="8">
        <f t="shared" si="2"/>
        <v>9613</v>
      </c>
      <c r="G166" s="29"/>
    </row>
    <row r="167" spans="1:7" x14ac:dyDescent="0.25">
      <c r="A167" s="183">
        <v>42577</v>
      </c>
      <c r="B167" s="29" t="s">
        <v>29</v>
      </c>
      <c r="C167" s="29" t="s">
        <v>32</v>
      </c>
      <c r="D167" s="14">
        <v>2000</v>
      </c>
      <c r="E167" s="14"/>
      <c r="F167" s="8">
        <f t="shared" si="2"/>
        <v>7613</v>
      </c>
      <c r="G167" s="29"/>
    </row>
    <row r="168" spans="1:7" x14ac:dyDescent="0.25">
      <c r="A168" s="183">
        <v>42577</v>
      </c>
      <c r="B168" s="29" t="s">
        <v>10</v>
      </c>
      <c r="C168" s="29" t="s">
        <v>236</v>
      </c>
      <c r="D168" s="14">
        <v>2000</v>
      </c>
      <c r="E168" s="14"/>
      <c r="F168" s="8">
        <f t="shared" si="2"/>
        <v>5613</v>
      </c>
      <c r="G168" s="29"/>
    </row>
    <row r="169" spans="1:7" x14ac:dyDescent="0.25">
      <c r="A169" s="55">
        <v>42577</v>
      </c>
      <c r="B169" s="462" t="s">
        <v>340</v>
      </c>
      <c r="C169" s="463"/>
      <c r="D169" s="71"/>
      <c r="E169" s="58">
        <v>200000</v>
      </c>
      <c r="F169" s="8">
        <f t="shared" si="2"/>
        <v>205613</v>
      </c>
      <c r="G169" s="29"/>
    </row>
    <row r="170" spans="1:7" x14ac:dyDescent="0.25">
      <c r="A170" s="55">
        <v>42577</v>
      </c>
      <c r="B170" s="462" t="s">
        <v>238</v>
      </c>
      <c r="C170" s="463"/>
      <c r="D170" s="71"/>
      <c r="E170" s="58">
        <v>54000</v>
      </c>
      <c r="F170" s="8">
        <f t="shared" si="2"/>
        <v>259613</v>
      </c>
      <c r="G170" s="29"/>
    </row>
    <row r="171" spans="1:7" x14ac:dyDescent="0.25">
      <c r="A171" s="178">
        <v>42577</v>
      </c>
      <c r="B171" s="29" t="s">
        <v>239</v>
      </c>
      <c r="C171" s="29" t="s">
        <v>240</v>
      </c>
      <c r="D171" s="14">
        <v>61348</v>
      </c>
      <c r="E171" s="8"/>
      <c r="F171" s="8">
        <f t="shared" si="2"/>
        <v>198265</v>
      </c>
      <c r="G171" s="26"/>
    </row>
    <row r="172" spans="1:7" x14ac:dyDescent="0.25">
      <c r="A172" s="178">
        <v>42577</v>
      </c>
      <c r="B172" s="29" t="s">
        <v>43</v>
      </c>
      <c r="C172" s="29" t="s">
        <v>78</v>
      </c>
      <c r="D172" s="14">
        <v>1000</v>
      </c>
      <c r="E172" s="14"/>
      <c r="F172" s="8">
        <f t="shared" si="2"/>
        <v>197265</v>
      </c>
      <c r="G172" s="29"/>
    </row>
    <row r="173" spans="1:7" x14ac:dyDescent="0.25">
      <c r="A173" s="178">
        <v>42577</v>
      </c>
      <c r="B173" s="26" t="s">
        <v>26</v>
      </c>
      <c r="C173" s="26" t="s">
        <v>243</v>
      </c>
      <c r="D173" s="8">
        <v>500</v>
      </c>
      <c r="E173" s="8"/>
      <c r="F173" s="8">
        <f t="shared" si="2"/>
        <v>196765</v>
      </c>
      <c r="G173" s="26"/>
    </row>
    <row r="174" spans="1:7" x14ac:dyDescent="0.25">
      <c r="A174" s="178">
        <v>42577</v>
      </c>
      <c r="B174" s="29" t="s">
        <v>163</v>
      </c>
      <c r="C174" s="29" t="s">
        <v>244</v>
      </c>
      <c r="D174" s="14">
        <v>1200</v>
      </c>
      <c r="E174" s="14"/>
      <c r="F174" s="8">
        <f t="shared" si="2"/>
        <v>195565</v>
      </c>
      <c r="G174" s="29"/>
    </row>
    <row r="175" spans="1:7" x14ac:dyDescent="0.25">
      <c r="A175" s="178">
        <v>42577</v>
      </c>
      <c r="B175" s="26" t="s">
        <v>26</v>
      </c>
      <c r="C175" s="26" t="s">
        <v>245</v>
      </c>
      <c r="D175" s="8">
        <v>860</v>
      </c>
      <c r="E175" s="8"/>
      <c r="F175" s="8">
        <f t="shared" si="2"/>
        <v>194705</v>
      </c>
      <c r="G175" s="26"/>
    </row>
    <row r="176" spans="1:7" x14ac:dyDescent="0.25">
      <c r="A176" s="178">
        <v>42577</v>
      </c>
      <c r="B176" s="26" t="s">
        <v>26</v>
      </c>
      <c r="C176" s="26" t="s">
        <v>246</v>
      </c>
      <c r="D176" s="8">
        <v>30</v>
      </c>
      <c r="E176" s="8"/>
      <c r="F176" s="8">
        <f t="shared" si="2"/>
        <v>194675</v>
      </c>
      <c r="G176" s="26"/>
    </row>
    <row r="177" spans="1:7" x14ac:dyDescent="0.25">
      <c r="A177" s="178">
        <v>42577</v>
      </c>
      <c r="B177" s="26" t="s">
        <v>107</v>
      </c>
      <c r="C177" s="26" t="s">
        <v>247</v>
      </c>
      <c r="D177" s="8">
        <v>1200</v>
      </c>
      <c r="E177" s="8"/>
      <c r="F177" s="8">
        <f t="shared" si="2"/>
        <v>193475</v>
      </c>
      <c r="G177" s="26"/>
    </row>
    <row r="178" spans="1:7" x14ac:dyDescent="0.25">
      <c r="A178" s="178">
        <v>42577</v>
      </c>
      <c r="B178" s="29" t="s">
        <v>248</v>
      </c>
      <c r="C178" s="29" t="s">
        <v>267</v>
      </c>
      <c r="D178" s="14">
        <v>510</v>
      </c>
      <c r="E178" s="14"/>
      <c r="F178" s="8">
        <f t="shared" si="2"/>
        <v>192965</v>
      </c>
      <c r="G178" s="26"/>
    </row>
    <row r="179" spans="1:7" x14ac:dyDescent="0.25">
      <c r="A179" s="178">
        <v>42577</v>
      </c>
      <c r="B179" s="26" t="s">
        <v>161</v>
      </c>
      <c r="C179" s="26" t="s">
        <v>230</v>
      </c>
      <c r="D179" s="8">
        <v>5000</v>
      </c>
      <c r="E179" s="8"/>
      <c r="F179" s="8">
        <f t="shared" si="2"/>
        <v>187965</v>
      </c>
      <c r="G179" s="26"/>
    </row>
    <row r="180" spans="1:7" x14ac:dyDescent="0.25">
      <c r="A180" s="178">
        <v>42578</v>
      </c>
      <c r="B180" s="29" t="s">
        <v>121</v>
      </c>
      <c r="C180" s="29" t="s">
        <v>251</v>
      </c>
      <c r="D180" s="14">
        <v>1000</v>
      </c>
      <c r="E180" s="14"/>
      <c r="F180" s="8">
        <f t="shared" si="2"/>
        <v>186965</v>
      </c>
      <c r="G180" s="29"/>
    </row>
    <row r="181" spans="1:7" x14ac:dyDescent="0.25">
      <c r="A181" s="178">
        <v>42578</v>
      </c>
      <c r="B181" s="29" t="s">
        <v>289</v>
      </c>
      <c r="C181" s="29" t="s">
        <v>290</v>
      </c>
      <c r="D181" s="14">
        <v>6800</v>
      </c>
      <c r="E181" s="14"/>
      <c r="F181" s="8">
        <f t="shared" si="2"/>
        <v>180165</v>
      </c>
      <c r="G181" s="29"/>
    </row>
    <row r="182" spans="1:7" x14ac:dyDescent="0.25">
      <c r="A182" s="178">
        <v>42578</v>
      </c>
      <c r="B182" s="26" t="s">
        <v>26</v>
      </c>
      <c r="C182" s="26" t="s">
        <v>249</v>
      </c>
      <c r="D182" s="8">
        <v>1400</v>
      </c>
      <c r="E182" s="8"/>
      <c r="F182" s="8">
        <f t="shared" si="2"/>
        <v>178765</v>
      </c>
      <c r="G182" s="26"/>
    </row>
    <row r="183" spans="1:7" x14ac:dyDescent="0.25">
      <c r="A183" s="178">
        <v>42578</v>
      </c>
      <c r="B183" s="26" t="s">
        <v>163</v>
      </c>
      <c r="C183" s="26" t="s">
        <v>250</v>
      </c>
      <c r="D183" s="8">
        <v>1000</v>
      </c>
      <c r="E183" s="8"/>
      <c r="F183" s="8">
        <f t="shared" si="2"/>
        <v>177765</v>
      </c>
      <c r="G183" s="26"/>
    </row>
    <row r="184" spans="1:7" x14ac:dyDescent="0.25">
      <c r="A184" s="178">
        <v>42578</v>
      </c>
      <c r="B184" s="26" t="s">
        <v>29</v>
      </c>
      <c r="C184" s="26" t="s">
        <v>32</v>
      </c>
      <c r="D184" s="8">
        <v>2000</v>
      </c>
      <c r="E184" s="8"/>
      <c r="F184" s="8">
        <f t="shared" si="2"/>
        <v>175765</v>
      </c>
      <c r="G184" s="26"/>
    </row>
    <row r="185" spans="1:7" x14ac:dyDescent="0.25">
      <c r="A185" s="178">
        <v>42579</v>
      </c>
      <c r="B185" s="26" t="s">
        <v>124</v>
      </c>
      <c r="C185" s="26" t="s">
        <v>78</v>
      </c>
      <c r="D185" s="8">
        <v>2000</v>
      </c>
      <c r="E185" s="8"/>
      <c r="F185" s="8">
        <f t="shared" si="2"/>
        <v>173765</v>
      </c>
      <c r="G185" s="26"/>
    </row>
    <row r="186" spans="1:7" x14ac:dyDescent="0.25">
      <c r="A186" s="178">
        <v>42579</v>
      </c>
      <c r="B186" s="26" t="s">
        <v>161</v>
      </c>
      <c r="C186" s="26" t="s">
        <v>252</v>
      </c>
      <c r="D186" s="8">
        <v>2000</v>
      </c>
      <c r="E186" s="8"/>
      <c r="F186" s="8">
        <f t="shared" si="2"/>
        <v>171765</v>
      </c>
      <c r="G186" s="26"/>
    </row>
    <row r="187" spans="1:7" x14ac:dyDescent="0.25">
      <c r="A187" s="178">
        <v>42579</v>
      </c>
      <c r="B187" s="26" t="s">
        <v>23</v>
      </c>
      <c r="C187" s="26" t="s">
        <v>32</v>
      </c>
      <c r="D187" s="8">
        <v>10000</v>
      </c>
      <c r="E187" s="8"/>
      <c r="F187" s="8">
        <f t="shared" si="2"/>
        <v>161765</v>
      </c>
      <c r="G187" s="26"/>
    </row>
    <row r="188" spans="1:7" x14ac:dyDescent="0.25">
      <c r="A188" s="178">
        <v>42579</v>
      </c>
      <c r="B188" s="26" t="s">
        <v>118</v>
      </c>
      <c r="C188" s="26" t="s">
        <v>258</v>
      </c>
      <c r="D188" s="8">
        <v>160</v>
      </c>
      <c r="E188" s="8"/>
      <c r="F188" s="8">
        <f t="shared" si="2"/>
        <v>161605</v>
      </c>
      <c r="G188" s="26"/>
    </row>
    <row r="189" spans="1:7" x14ac:dyDescent="0.25">
      <c r="A189" s="178">
        <v>42579</v>
      </c>
      <c r="B189" s="29" t="s">
        <v>285</v>
      </c>
      <c r="C189" s="29" t="s">
        <v>253</v>
      </c>
      <c r="D189" s="14">
        <v>2000</v>
      </c>
      <c r="E189" s="14"/>
      <c r="F189" s="8">
        <f t="shared" si="2"/>
        <v>159605</v>
      </c>
      <c r="G189" s="29"/>
    </row>
    <row r="190" spans="1:7" x14ac:dyDescent="0.25">
      <c r="A190" s="178">
        <v>42579</v>
      </c>
      <c r="B190" s="26" t="s">
        <v>121</v>
      </c>
      <c r="C190" s="26" t="s">
        <v>254</v>
      </c>
      <c r="D190" s="8">
        <v>16500</v>
      </c>
      <c r="E190" s="8"/>
      <c r="F190" s="8">
        <f t="shared" si="2"/>
        <v>143105</v>
      </c>
      <c r="G190" s="26"/>
    </row>
    <row r="191" spans="1:7" x14ac:dyDescent="0.25">
      <c r="A191" s="178">
        <v>42579</v>
      </c>
      <c r="B191" s="26" t="s">
        <v>43</v>
      </c>
      <c r="C191" s="26" t="s">
        <v>255</v>
      </c>
      <c r="D191" s="8">
        <v>1585</v>
      </c>
      <c r="E191" s="8"/>
      <c r="F191" s="8">
        <f t="shared" si="2"/>
        <v>141520</v>
      </c>
      <c r="G191" s="26"/>
    </row>
    <row r="192" spans="1:7" x14ac:dyDescent="0.25">
      <c r="A192" s="178">
        <v>42579</v>
      </c>
      <c r="B192" s="26" t="s">
        <v>161</v>
      </c>
      <c r="C192" s="26" t="s">
        <v>256</v>
      </c>
      <c r="D192" s="8">
        <v>500</v>
      </c>
      <c r="E192" s="8"/>
      <c r="F192" s="8">
        <f t="shared" si="2"/>
        <v>141020</v>
      </c>
      <c r="G192" s="26"/>
    </row>
    <row r="193" spans="1:7" x14ac:dyDescent="0.25">
      <c r="A193" s="178">
        <v>42579</v>
      </c>
      <c r="B193" s="26" t="s">
        <v>43</v>
      </c>
      <c r="C193" s="26" t="s">
        <v>257</v>
      </c>
      <c r="D193" s="8">
        <v>600</v>
      </c>
      <c r="E193" s="8"/>
      <c r="F193" s="8">
        <f t="shared" si="2"/>
        <v>140420</v>
      </c>
      <c r="G193" s="26"/>
    </row>
    <row r="194" spans="1:7" x14ac:dyDescent="0.25">
      <c r="A194" s="178">
        <v>42579</v>
      </c>
      <c r="B194" s="26" t="s">
        <v>5</v>
      </c>
      <c r="C194" s="26" t="s">
        <v>228</v>
      </c>
      <c r="D194" s="8">
        <v>18160</v>
      </c>
      <c r="E194" s="8"/>
      <c r="F194" s="8">
        <f t="shared" si="2"/>
        <v>122260</v>
      </c>
      <c r="G194" s="26"/>
    </row>
    <row r="195" spans="1:7" x14ac:dyDescent="0.25">
      <c r="A195" s="178">
        <v>42580</v>
      </c>
      <c r="B195" s="26" t="s">
        <v>30</v>
      </c>
      <c r="C195" s="26" t="s">
        <v>259</v>
      </c>
      <c r="D195" s="8">
        <v>1000</v>
      </c>
      <c r="E195" s="8"/>
      <c r="F195" s="8">
        <f t="shared" ref="F195:F258" si="3">F194-D195+E195</f>
        <v>121260</v>
      </c>
      <c r="G195" s="26"/>
    </row>
    <row r="196" spans="1:7" x14ac:dyDescent="0.25">
      <c r="A196" s="178">
        <v>42580</v>
      </c>
      <c r="B196" s="29" t="s">
        <v>30</v>
      </c>
      <c r="C196" s="29" t="s">
        <v>288</v>
      </c>
      <c r="D196" s="14">
        <v>1600</v>
      </c>
      <c r="E196" s="14"/>
      <c r="F196" s="8">
        <f t="shared" si="3"/>
        <v>119660</v>
      </c>
      <c r="G196" s="26"/>
    </row>
    <row r="197" spans="1:7" x14ac:dyDescent="0.25">
      <c r="A197" s="178">
        <v>42580</v>
      </c>
      <c r="B197" s="26" t="s">
        <v>43</v>
      </c>
      <c r="C197" s="26" t="s">
        <v>260</v>
      </c>
      <c r="D197" s="8">
        <v>1782</v>
      </c>
      <c r="E197" s="8"/>
      <c r="F197" s="8">
        <f t="shared" si="3"/>
        <v>117878</v>
      </c>
      <c r="G197" s="26"/>
    </row>
    <row r="198" spans="1:7" x14ac:dyDescent="0.25">
      <c r="A198" s="178">
        <v>42580</v>
      </c>
      <c r="B198" s="26" t="s">
        <v>161</v>
      </c>
      <c r="C198" s="26" t="s">
        <v>261</v>
      </c>
      <c r="D198" s="8">
        <v>1000</v>
      </c>
      <c r="E198" s="8"/>
      <c r="F198" s="8">
        <f t="shared" si="3"/>
        <v>116878</v>
      </c>
      <c r="G198" s="26"/>
    </row>
    <row r="199" spans="1:7" x14ac:dyDescent="0.25">
      <c r="A199" s="178">
        <v>42580</v>
      </c>
      <c r="B199" s="29" t="s">
        <v>118</v>
      </c>
      <c r="C199" s="29" t="s">
        <v>264</v>
      </c>
      <c r="D199" s="14">
        <v>70</v>
      </c>
      <c r="E199" s="8"/>
      <c r="F199" s="8">
        <f t="shared" si="3"/>
        <v>116808</v>
      </c>
      <c r="G199" s="26"/>
    </row>
    <row r="200" spans="1:7" x14ac:dyDescent="0.25">
      <c r="A200" s="178">
        <v>42580</v>
      </c>
      <c r="B200" s="26" t="s">
        <v>26</v>
      </c>
      <c r="C200" s="26" t="s">
        <v>266</v>
      </c>
      <c r="D200" s="8">
        <v>100</v>
      </c>
      <c r="E200" s="8"/>
      <c r="F200" s="8">
        <f t="shared" si="3"/>
        <v>116708</v>
      </c>
      <c r="G200" s="26"/>
    </row>
    <row r="201" spans="1:7" x14ac:dyDescent="0.25">
      <c r="A201" s="178">
        <v>42581</v>
      </c>
      <c r="B201" s="26" t="s">
        <v>262</v>
      </c>
      <c r="C201" s="26" t="s">
        <v>263</v>
      </c>
      <c r="D201" s="8">
        <v>480</v>
      </c>
      <c r="E201" s="8"/>
      <c r="F201" s="8">
        <f t="shared" si="3"/>
        <v>116228</v>
      </c>
      <c r="G201" s="26"/>
    </row>
    <row r="202" spans="1:7" x14ac:dyDescent="0.25">
      <c r="A202" s="178">
        <v>42581</v>
      </c>
      <c r="B202" s="26" t="s">
        <v>3362</v>
      </c>
      <c r="C202" s="26" t="s">
        <v>76</v>
      </c>
      <c r="D202" s="8">
        <v>15000</v>
      </c>
      <c r="E202" s="8"/>
      <c r="F202" s="8">
        <f t="shared" si="3"/>
        <v>101228</v>
      </c>
      <c r="G202" s="26"/>
    </row>
    <row r="203" spans="1:7" x14ac:dyDescent="0.25">
      <c r="A203" s="178">
        <v>42581</v>
      </c>
      <c r="B203" s="29" t="s">
        <v>118</v>
      </c>
      <c r="C203" s="29" t="s">
        <v>271</v>
      </c>
      <c r="D203" s="14">
        <v>80</v>
      </c>
      <c r="E203" s="8"/>
      <c r="F203" s="8">
        <f t="shared" si="3"/>
        <v>101148</v>
      </c>
      <c r="G203" s="26"/>
    </row>
    <row r="204" spans="1:7" x14ac:dyDescent="0.25">
      <c r="A204" s="178">
        <v>42581</v>
      </c>
      <c r="B204" s="26" t="s">
        <v>26</v>
      </c>
      <c r="C204" s="26" t="s">
        <v>265</v>
      </c>
      <c r="D204" s="8">
        <v>120</v>
      </c>
      <c r="E204" s="8"/>
      <c r="F204" s="8">
        <f t="shared" si="3"/>
        <v>101028</v>
      </c>
      <c r="G204" s="26"/>
    </row>
    <row r="205" spans="1:7" x14ac:dyDescent="0.25">
      <c r="A205" s="178">
        <v>42581</v>
      </c>
      <c r="B205" s="26" t="s">
        <v>29</v>
      </c>
      <c r="C205" s="26" t="s">
        <v>32</v>
      </c>
      <c r="D205" s="8">
        <v>13000</v>
      </c>
      <c r="E205" s="8"/>
      <c r="F205" s="8">
        <f t="shared" si="3"/>
        <v>88028</v>
      </c>
      <c r="G205" s="26"/>
    </row>
    <row r="206" spans="1:7" x14ac:dyDescent="0.25">
      <c r="A206" s="178">
        <v>42581</v>
      </c>
      <c r="B206" s="29" t="s">
        <v>248</v>
      </c>
      <c r="C206" s="29" t="s">
        <v>312</v>
      </c>
      <c r="D206" s="14">
        <v>280</v>
      </c>
      <c r="E206" s="14"/>
      <c r="F206" s="8">
        <f t="shared" si="3"/>
        <v>87748</v>
      </c>
      <c r="G206" s="29"/>
    </row>
    <row r="207" spans="1:7" x14ac:dyDescent="0.25">
      <c r="A207" s="178">
        <v>42581</v>
      </c>
      <c r="B207" s="26" t="s">
        <v>120</v>
      </c>
      <c r="C207" s="26" t="s">
        <v>24</v>
      </c>
      <c r="D207" s="8">
        <v>5000</v>
      </c>
      <c r="E207" s="8"/>
      <c r="F207" s="8">
        <f t="shared" si="3"/>
        <v>82748</v>
      </c>
      <c r="G207" s="26"/>
    </row>
    <row r="208" spans="1:7" x14ac:dyDescent="0.25">
      <c r="A208" s="178">
        <v>42581</v>
      </c>
      <c r="B208" s="26" t="s">
        <v>26</v>
      </c>
      <c r="C208" s="26" t="s">
        <v>274</v>
      </c>
      <c r="D208" s="8">
        <v>100</v>
      </c>
      <c r="E208" s="8"/>
      <c r="F208" s="8">
        <f t="shared" si="3"/>
        <v>82648</v>
      </c>
      <c r="G208" s="26"/>
    </row>
    <row r="209" spans="1:7" x14ac:dyDescent="0.25">
      <c r="A209" s="178">
        <v>42581</v>
      </c>
      <c r="B209" s="26" t="s">
        <v>72</v>
      </c>
      <c r="C209" s="26" t="s">
        <v>268</v>
      </c>
      <c r="D209" s="8">
        <v>200</v>
      </c>
      <c r="E209" s="8"/>
      <c r="F209" s="8">
        <f t="shared" si="3"/>
        <v>82448</v>
      </c>
      <c r="G209" s="26"/>
    </row>
    <row r="210" spans="1:7" x14ac:dyDescent="0.25">
      <c r="A210" s="178">
        <v>42581</v>
      </c>
      <c r="B210" s="29" t="s">
        <v>17</v>
      </c>
      <c r="C210" s="29" t="s">
        <v>269</v>
      </c>
      <c r="D210" s="14">
        <v>7210</v>
      </c>
      <c r="E210" s="14"/>
      <c r="F210" s="8">
        <f t="shared" si="3"/>
        <v>75238</v>
      </c>
      <c r="G210" s="29"/>
    </row>
    <row r="211" spans="1:7" x14ac:dyDescent="0.25">
      <c r="A211" s="178">
        <v>42581</v>
      </c>
      <c r="B211" s="26" t="s">
        <v>161</v>
      </c>
      <c r="C211" s="26" t="s">
        <v>270</v>
      </c>
      <c r="D211" s="8">
        <v>1000</v>
      </c>
      <c r="E211" s="8"/>
      <c r="F211" s="8">
        <f t="shared" si="3"/>
        <v>74238</v>
      </c>
      <c r="G211" s="26"/>
    </row>
    <row r="212" spans="1:7" x14ac:dyDescent="0.25">
      <c r="A212" s="178">
        <v>42581</v>
      </c>
      <c r="B212" s="26" t="s">
        <v>5</v>
      </c>
      <c r="C212" s="26" t="s">
        <v>275</v>
      </c>
      <c r="D212" s="8">
        <v>500</v>
      </c>
      <c r="E212" s="8"/>
      <c r="F212" s="8">
        <f t="shared" si="3"/>
        <v>73738</v>
      </c>
      <c r="G212" s="26"/>
    </row>
    <row r="213" spans="1:7" x14ac:dyDescent="0.25">
      <c r="A213" s="178">
        <v>42581</v>
      </c>
      <c r="B213" s="18" t="s">
        <v>5</v>
      </c>
      <c r="C213" s="7" t="s">
        <v>78</v>
      </c>
      <c r="D213" s="8">
        <v>8500</v>
      </c>
      <c r="E213" s="8"/>
      <c r="F213" s="8">
        <f t="shared" si="3"/>
        <v>65238</v>
      </c>
      <c r="G213" s="26"/>
    </row>
    <row r="214" spans="1:7" x14ac:dyDescent="0.25">
      <c r="A214" s="55">
        <v>42581</v>
      </c>
      <c r="B214" s="462" t="s">
        <v>272</v>
      </c>
      <c r="C214" s="463"/>
      <c r="D214" s="71"/>
      <c r="E214" s="58">
        <v>220000</v>
      </c>
      <c r="F214" s="8">
        <f t="shared" si="3"/>
        <v>285238</v>
      </c>
      <c r="G214" s="26"/>
    </row>
    <row r="215" spans="1:7" x14ac:dyDescent="0.25">
      <c r="A215" s="178">
        <v>42581</v>
      </c>
      <c r="B215" s="26" t="s">
        <v>5</v>
      </c>
      <c r="C215" s="26" t="s">
        <v>273</v>
      </c>
      <c r="D215" s="8">
        <v>1350</v>
      </c>
      <c r="E215" s="8"/>
      <c r="F215" s="8">
        <f t="shared" si="3"/>
        <v>283888</v>
      </c>
      <c r="G215" s="26"/>
    </row>
    <row r="216" spans="1:7" x14ac:dyDescent="0.25">
      <c r="A216" s="178">
        <v>42581</v>
      </c>
      <c r="B216" s="184" t="s">
        <v>161</v>
      </c>
      <c r="C216" s="7" t="s">
        <v>280</v>
      </c>
      <c r="D216" s="13">
        <v>710</v>
      </c>
      <c r="E216" s="13"/>
      <c r="F216" s="8">
        <f t="shared" si="3"/>
        <v>283178</v>
      </c>
      <c r="G216" s="185"/>
    </row>
    <row r="217" spans="1:7" x14ac:dyDescent="0.25">
      <c r="A217" s="61">
        <v>42583</v>
      </c>
      <c r="B217" s="63" t="s">
        <v>123</v>
      </c>
      <c r="C217" s="64" t="s">
        <v>279</v>
      </c>
      <c r="D217" s="65">
        <v>10350</v>
      </c>
      <c r="E217" s="62"/>
      <c r="F217" s="8">
        <f t="shared" si="3"/>
        <v>272828</v>
      </c>
      <c r="G217" s="40"/>
    </row>
    <row r="218" spans="1:7" x14ac:dyDescent="0.25">
      <c r="A218" s="61">
        <v>42583</v>
      </c>
      <c r="B218" s="40" t="s">
        <v>277</v>
      </c>
      <c r="C218" s="40" t="s">
        <v>278</v>
      </c>
      <c r="D218" s="65">
        <v>35030</v>
      </c>
      <c r="E218" s="41"/>
      <c r="F218" s="8">
        <f t="shared" si="3"/>
        <v>237798</v>
      </c>
      <c r="G218" s="40"/>
    </row>
    <row r="219" spans="1:7" x14ac:dyDescent="0.25">
      <c r="A219" s="61">
        <v>42583</v>
      </c>
      <c r="B219" s="40" t="s">
        <v>26</v>
      </c>
      <c r="C219" s="40" t="s">
        <v>276</v>
      </c>
      <c r="D219" s="65">
        <v>1750</v>
      </c>
      <c r="E219" s="41"/>
      <c r="F219" s="8">
        <f t="shared" si="3"/>
        <v>236048</v>
      </c>
      <c r="G219" s="40"/>
    </row>
    <row r="220" spans="1:7" x14ac:dyDescent="0.25">
      <c r="A220" s="61">
        <v>42583</v>
      </c>
      <c r="B220" s="29" t="s">
        <v>248</v>
      </c>
      <c r="C220" s="29" t="s">
        <v>311</v>
      </c>
      <c r="D220" s="14">
        <v>1040</v>
      </c>
      <c r="E220" s="8"/>
      <c r="F220" s="8">
        <f t="shared" si="3"/>
        <v>235008</v>
      </c>
      <c r="G220" s="26"/>
    </row>
    <row r="221" spans="1:7" x14ac:dyDescent="0.25">
      <c r="A221" s="61">
        <v>42583</v>
      </c>
      <c r="B221" s="29" t="s">
        <v>120</v>
      </c>
      <c r="C221" s="29" t="s">
        <v>282</v>
      </c>
      <c r="D221" s="14">
        <v>5000</v>
      </c>
      <c r="E221" s="14"/>
      <c r="F221" s="8">
        <f t="shared" si="3"/>
        <v>230008</v>
      </c>
      <c r="G221" s="29"/>
    </row>
    <row r="222" spans="1:7" x14ac:dyDescent="0.25">
      <c r="A222" s="61">
        <v>42583</v>
      </c>
      <c r="B222" s="29" t="s">
        <v>155</v>
      </c>
      <c r="C222" s="29" t="s">
        <v>287</v>
      </c>
      <c r="D222" s="14">
        <v>3000</v>
      </c>
      <c r="E222" s="14"/>
      <c r="F222" s="8">
        <f t="shared" si="3"/>
        <v>227008</v>
      </c>
      <c r="G222" s="29"/>
    </row>
    <row r="223" spans="1:7" x14ac:dyDescent="0.25">
      <c r="A223" s="61">
        <v>42583</v>
      </c>
      <c r="B223" s="29" t="s">
        <v>283</v>
      </c>
      <c r="C223" s="29" t="s">
        <v>32</v>
      </c>
      <c r="D223" s="14">
        <v>25000</v>
      </c>
      <c r="E223" s="14"/>
      <c r="F223" s="8">
        <f t="shared" si="3"/>
        <v>202008</v>
      </c>
      <c r="G223" s="29"/>
    </row>
    <row r="224" spans="1:7" x14ac:dyDescent="0.25">
      <c r="A224" s="61">
        <v>42583</v>
      </c>
      <c r="B224" s="186" t="s">
        <v>118</v>
      </c>
      <c r="C224" s="186" t="s">
        <v>284</v>
      </c>
      <c r="D224" s="66">
        <v>100</v>
      </c>
      <c r="E224" s="66"/>
      <c r="F224" s="8">
        <f t="shared" si="3"/>
        <v>201908</v>
      </c>
      <c r="G224" s="29"/>
    </row>
    <row r="225" spans="1:7" x14ac:dyDescent="0.25">
      <c r="A225" s="61">
        <v>42583</v>
      </c>
      <c r="B225" s="29" t="s">
        <v>285</v>
      </c>
      <c r="C225" s="29" t="s">
        <v>32</v>
      </c>
      <c r="D225" s="14">
        <v>1500</v>
      </c>
      <c r="E225" s="14"/>
      <c r="F225" s="8">
        <f t="shared" si="3"/>
        <v>200408</v>
      </c>
      <c r="G225" s="29"/>
    </row>
    <row r="226" spans="1:7" x14ac:dyDescent="0.25">
      <c r="A226" s="61">
        <v>42583</v>
      </c>
      <c r="B226" s="29" t="s">
        <v>285</v>
      </c>
      <c r="C226" s="26" t="s">
        <v>286</v>
      </c>
      <c r="D226" s="8">
        <v>1500</v>
      </c>
      <c r="E226" s="8"/>
      <c r="F226" s="8">
        <f t="shared" si="3"/>
        <v>198908</v>
      </c>
      <c r="G226" s="26"/>
    </row>
    <row r="227" spans="1:7" x14ac:dyDescent="0.25">
      <c r="A227" s="61">
        <v>42583</v>
      </c>
      <c r="B227" s="29" t="s">
        <v>231</v>
      </c>
      <c r="C227" s="26" t="s">
        <v>32</v>
      </c>
      <c r="D227" s="8">
        <v>1000</v>
      </c>
      <c r="E227" s="8"/>
      <c r="F227" s="8">
        <f t="shared" si="3"/>
        <v>197908</v>
      </c>
      <c r="G227" s="26"/>
    </row>
    <row r="228" spans="1:7" x14ac:dyDescent="0.25">
      <c r="A228" s="61">
        <v>42584</v>
      </c>
      <c r="B228" s="29" t="s">
        <v>119</v>
      </c>
      <c r="C228" s="26" t="s">
        <v>331</v>
      </c>
      <c r="D228" s="8">
        <f>720+70</f>
        <v>790</v>
      </c>
      <c r="E228" s="8"/>
      <c r="F228" s="8">
        <f t="shared" si="3"/>
        <v>197118</v>
      </c>
      <c r="G228" s="26"/>
    </row>
    <row r="229" spans="1:7" x14ac:dyDescent="0.25">
      <c r="A229" s="61">
        <v>42584</v>
      </c>
      <c r="B229" s="29" t="s">
        <v>72</v>
      </c>
      <c r="C229" s="26" t="s">
        <v>291</v>
      </c>
      <c r="D229" s="8">
        <v>400</v>
      </c>
      <c r="E229" s="8"/>
      <c r="F229" s="8">
        <f t="shared" si="3"/>
        <v>196718</v>
      </c>
      <c r="G229" s="26"/>
    </row>
    <row r="230" spans="1:7" x14ac:dyDescent="0.25">
      <c r="A230" s="61">
        <v>42584</v>
      </c>
      <c r="B230" s="29" t="s">
        <v>72</v>
      </c>
      <c r="C230" s="26" t="s">
        <v>292</v>
      </c>
      <c r="D230" s="8">
        <v>600</v>
      </c>
      <c r="E230" s="8"/>
      <c r="F230" s="8">
        <f t="shared" si="3"/>
        <v>196118</v>
      </c>
      <c r="G230" s="26"/>
    </row>
    <row r="231" spans="1:7" x14ac:dyDescent="0.25">
      <c r="A231" s="61">
        <v>42584</v>
      </c>
      <c r="B231" s="29" t="s">
        <v>40</v>
      </c>
      <c r="C231" s="26" t="s">
        <v>293</v>
      </c>
      <c r="D231" s="8">
        <v>2880</v>
      </c>
      <c r="E231" s="8"/>
      <c r="F231" s="8">
        <f t="shared" si="3"/>
        <v>193238</v>
      </c>
      <c r="G231" s="26"/>
    </row>
    <row r="232" spans="1:7" x14ac:dyDescent="0.25">
      <c r="A232" s="61">
        <v>42584</v>
      </c>
      <c r="B232" s="29" t="s">
        <v>294</v>
      </c>
      <c r="C232" s="26" t="s">
        <v>295</v>
      </c>
      <c r="D232" s="8">
        <v>3000</v>
      </c>
      <c r="E232" s="8"/>
      <c r="F232" s="8">
        <f t="shared" si="3"/>
        <v>190238</v>
      </c>
      <c r="G232" s="26"/>
    </row>
    <row r="233" spans="1:7" x14ac:dyDescent="0.25">
      <c r="A233" s="61">
        <v>42584</v>
      </c>
      <c r="B233" s="29" t="s">
        <v>262</v>
      </c>
      <c r="C233" s="26" t="s">
        <v>296</v>
      </c>
      <c r="D233" s="8">
        <v>200</v>
      </c>
      <c r="E233" s="8"/>
      <c r="F233" s="8">
        <f t="shared" si="3"/>
        <v>190038</v>
      </c>
      <c r="G233" s="26"/>
    </row>
    <row r="234" spans="1:7" x14ac:dyDescent="0.25">
      <c r="A234" s="61">
        <v>42584</v>
      </c>
      <c r="B234" s="29" t="s">
        <v>74</v>
      </c>
      <c r="C234" s="29" t="s">
        <v>329</v>
      </c>
      <c r="D234" s="14">
        <v>200</v>
      </c>
      <c r="E234" s="14"/>
      <c r="F234" s="8">
        <f t="shared" si="3"/>
        <v>189838</v>
      </c>
      <c r="G234" s="29"/>
    </row>
    <row r="235" spans="1:7" x14ac:dyDescent="0.25">
      <c r="A235" s="61">
        <v>42584</v>
      </c>
      <c r="B235" s="29" t="s">
        <v>161</v>
      </c>
      <c r="C235" s="29" t="s">
        <v>330</v>
      </c>
      <c r="D235" s="14">
        <v>300</v>
      </c>
      <c r="E235" s="14"/>
      <c r="F235" s="8">
        <f t="shared" si="3"/>
        <v>189538</v>
      </c>
      <c r="G235" s="29"/>
    </row>
    <row r="236" spans="1:7" x14ac:dyDescent="0.25">
      <c r="A236" s="61">
        <v>42584</v>
      </c>
      <c r="B236" s="29" t="s">
        <v>121</v>
      </c>
      <c r="C236" s="26" t="s">
        <v>32</v>
      </c>
      <c r="D236" s="8">
        <v>1000</v>
      </c>
      <c r="E236" s="8"/>
      <c r="F236" s="8">
        <f t="shared" si="3"/>
        <v>188538</v>
      </c>
      <c r="G236" s="26"/>
    </row>
    <row r="237" spans="1:7" x14ac:dyDescent="0.25">
      <c r="A237" s="61">
        <v>42584</v>
      </c>
      <c r="B237" s="29" t="s">
        <v>40</v>
      </c>
      <c r="C237" s="26" t="s">
        <v>32</v>
      </c>
      <c r="D237" s="8">
        <v>3000</v>
      </c>
      <c r="E237" s="8"/>
      <c r="F237" s="8">
        <f t="shared" si="3"/>
        <v>185538</v>
      </c>
      <c r="G237" s="26"/>
    </row>
    <row r="238" spans="1:7" x14ac:dyDescent="0.25">
      <c r="A238" s="61">
        <v>42584</v>
      </c>
      <c r="B238" s="29" t="s">
        <v>163</v>
      </c>
      <c r="C238" s="26" t="s">
        <v>297</v>
      </c>
      <c r="D238" s="8">
        <v>290</v>
      </c>
      <c r="E238" s="8"/>
      <c r="F238" s="8">
        <f t="shared" si="3"/>
        <v>185248</v>
      </c>
      <c r="G238" s="26"/>
    </row>
    <row r="239" spans="1:7" x14ac:dyDescent="0.25">
      <c r="A239" s="61">
        <v>42585</v>
      </c>
      <c r="B239" s="29" t="s">
        <v>305</v>
      </c>
      <c r="C239" s="26" t="s">
        <v>306</v>
      </c>
      <c r="D239" s="8">
        <v>7176</v>
      </c>
      <c r="E239" s="8"/>
      <c r="F239" s="8">
        <f t="shared" si="3"/>
        <v>178072</v>
      </c>
      <c r="G239" s="26"/>
    </row>
    <row r="240" spans="1:7" x14ac:dyDescent="0.25">
      <c r="A240" s="61">
        <v>42585</v>
      </c>
      <c r="B240" s="29" t="s">
        <v>26</v>
      </c>
      <c r="C240" s="26" t="s">
        <v>298</v>
      </c>
      <c r="D240" s="8">
        <v>95</v>
      </c>
      <c r="E240" s="8"/>
      <c r="F240" s="8">
        <f t="shared" si="3"/>
        <v>177977</v>
      </c>
      <c r="G240" s="26"/>
    </row>
    <row r="241" spans="1:7" x14ac:dyDescent="0.25">
      <c r="A241" s="61">
        <v>42585</v>
      </c>
      <c r="B241" s="29" t="s">
        <v>103</v>
      </c>
      <c r="C241" s="26" t="s">
        <v>300</v>
      </c>
      <c r="D241" s="8">
        <v>2000</v>
      </c>
      <c r="E241" s="8"/>
      <c r="F241" s="8">
        <f t="shared" si="3"/>
        <v>175977</v>
      </c>
      <c r="G241" s="26"/>
    </row>
    <row r="242" spans="1:7" x14ac:dyDescent="0.25">
      <c r="A242" s="61">
        <v>42585</v>
      </c>
      <c r="B242" s="29" t="s">
        <v>103</v>
      </c>
      <c r="C242" s="26" t="s">
        <v>301</v>
      </c>
      <c r="D242" s="8">
        <v>2400</v>
      </c>
      <c r="E242" s="8"/>
      <c r="F242" s="8">
        <f t="shared" si="3"/>
        <v>173577</v>
      </c>
      <c r="G242" s="26"/>
    </row>
    <row r="243" spans="1:7" x14ac:dyDescent="0.25">
      <c r="A243" s="61">
        <v>42585</v>
      </c>
      <c r="B243" s="29" t="s">
        <v>123</v>
      </c>
      <c r="C243" s="26" t="s">
        <v>307</v>
      </c>
      <c r="D243" s="8">
        <v>10450</v>
      </c>
      <c r="E243" s="8"/>
      <c r="F243" s="8">
        <f t="shared" si="3"/>
        <v>163127</v>
      </c>
      <c r="G243" s="26"/>
    </row>
    <row r="244" spans="1:7" x14ac:dyDescent="0.25">
      <c r="A244" s="61">
        <v>42585</v>
      </c>
      <c r="B244" s="29" t="s">
        <v>102</v>
      </c>
      <c r="C244" s="26" t="s">
        <v>259</v>
      </c>
      <c r="D244" s="8">
        <v>10000</v>
      </c>
      <c r="E244" s="8"/>
      <c r="F244" s="8">
        <f t="shared" si="3"/>
        <v>153127</v>
      </c>
      <c r="G244" s="26"/>
    </row>
    <row r="245" spans="1:7" x14ac:dyDescent="0.25">
      <c r="A245" s="61">
        <v>42585</v>
      </c>
      <c r="B245" s="187" t="s">
        <v>5</v>
      </c>
      <c r="C245" s="187" t="s">
        <v>302</v>
      </c>
      <c r="D245" s="60">
        <v>100</v>
      </c>
      <c r="E245" s="8"/>
      <c r="F245" s="8">
        <f t="shared" si="3"/>
        <v>153027</v>
      </c>
      <c r="G245" s="26"/>
    </row>
    <row r="246" spans="1:7" x14ac:dyDescent="0.25">
      <c r="A246" s="61">
        <v>42585</v>
      </c>
      <c r="B246" s="29" t="s">
        <v>303</v>
      </c>
      <c r="C246" s="26" t="s">
        <v>304</v>
      </c>
      <c r="D246" s="8">
        <v>4400</v>
      </c>
      <c r="E246" s="8"/>
      <c r="F246" s="8">
        <f t="shared" si="3"/>
        <v>148627</v>
      </c>
      <c r="G246" s="26"/>
    </row>
    <row r="247" spans="1:7" x14ac:dyDescent="0.25">
      <c r="A247" s="61">
        <v>42585</v>
      </c>
      <c r="B247" s="29" t="s">
        <v>67</v>
      </c>
      <c r="C247" s="26" t="s">
        <v>308</v>
      </c>
      <c r="D247" s="8">
        <v>420</v>
      </c>
      <c r="E247" s="8"/>
      <c r="F247" s="8">
        <f t="shared" si="3"/>
        <v>148207</v>
      </c>
      <c r="G247" s="26"/>
    </row>
    <row r="248" spans="1:7" x14ac:dyDescent="0.25">
      <c r="A248" s="61">
        <v>42585</v>
      </c>
      <c r="B248" s="29" t="s">
        <v>10</v>
      </c>
      <c r="C248" s="26" t="s">
        <v>309</v>
      </c>
      <c r="D248" s="8"/>
      <c r="E248" s="8">
        <v>40</v>
      </c>
      <c r="F248" s="8">
        <f t="shared" si="3"/>
        <v>148247</v>
      </c>
      <c r="G248" s="26"/>
    </row>
    <row r="249" spans="1:7" x14ac:dyDescent="0.25">
      <c r="A249" s="61">
        <v>42585</v>
      </c>
      <c r="B249" s="29" t="s">
        <v>103</v>
      </c>
      <c r="C249" s="26" t="s">
        <v>310</v>
      </c>
      <c r="D249" s="8">
        <v>12000</v>
      </c>
      <c r="E249" s="8"/>
      <c r="F249" s="8">
        <f t="shared" si="3"/>
        <v>136247</v>
      </c>
      <c r="G249" s="26"/>
    </row>
    <row r="250" spans="1:7" x14ac:dyDescent="0.25">
      <c r="A250" s="61">
        <v>42586</v>
      </c>
      <c r="B250" s="29" t="s">
        <v>165</v>
      </c>
      <c r="C250" s="26" t="s">
        <v>32</v>
      </c>
      <c r="D250" s="8">
        <v>5000</v>
      </c>
      <c r="E250" s="8"/>
      <c r="F250" s="8">
        <f t="shared" si="3"/>
        <v>131247</v>
      </c>
      <c r="G250" s="26"/>
    </row>
    <row r="251" spans="1:7" x14ac:dyDescent="0.25">
      <c r="A251" s="61">
        <v>42586</v>
      </c>
      <c r="B251" s="29" t="s">
        <v>121</v>
      </c>
      <c r="C251" s="26" t="s">
        <v>113</v>
      </c>
      <c r="D251" s="8">
        <v>3990</v>
      </c>
      <c r="E251" s="8"/>
      <c r="F251" s="8">
        <f t="shared" si="3"/>
        <v>127257</v>
      </c>
      <c r="G251" s="26"/>
    </row>
    <row r="252" spans="1:7" x14ac:dyDescent="0.25">
      <c r="A252" s="61">
        <v>42586</v>
      </c>
      <c r="B252" s="29" t="s">
        <v>75</v>
      </c>
      <c r="C252" s="26" t="s">
        <v>313</v>
      </c>
      <c r="D252" s="8">
        <v>3000</v>
      </c>
      <c r="E252" s="8"/>
      <c r="F252" s="8">
        <f t="shared" si="3"/>
        <v>124257</v>
      </c>
      <c r="G252" s="26"/>
    </row>
    <row r="253" spans="1:7" x14ac:dyDescent="0.25">
      <c r="A253" s="61">
        <v>42586</v>
      </c>
      <c r="B253" s="29" t="s">
        <v>43</v>
      </c>
      <c r="C253" s="26" t="s">
        <v>32</v>
      </c>
      <c r="D253" s="8">
        <v>1500</v>
      </c>
      <c r="E253" s="8"/>
      <c r="F253" s="8">
        <f t="shared" si="3"/>
        <v>122757</v>
      </c>
      <c r="G253" s="26"/>
    </row>
    <row r="254" spans="1:7" x14ac:dyDescent="0.25">
      <c r="A254" s="61">
        <v>42586</v>
      </c>
      <c r="B254" s="29" t="s">
        <v>43</v>
      </c>
      <c r="C254" s="26" t="s">
        <v>32</v>
      </c>
      <c r="D254" s="8">
        <v>1000</v>
      </c>
      <c r="E254" s="8"/>
      <c r="F254" s="8">
        <f t="shared" si="3"/>
        <v>121757</v>
      </c>
      <c r="G254" s="26"/>
    </row>
    <row r="255" spans="1:7" x14ac:dyDescent="0.25">
      <c r="A255" s="61">
        <v>42586</v>
      </c>
      <c r="B255" s="29" t="s">
        <v>30</v>
      </c>
      <c r="C255" s="26" t="s">
        <v>32</v>
      </c>
      <c r="D255" s="8">
        <v>2000</v>
      </c>
      <c r="E255" s="8"/>
      <c r="F255" s="8">
        <f t="shared" si="3"/>
        <v>119757</v>
      </c>
      <c r="G255" s="26"/>
    </row>
    <row r="256" spans="1:7" x14ac:dyDescent="0.25">
      <c r="A256" s="61">
        <v>42586</v>
      </c>
      <c r="B256" s="29" t="s">
        <v>121</v>
      </c>
      <c r="C256" s="26" t="s">
        <v>32</v>
      </c>
      <c r="D256" s="8">
        <v>2000</v>
      </c>
      <c r="E256" s="8"/>
      <c r="F256" s="8">
        <f t="shared" si="3"/>
        <v>117757</v>
      </c>
      <c r="G256" s="26"/>
    </row>
    <row r="257" spans="1:7" x14ac:dyDescent="0.25">
      <c r="A257" s="61">
        <v>42586</v>
      </c>
      <c r="B257" s="29" t="s">
        <v>155</v>
      </c>
      <c r="C257" s="26" t="s">
        <v>325</v>
      </c>
      <c r="D257" s="8">
        <v>40000</v>
      </c>
      <c r="E257" s="8"/>
      <c r="F257" s="8">
        <f t="shared" si="3"/>
        <v>77757</v>
      </c>
      <c r="G257" s="26"/>
    </row>
    <row r="258" spans="1:7" x14ac:dyDescent="0.25">
      <c r="A258" s="61">
        <v>42590</v>
      </c>
      <c r="B258" s="43" t="s">
        <v>155</v>
      </c>
      <c r="C258" s="43" t="s">
        <v>326</v>
      </c>
      <c r="D258" s="44"/>
      <c r="E258" s="44">
        <v>3500</v>
      </c>
      <c r="F258" s="8">
        <f t="shared" si="3"/>
        <v>81257</v>
      </c>
      <c r="G258" s="26"/>
    </row>
    <row r="259" spans="1:7" x14ac:dyDescent="0.25">
      <c r="A259" s="61">
        <v>42586</v>
      </c>
      <c r="B259" s="29" t="s">
        <v>155</v>
      </c>
      <c r="C259" s="26" t="s">
        <v>314</v>
      </c>
      <c r="D259" s="8">
        <v>600</v>
      </c>
      <c r="E259" s="8"/>
      <c r="F259" s="8">
        <f t="shared" ref="F259:F322" si="4">F258-D259+E259</f>
        <v>80657</v>
      </c>
      <c r="G259" s="26"/>
    </row>
    <row r="260" spans="1:7" x14ac:dyDescent="0.25">
      <c r="A260" s="61">
        <v>42586</v>
      </c>
      <c r="B260" s="29" t="s">
        <v>5</v>
      </c>
      <c r="C260" s="26" t="s">
        <v>32</v>
      </c>
      <c r="D260" s="8">
        <v>20000</v>
      </c>
      <c r="E260" s="8"/>
      <c r="F260" s="8">
        <f t="shared" si="4"/>
        <v>60657</v>
      </c>
      <c r="G260" s="26"/>
    </row>
    <row r="261" spans="1:7" x14ac:dyDescent="0.25">
      <c r="A261" s="61">
        <v>42586</v>
      </c>
      <c r="B261" s="43" t="s">
        <v>5</v>
      </c>
      <c r="C261" s="43" t="s">
        <v>315</v>
      </c>
      <c r="D261" s="44"/>
      <c r="E261" s="44">
        <v>4000</v>
      </c>
      <c r="F261" s="8">
        <f t="shared" si="4"/>
        <v>64657</v>
      </c>
      <c r="G261" s="26"/>
    </row>
    <row r="262" spans="1:7" x14ac:dyDescent="0.25">
      <c r="A262" s="61">
        <v>42587</v>
      </c>
      <c r="B262" s="29" t="s">
        <v>72</v>
      </c>
      <c r="C262" s="26" t="s">
        <v>316</v>
      </c>
      <c r="D262" s="8">
        <v>1500</v>
      </c>
      <c r="E262" s="8"/>
      <c r="F262" s="8">
        <f t="shared" si="4"/>
        <v>63157</v>
      </c>
      <c r="G262" s="26"/>
    </row>
    <row r="263" spans="1:7" x14ac:dyDescent="0.25">
      <c r="A263" s="61">
        <v>42587</v>
      </c>
      <c r="B263" s="29" t="s">
        <v>26</v>
      </c>
      <c r="C263" s="26" t="s">
        <v>140</v>
      </c>
      <c r="D263" s="8">
        <f>10+14</f>
        <v>24</v>
      </c>
      <c r="E263" s="8"/>
      <c r="F263" s="8">
        <f t="shared" si="4"/>
        <v>63133</v>
      </c>
      <c r="G263" s="26"/>
    </row>
    <row r="264" spans="1:7" x14ac:dyDescent="0.25">
      <c r="A264" s="61">
        <v>42587</v>
      </c>
      <c r="B264" s="29" t="s">
        <v>26</v>
      </c>
      <c r="C264" s="26" t="s">
        <v>317</v>
      </c>
      <c r="D264" s="8">
        <v>530</v>
      </c>
      <c r="E264" s="8"/>
      <c r="F264" s="8">
        <f t="shared" si="4"/>
        <v>62603</v>
      </c>
      <c r="G264" s="26"/>
    </row>
    <row r="265" spans="1:7" x14ac:dyDescent="0.25">
      <c r="A265" s="61">
        <v>42587</v>
      </c>
      <c r="B265" s="29" t="s">
        <v>26</v>
      </c>
      <c r="C265" s="26" t="s">
        <v>318</v>
      </c>
      <c r="D265" s="8">
        <f>220+120</f>
        <v>340</v>
      </c>
      <c r="E265" s="8"/>
      <c r="F265" s="8">
        <f t="shared" si="4"/>
        <v>62263</v>
      </c>
      <c r="G265" s="26"/>
    </row>
    <row r="266" spans="1:7" x14ac:dyDescent="0.25">
      <c r="A266" s="61">
        <v>42587</v>
      </c>
      <c r="B266" s="29" t="s">
        <v>115</v>
      </c>
      <c r="C266" s="26" t="s">
        <v>319</v>
      </c>
      <c r="D266" s="8">
        <v>18300</v>
      </c>
      <c r="E266" s="8"/>
      <c r="F266" s="8">
        <f t="shared" si="4"/>
        <v>43963</v>
      </c>
      <c r="G266" s="26"/>
    </row>
    <row r="267" spans="1:7" x14ac:dyDescent="0.25">
      <c r="A267" s="61">
        <v>42587</v>
      </c>
      <c r="B267" s="29" t="s">
        <v>26</v>
      </c>
      <c r="C267" s="26" t="s">
        <v>320</v>
      </c>
      <c r="D267" s="8">
        <v>1400</v>
      </c>
      <c r="E267" s="8"/>
      <c r="F267" s="8">
        <f t="shared" si="4"/>
        <v>42563</v>
      </c>
      <c r="G267" s="26"/>
    </row>
    <row r="268" spans="1:7" x14ac:dyDescent="0.25">
      <c r="A268" s="61">
        <v>42587</v>
      </c>
      <c r="B268" s="29" t="s">
        <v>23</v>
      </c>
      <c r="C268" s="26" t="s">
        <v>321</v>
      </c>
      <c r="D268" s="8">
        <v>10000</v>
      </c>
      <c r="E268" s="8"/>
      <c r="F268" s="8">
        <f t="shared" si="4"/>
        <v>32563</v>
      </c>
      <c r="G268" s="26"/>
    </row>
    <row r="269" spans="1:7" x14ac:dyDescent="0.25">
      <c r="A269" s="61">
        <v>42587</v>
      </c>
      <c r="B269" s="29" t="s">
        <v>107</v>
      </c>
      <c r="C269" s="26" t="s">
        <v>15</v>
      </c>
      <c r="D269" s="8">
        <v>500</v>
      </c>
      <c r="E269" s="8"/>
      <c r="F269" s="8">
        <f t="shared" si="4"/>
        <v>32063</v>
      </c>
      <c r="G269" s="26"/>
    </row>
    <row r="270" spans="1:7" x14ac:dyDescent="0.25">
      <c r="A270" s="61">
        <v>42587</v>
      </c>
      <c r="B270" s="188" t="s">
        <v>118</v>
      </c>
      <c r="C270" s="188" t="s">
        <v>322</v>
      </c>
      <c r="D270" s="67">
        <v>70</v>
      </c>
      <c r="E270" s="67"/>
      <c r="F270" s="8">
        <f t="shared" si="4"/>
        <v>31993</v>
      </c>
      <c r="G270" s="188"/>
    </row>
    <row r="271" spans="1:7" x14ac:dyDescent="0.25">
      <c r="A271" s="61">
        <v>42587</v>
      </c>
      <c r="B271" s="29" t="s">
        <v>323</v>
      </c>
      <c r="C271" s="29" t="s">
        <v>324</v>
      </c>
      <c r="D271" s="14">
        <v>9000</v>
      </c>
      <c r="E271" s="14"/>
      <c r="F271" s="8">
        <f t="shared" si="4"/>
        <v>22993</v>
      </c>
      <c r="G271" s="29"/>
    </row>
    <row r="272" spans="1:7" x14ac:dyDescent="0.25">
      <c r="A272" s="61">
        <v>42590</v>
      </c>
      <c r="B272" s="29" t="s">
        <v>155</v>
      </c>
      <c r="C272" s="29" t="s">
        <v>327</v>
      </c>
      <c r="D272" s="14">
        <v>5000</v>
      </c>
      <c r="E272" s="14"/>
      <c r="F272" s="8">
        <f t="shared" si="4"/>
        <v>17993</v>
      </c>
      <c r="G272" s="29"/>
    </row>
    <row r="273" spans="1:7" x14ac:dyDescent="0.25">
      <c r="A273" s="61">
        <v>42590</v>
      </c>
      <c r="B273" s="29" t="s">
        <v>163</v>
      </c>
      <c r="C273" s="29" t="s">
        <v>328</v>
      </c>
      <c r="D273" s="14">
        <v>3000</v>
      </c>
      <c r="E273" s="14"/>
      <c r="F273" s="8">
        <f t="shared" si="4"/>
        <v>14993</v>
      </c>
      <c r="G273" s="29"/>
    </row>
    <row r="274" spans="1:7" x14ac:dyDescent="0.25">
      <c r="A274" s="61">
        <v>42590</v>
      </c>
      <c r="B274" s="29" t="s">
        <v>121</v>
      </c>
      <c r="C274" s="29" t="s">
        <v>332</v>
      </c>
      <c r="D274" s="14">
        <v>1000</v>
      </c>
      <c r="E274" s="14"/>
      <c r="F274" s="8">
        <f t="shared" si="4"/>
        <v>13993</v>
      </c>
      <c r="G274" s="29"/>
    </row>
    <row r="275" spans="1:7" x14ac:dyDescent="0.25">
      <c r="A275" s="61">
        <v>42590</v>
      </c>
      <c r="B275" s="29" t="s">
        <v>26</v>
      </c>
      <c r="C275" s="29" t="s">
        <v>334</v>
      </c>
      <c r="D275" s="14">
        <f>360+180</f>
        <v>540</v>
      </c>
      <c r="E275" s="14"/>
      <c r="F275" s="8">
        <f t="shared" si="4"/>
        <v>13453</v>
      </c>
      <c r="G275" s="29"/>
    </row>
    <row r="276" spans="1:7" x14ac:dyDescent="0.25">
      <c r="A276" s="61">
        <v>42590</v>
      </c>
      <c r="B276" s="29" t="s">
        <v>29</v>
      </c>
      <c r="C276" s="29" t="s">
        <v>333</v>
      </c>
      <c r="D276" s="14">
        <v>10000</v>
      </c>
      <c r="E276" s="14"/>
      <c r="F276" s="8">
        <f t="shared" si="4"/>
        <v>3453</v>
      </c>
      <c r="G276" s="29"/>
    </row>
    <row r="277" spans="1:7" x14ac:dyDescent="0.25">
      <c r="A277" s="61">
        <v>42590</v>
      </c>
      <c r="B277" s="29" t="s">
        <v>5</v>
      </c>
      <c r="C277" s="29" t="s">
        <v>202</v>
      </c>
      <c r="D277" s="14">
        <v>1000</v>
      </c>
      <c r="E277" s="14"/>
      <c r="F277" s="8">
        <f t="shared" si="4"/>
        <v>2453</v>
      </c>
      <c r="G277" s="29"/>
    </row>
    <row r="278" spans="1:7" x14ac:dyDescent="0.25">
      <c r="A278" s="61">
        <v>42590</v>
      </c>
      <c r="B278" s="40" t="s">
        <v>26</v>
      </c>
      <c r="C278" s="40" t="s">
        <v>336</v>
      </c>
      <c r="D278" s="41">
        <v>234</v>
      </c>
      <c r="E278" s="41"/>
      <c r="F278" s="8">
        <f t="shared" si="4"/>
        <v>2219</v>
      </c>
      <c r="G278" s="29"/>
    </row>
    <row r="279" spans="1:7" x14ac:dyDescent="0.25">
      <c r="A279" s="61">
        <v>42590</v>
      </c>
      <c r="B279" s="29" t="s">
        <v>26</v>
      </c>
      <c r="C279" s="29" t="s">
        <v>335</v>
      </c>
      <c r="D279" s="14">
        <v>130</v>
      </c>
      <c r="E279" s="14"/>
      <c r="F279" s="8">
        <f t="shared" si="4"/>
        <v>2089</v>
      </c>
      <c r="G279" s="29"/>
    </row>
    <row r="280" spans="1:7" x14ac:dyDescent="0.25">
      <c r="A280" s="55">
        <v>42591</v>
      </c>
      <c r="B280" s="462" t="s">
        <v>272</v>
      </c>
      <c r="C280" s="463"/>
      <c r="D280" s="71"/>
      <c r="E280" s="58">
        <v>275000</v>
      </c>
      <c r="F280" s="8">
        <f t="shared" si="4"/>
        <v>277089</v>
      </c>
      <c r="G280" s="29"/>
    </row>
    <row r="281" spans="1:7" x14ac:dyDescent="0.25">
      <c r="A281" s="61">
        <v>42591</v>
      </c>
      <c r="B281" s="29" t="s">
        <v>341</v>
      </c>
      <c r="C281" s="29" t="s">
        <v>342</v>
      </c>
      <c r="D281" s="14">
        <v>100000</v>
      </c>
      <c r="E281" s="14"/>
      <c r="F281" s="8">
        <f t="shared" si="4"/>
        <v>177089</v>
      </c>
      <c r="G281" s="29"/>
    </row>
    <row r="282" spans="1:7" x14ac:dyDescent="0.25">
      <c r="A282" s="61">
        <v>42591</v>
      </c>
      <c r="B282" s="29" t="s">
        <v>107</v>
      </c>
      <c r="C282" s="29" t="s">
        <v>347</v>
      </c>
      <c r="D282" s="14">
        <v>46000</v>
      </c>
      <c r="E282" s="14"/>
      <c r="F282" s="8">
        <f t="shared" si="4"/>
        <v>131089</v>
      </c>
      <c r="G282" s="29"/>
    </row>
    <row r="283" spans="1:7" x14ac:dyDescent="0.25">
      <c r="A283" s="61">
        <v>42591</v>
      </c>
      <c r="B283" s="29" t="s">
        <v>121</v>
      </c>
      <c r="C283" s="29" t="s">
        <v>345</v>
      </c>
      <c r="D283" s="14">
        <v>1000</v>
      </c>
      <c r="E283" s="14"/>
      <c r="F283" s="8">
        <f t="shared" si="4"/>
        <v>130089</v>
      </c>
      <c r="G283" s="29"/>
    </row>
    <row r="284" spans="1:7" x14ac:dyDescent="0.25">
      <c r="A284" s="61">
        <v>42591</v>
      </c>
      <c r="B284" s="29" t="s">
        <v>30</v>
      </c>
      <c r="C284" s="29" t="s">
        <v>343</v>
      </c>
      <c r="D284" s="14">
        <v>2000</v>
      </c>
      <c r="E284" s="14"/>
      <c r="F284" s="8">
        <f t="shared" si="4"/>
        <v>128089</v>
      </c>
      <c r="G284" s="29"/>
    </row>
    <row r="285" spans="1:7" x14ac:dyDescent="0.25">
      <c r="A285" s="61">
        <v>42591</v>
      </c>
      <c r="B285" s="43" t="s">
        <v>5</v>
      </c>
      <c r="C285" s="43" t="s">
        <v>315</v>
      </c>
      <c r="D285" s="44"/>
      <c r="E285" s="44">
        <v>500</v>
      </c>
      <c r="F285" s="8">
        <f t="shared" si="4"/>
        <v>128589</v>
      </c>
      <c r="G285" s="29"/>
    </row>
    <row r="286" spans="1:7" x14ac:dyDescent="0.25">
      <c r="A286" s="61">
        <v>42591</v>
      </c>
      <c r="B286" s="43" t="s">
        <v>5</v>
      </c>
      <c r="C286" s="43" t="s">
        <v>315</v>
      </c>
      <c r="D286" s="44"/>
      <c r="E286" s="44">
        <v>700</v>
      </c>
      <c r="F286" s="8">
        <f t="shared" si="4"/>
        <v>129289</v>
      </c>
      <c r="G286" s="29"/>
    </row>
    <row r="287" spans="1:7" x14ac:dyDescent="0.25">
      <c r="A287" s="61">
        <v>42591</v>
      </c>
      <c r="B287" s="189"/>
      <c r="C287" s="189" t="s">
        <v>351</v>
      </c>
      <c r="D287" s="69">
        <v>5080</v>
      </c>
      <c r="E287" s="14"/>
      <c r="F287" s="8">
        <f t="shared" si="4"/>
        <v>124209</v>
      </c>
      <c r="G287" s="29"/>
    </row>
    <row r="288" spans="1:7" x14ac:dyDescent="0.25">
      <c r="A288" s="61">
        <v>42591</v>
      </c>
      <c r="B288" s="29" t="s">
        <v>26</v>
      </c>
      <c r="C288" s="29" t="s">
        <v>344</v>
      </c>
      <c r="D288" s="14">
        <v>400</v>
      </c>
      <c r="E288" s="14"/>
      <c r="F288" s="8">
        <f t="shared" si="4"/>
        <v>123809</v>
      </c>
      <c r="G288" s="29"/>
    </row>
    <row r="289" spans="1:7" x14ac:dyDescent="0.25">
      <c r="A289" s="61">
        <v>42591</v>
      </c>
      <c r="B289" s="29" t="s">
        <v>29</v>
      </c>
      <c r="C289" s="29" t="s">
        <v>32</v>
      </c>
      <c r="D289" s="14">
        <v>15000</v>
      </c>
      <c r="E289" s="8"/>
      <c r="F289" s="8">
        <f t="shared" si="4"/>
        <v>108809</v>
      </c>
      <c r="G289" s="26"/>
    </row>
    <row r="290" spans="1:7" x14ac:dyDescent="0.25">
      <c r="A290" s="61">
        <v>42591</v>
      </c>
      <c r="B290" s="43" t="s">
        <v>5</v>
      </c>
      <c r="C290" s="43" t="s">
        <v>346</v>
      </c>
      <c r="D290" s="44"/>
      <c r="E290" s="44">
        <v>1500</v>
      </c>
      <c r="F290" s="8">
        <f t="shared" si="4"/>
        <v>110309</v>
      </c>
      <c r="G290" s="26"/>
    </row>
    <row r="291" spans="1:7" x14ac:dyDescent="0.25">
      <c r="A291" s="61">
        <v>42591</v>
      </c>
      <c r="B291" s="43" t="s">
        <v>5</v>
      </c>
      <c r="C291" s="43" t="s">
        <v>346</v>
      </c>
      <c r="D291" s="44"/>
      <c r="E291" s="44">
        <v>1000</v>
      </c>
      <c r="F291" s="8">
        <f t="shared" si="4"/>
        <v>111309</v>
      </c>
      <c r="G291" s="26"/>
    </row>
    <row r="292" spans="1:7" x14ac:dyDescent="0.25">
      <c r="A292" s="61">
        <v>42591</v>
      </c>
      <c r="B292" s="26" t="s">
        <v>248</v>
      </c>
      <c r="C292" s="26" t="s">
        <v>349</v>
      </c>
      <c r="D292" s="8">
        <f>520+170</f>
        <v>690</v>
      </c>
      <c r="E292" s="8"/>
      <c r="F292" s="8">
        <f t="shared" si="4"/>
        <v>110619</v>
      </c>
      <c r="G292" s="26"/>
    </row>
    <row r="293" spans="1:7" x14ac:dyDescent="0.25">
      <c r="A293" s="61">
        <v>42591</v>
      </c>
      <c r="B293" s="29" t="s">
        <v>43</v>
      </c>
      <c r="C293" s="29" t="s">
        <v>34</v>
      </c>
      <c r="D293" s="14">
        <v>700</v>
      </c>
      <c r="E293" s="14"/>
      <c r="F293" s="8">
        <f t="shared" si="4"/>
        <v>109919</v>
      </c>
      <c r="G293" s="26"/>
    </row>
    <row r="294" spans="1:7" x14ac:dyDescent="0.25">
      <c r="A294" s="61">
        <v>42592</v>
      </c>
      <c r="B294" s="26" t="s">
        <v>123</v>
      </c>
      <c r="C294" s="26" t="s">
        <v>348</v>
      </c>
      <c r="D294" s="8">
        <v>5000</v>
      </c>
      <c r="E294" s="8"/>
      <c r="F294" s="8">
        <f t="shared" si="4"/>
        <v>104919</v>
      </c>
      <c r="G294" s="26"/>
    </row>
    <row r="295" spans="1:7" x14ac:dyDescent="0.25">
      <c r="A295" s="61">
        <v>42592</v>
      </c>
      <c r="B295" s="26" t="s">
        <v>17</v>
      </c>
      <c r="C295" s="26" t="s">
        <v>350</v>
      </c>
      <c r="D295" s="8">
        <v>500</v>
      </c>
      <c r="E295" s="8"/>
      <c r="F295" s="8">
        <f t="shared" si="4"/>
        <v>104419</v>
      </c>
      <c r="G295" s="26"/>
    </row>
    <row r="296" spans="1:7" ht="30" x14ac:dyDescent="0.25">
      <c r="A296" s="61">
        <v>42592</v>
      </c>
      <c r="B296" s="189" t="s">
        <v>303</v>
      </c>
      <c r="C296" s="190" t="s">
        <v>359</v>
      </c>
      <c r="D296" s="69">
        <v>500</v>
      </c>
      <c r="E296" s="8"/>
      <c r="F296" s="8">
        <f t="shared" si="4"/>
        <v>103919</v>
      </c>
      <c r="G296" s="26"/>
    </row>
    <row r="297" spans="1:7" x14ac:dyDescent="0.25">
      <c r="A297" s="61">
        <v>42592</v>
      </c>
      <c r="B297" s="26" t="s">
        <v>94</v>
      </c>
      <c r="C297" s="26" t="s">
        <v>352</v>
      </c>
      <c r="D297" s="8">
        <v>5000</v>
      </c>
      <c r="E297" s="8"/>
      <c r="F297" s="8">
        <f t="shared" si="4"/>
        <v>98919</v>
      </c>
      <c r="G297" s="26"/>
    </row>
    <row r="298" spans="1:7" x14ac:dyDescent="0.25">
      <c r="A298" s="61">
        <v>42592</v>
      </c>
      <c r="B298" s="26" t="s">
        <v>165</v>
      </c>
      <c r="C298" s="26" t="s">
        <v>295</v>
      </c>
      <c r="D298" s="8">
        <v>5600</v>
      </c>
      <c r="E298" s="8"/>
      <c r="F298" s="8">
        <f t="shared" si="4"/>
        <v>93319</v>
      </c>
      <c r="G298" s="26"/>
    </row>
    <row r="299" spans="1:7" x14ac:dyDescent="0.25">
      <c r="A299" s="61">
        <v>42592</v>
      </c>
      <c r="B299" s="26" t="s">
        <v>26</v>
      </c>
      <c r="C299" s="26" t="s">
        <v>353</v>
      </c>
      <c r="D299" s="8">
        <v>350</v>
      </c>
      <c r="E299" s="8"/>
      <c r="F299" s="8">
        <f t="shared" si="4"/>
        <v>92969</v>
      </c>
      <c r="G299" s="26"/>
    </row>
    <row r="300" spans="1:7" x14ac:dyDescent="0.25">
      <c r="A300" s="61">
        <v>42592</v>
      </c>
      <c r="B300" s="26" t="s">
        <v>231</v>
      </c>
      <c r="C300" s="26" t="s">
        <v>32</v>
      </c>
      <c r="D300" s="8">
        <v>500</v>
      </c>
      <c r="E300" s="8"/>
      <c r="F300" s="8">
        <f t="shared" si="4"/>
        <v>92469</v>
      </c>
      <c r="G300" s="26"/>
    </row>
    <row r="301" spans="1:7" x14ac:dyDescent="0.25">
      <c r="A301" s="61">
        <v>42592</v>
      </c>
      <c r="B301" s="26" t="s">
        <v>40</v>
      </c>
      <c r="C301" s="26" t="s">
        <v>354</v>
      </c>
      <c r="D301" s="8">
        <v>600</v>
      </c>
      <c r="E301" s="8"/>
      <c r="F301" s="8">
        <f t="shared" si="4"/>
        <v>91869</v>
      </c>
      <c r="G301" s="26"/>
    </row>
    <row r="302" spans="1:7" x14ac:dyDescent="0.25">
      <c r="A302" s="61">
        <v>42592</v>
      </c>
      <c r="B302" s="26" t="s">
        <v>355</v>
      </c>
      <c r="C302" s="26" t="s">
        <v>356</v>
      </c>
      <c r="D302" s="8">
        <v>50</v>
      </c>
      <c r="E302" s="8"/>
      <c r="F302" s="8">
        <f t="shared" si="4"/>
        <v>91819</v>
      </c>
      <c r="G302" s="26"/>
    </row>
    <row r="303" spans="1:7" x14ac:dyDescent="0.25">
      <c r="A303" s="61">
        <v>42593</v>
      </c>
      <c r="B303" s="26" t="s">
        <v>40</v>
      </c>
      <c r="C303" s="26" t="s">
        <v>360</v>
      </c>
      <c r="D303" s="8">
        <v>2940</v>
      </c>
      <c r="E303" s="8"/>
      <c r="F303" s="8">
        <f t="shared" si="4"/>
        <v>88879</v>
      </c>
      <c r="G303" s="26"/>
    </row>
    <row r="304" spans="1:7" x14ac:dyDescent="0.25">
      <c r="A304" s="61">
        <v>42593</v>
      </c>
      <c r="B304" s="26" t="s">
        <v>40</v>
      </c>
      <c r="C304" s="26" t="s">
        <v>32</v>
      </c>
      <c r="D304" s="8">
        <v>1000</v>
      </c>
      <c r="E304" s="8"/>
      <c r="F304" s="8">
        <f t="shared" si="4"/>
        <v>87879</v>
      </c>
      <c r="G304" s="26"/>
    </row>
    <row r="305" spans="1:11" x14ac:dyDescent="0.25">
      <c r="A305" s="61">
        <v>42593</v>
      </c>
      <c r="B305" s="26" t="s">
        <v>120</v>
      </c>
      <c r="C305" s="26" t="s">
        <v>361</v>
      </c>
      <c r="D305" s="8">
        <v>2000</v>
      </c>
      <c r="E305" s="8"/>
      <c r="F305" s="8">
        <f t="shared" si="4"/>
        <v>85879</v>
      </c>
      <c r="G305" s="26"/>
    </row>
    <row r="306" spans="1:11" x14ac:dyDescent="0.25">
      <c r="A306" s="61">
        <v>42593</v>
      </c>
      <c r="B306" s="26" t="s">
        <v>75</v>
      </c>
      <c r="C306" s="26" t="s">
        <v>362</v>
      </c>
      <c r="D306" s="8">
        <v>100</v>
      </c>
      <c r="E306" s="8"/>
      <c r="F306" s="8">
        <f t="shared" si="4"/>
        <v>85779</v>
      </c>
      <c r="G306" s="26"/>
    </row>
    <row r="307" spans="1:11" x14ac:dyDescent="0.25">
      <c r="A307" s="61">
        <v>42593</v>
      </c>
      <c r="B307" s="26" t="s">
        <v>155</v>
      </c>
      <c r="C307" s="26" t="s">
        <v>363</v>
      </c>
      <c r="D307" s="8">
        <v>2000</v>
      </c>
      <c r="E307" s="8"/>
      <c r="F307" s="8">
        <f t="shared" si="4"/>
        <v>83779</v>
      </c>
      <c r="G307" s="26"/>
    </row>
    <row r="308" spans="1:11" x14ac:dyDescent="0.25">
      <c r="A308" s="61">
        <v>42593</v>
      </c>
      <c r="B308" s="26" t="s">
        <v>155</v>
      </c>
      <c r="C308" s="26" t="s">
        <v>364</v>
      </c>
      <c r="D308" s="8">
        <v>25000</v>
      </c>
      <c r="E308" s="8"/>
      <c r="F308" s="8">
        <f t="shared" si="4"/>
        <v>58779</v>
      </c>
      <c r="G308" s="26"/>
    </row>
    <row r="309" spans="1:11" x14ac:dyDescent="0.25">
      <c r="A309" s="61">
        <v>42593</v>
      </c>
      <c r="B309" s="26" t="s">
        <v>4</v>
      </c>
      <c r="C309" s="26" t="s">
        <v>365</v>
      </c>
      <c r="D309" s="8">
        <v>15000</v>
      </c>
      <c r="E309" s="8"/>
      <c r="F309" s="8">
        <f t="shared" si="4"/>
        <v>43779</v>
      </c>
      <c r="G309" s="26"/>
      <c r="I309" s="469"/>
      <c r="J309" s="469"/>
      <c r="K309" s="469"/>
    </row>
    <row r="310" spans="1:11" x14ac:dyDescent="0.25">
      <c r="A310" s="61">
        <v>42593</v>
      </c>
      <c r="B310" s="26" t="s">
        <v>121</v>
      </c>
      <c r="C310" s="26" t="s">
        <v>378</v>
      </c>
      <c r="D310" s="8">
        <v>1000</v>
      </c>
      <c r="E310" s="8"/>
      <c r="F310" s="8">
        <f t="shared" si="4"/>
        <v>42779</v>
      </c>
      <c r="G310" s="26"/>
      <c r="I310" s="471"/>
      <c r="J310" s="472"/>
      <c r="K310" s="26"/>
    </row>
    <row r="311" spans="1:11" x14ac:dyDescent="0.25">
      <c r="A311" s="61">
        <v>42593</v>
      </c>
      <c r="B311" s="26" t="s">
        <v>54</v>
      </c>
      <c r="C311" s="26" t="s">
        <v>377</v>
      </c>
      <c r="D311" s="8">
        <v>2030</v>
      </c>
      <c r="E311" s="8"/>
      <c r="F311" s="8">
        <f t="shared" si="4"/>
        <v>40749</v>
      </c>
      <c r="G311" s="26"/>
      <c r="I311" s="471"/>
      <c r="J311" s="472"/>
      <c r="K311" s="8"/>
    </row>
    <row r="312" spans="1:11" ht="30" x14ac:dyDescent="0.25">
      <c r="A312" s="61">
        <v>42593</v>
      </c>
      <c r="B312" s="26" t="s">
        <v>121</v>
      </c>
      <c r="C312" s="87" t="s">
        <v>366</v>
      </c>
      <c r="D312" s="8">
        <v>1500</v>
      </c>
      <c r="E312" s="8"/>
      <c r="F312" s="8">
        <f t="shared" si="4"/>
        <v>39249</v>
      </c>
      <c r="G312" s="26"/>
      <c r="I312" s="470"/>
      <c r="J312" s="470"/>
      <c r="K312" s="8"/>
    </row>
    <row r="313" spans="1:11" x14ac:dyDescent="0.25">
      <c r="A313" s="61">
        <v>42593</v>
      </c>
      <c r="B313" s="26" t="s">
        <v>26</v>
      </c>
      <c r="C313" s="26" t="s">
        <v>367</v>
      </c>
      <c r="D313" s="8">
        <v>120</v>
      </c>
      <c r="E313" s="8"/>
      <c r="F313" s="8">
        <f t="shared" si="4"/>
        <v>39129</v>
      </c>
      <c r="G313" s="26"/>
      <c r="I313" s="470"/>
      <c r="J313" s="470"/>
      <c r="K313" s="8"/>
    </row>
    <row r="314" spans="1:11" x14ac:dyDescent="0.25">
      <c r="A314" s="61">
        <v>42593</v>
      </c>
      <c r="B314" s="26" t="s">
        <v>368</v>
      </c>
      <c r="C314" s="26" t="s">
        <v>369</v>
      </c>
      <c r="D314" s="8">
        <v>25000</v>
      </c>
      <c r="E314" s="8"/>
      <c r="F314" s="8">
        <f t="shared" si="4"/>
        <v>14129</v>
      </c>
      <c r="G314" s="26"/>
      <c r="I314" s="8"/>
      <c r="J314" s="8"/>
      <c r="K314" s="8"/>
    </row>
    <row r="315" spans="1:11" x14ac:dyDescent="0.25">
      <c r="A315" s="61">
        <v>42593</v>
      </c>
      <c r="B315" s="43"/>
      <c r="C315" s="43" t="s">
        <v>373</v>
      </c>
      <c r="D315" s="44"/>
      <c r="E315" s="44">
        <v>150000</v>
      </c>
      <c r="F315" s="8">
        <f t="shared" si="4"/>
        <v>164129</v>
      </c>
      <c r="G315" s="26"/>
      <c r="I315" s="8"/>
      <c r="J315" s="8"/>
      <c r="K315" s="8"/>
    </row>
    <row r="316" spans="1:11" x14ac:dyDescent="0.25">
      <c r="A316" s="61">
        <v>42593</v>
      </c>
      <c r="B316" s="26" t="s">
        <v>161</v>
      </c>
      <c r="C316" s="87" t="s">
        <v>370</v>
      </c>
      <c r="D316" s="8">
        <v>20000</v>
      </c>
      <c r="E316" s="8"/>
      <c r="F316" s="8">
        <f t="shared" si="4"/>
        <v>144129</v>
      </c>
      <c r="G316" s="26"/>
      <c r="I316" s="8"/>
      <c r="J316" s="8"/>
      <c r="K316" s="8"/>
    </row>
    <row r="317" spans="1:11" x14ac:dyDescent="0.25">
      <c r="A317" s="61">
        <v>42594</v>
      </c>
      <c r="B317" s="26" t="s">
        <v>163</v>
      </c>
      <c r="C317" s="26" t="s">
        <v>371</v>
      </c>
      <c r="D317" s="8">
        <v>1000</v>
      </c>
      <c r="E317" s="8"/>
      <c r="F317" s="8">
        <f t="shared" si="4"/>
        <v>143129</v>
      </c>
      <c r="G317" s="26"/>
      <c r="I317" s="8"/>
      <c r="J317" s="8"/>
      <c r="K317" s="8"/>
    </row>
    <row r="318" spans="1:11" x14ac:dyDescent="0.25">
      <c r="A318" s="61">
        <v>42594</v>
      </c>
      <c r="B318" s="26" t="s">
        <v>174</v>
      </c>
      <c r="C318" s="26" t="s">
        <v>372</v>
      </c>
      <c r="D318" s="8">
        <v>240</v>
      </c>
      <c r="E318" s="8"/>
      <c r="F318" s="8">
        <f t="shared" si="4"/>
        <v>142889</v>
      </c>
      <c r="G318" s="26"/>
      <c r="I318" s="8"/>
      <c r="J318" s="8"/>
      <c r="K318" s="8"/>
    </row>
    <row r="319" spans="1:11" x14ac:dyDescent="0.25">
      <c r="A319" s="61">
        <v>42594</v>
      </c>
      <c r="B319" s="26" t="s">
        <v>120</v>
      </c>
      <c r="C319" s="26" t="s">
        <v>343</v>
      </c>
      <c r="D319" s="8">
        <v>1000</v>
      </c>
      <c r="E319" s="8"/>
      <c r="F319" s="8">
        <f t="shared" si="4"/>
        <v>141889</v>
      </c>
      <c r="G319" s="26"/>
      <c r="I319" s="470"/>
      <c r="J319" s="470"/>
      <c r="K319" s="8"/>
    </row>
    <row r="320" spans="1:11" x14ac:dyDescent="0.25">
      <c r="A320" s="61">
        <v>42594</v>
      </c>
      <c r="B320" s="26" t="s">
        <v>40</v>
      </c>
      <c r="C320" s="26" t="s">
        <v>374</v>
      </c>
      <c r="D320" s="8">
        <v>1000</v>
      </c>
      <c r="E320" s="8"/>
      <c r="F320" s="8">
        <f t="shared" si="4"/>
        <v>140889</v>
      </c>
      <c r="G320" s="26"/>
    </row>
    <row r="321" spans="1:7" ht="30" x14ac:dyDescent="0.25">
      <c r="A321" s="61">
        <v>42594</v>
      </c>
      <c r="B321" s="26" t="s">
        <v>23</v>
      </c>
      <c r="C321" s="87" t="s">
        <v>375</v>
      </c>
      <c r="D321" s="8">
        <v>6120</v>
      </c>
      <c r="E321" s="8"/>
      <c r="F321" s="8">
        <f t="shared" si="4"/>
        <v>134769</v>
      </c>
      <c r="G321" s="26"/>
    </row>
    <row r="322" spans="1:7" x14ac:dyDescent="0.25">
      <c r="A322" s="61">
        <v>42594</v>
      </c>
      <c r="B322" s="26" t="s">
        <v>119</v>
      </c>
      <c r="C322" s="26" t="s">
        <v>376</v>
      </c>
      <c r="D322" s="8">
        <v>860</v>
      </c>
      <c r="E322" s="8"/>
      <c r="F322" s="8">
        <f t="shared" si="4"/>
        <v>133909</v>
      </c>
      <c r="G322" s="26"/>
    </row>
    <row r="323" spans="1:7" x14ac:dyDescent="0.25">
      <c r="A323" s="61">
        <v>42594</v>
      </c>
      <c r="B323" s="26" t="s">
        <v>5</v>
      </c>
      <c r="C323" s="26" t="s">
        <v>381</v>
      </c>
      <c r="D323" s="8">
        <v>900</v>
      </c>
      <c r="E323" s="8"/>
      <c r="F323" s="8">
        <f t="shared" ref="F323:F386" si="5">F322-D323+E323</f>
        <v>133009</v>
      </c>
      <c r="G323" s="26"/>
    </row>
    <row r="324" spans="1:7" x14ac:dyDescent="0.25">
      <c r="A324" s="61">
        <v>42594</v>
      </c>
      <c r="B324" s="26" t="s">
        <v>379</v>
      </c>
      <c r="C324" s="26" t="s">
        <v>380</v>
      </c>
      <c r="D324" s="8">
        <v>1000</v>
      </c>
      <c r="E324" s="8"/>
      <c r="F324" s="8">
        <f t="shared" si="5"/>
        <v>132009</v>
      </c>
      <c r="G324" s="26"/>
    </row>
    <row r="325" spans="1:7" x14ac:dyDescent="0.25">
      <c r="A325" s="61">
        <v>42594</v>
      </c>
      <c r="B325" s="26" t="s">
        <v>119</v>
      </c>
      <c r="C325" s="26" t="s">
        <v>382</v>
      </c>
      <c r="D325" s="8">
        <v>30</v>
      </c>
      <c r="E325" s="8"/>
      <c r="F325" s="8">
        <f t="shared" si="5"/>
        <v>131979</v>
      </c>
      <c r="G325" s="26"/>
    </row>
    <row r="326" spans="1:7" x14ac:dyDescent="0.25">
      <c r="A326" s="61">
        <v>42594</v>
      </c>
      <c r="B326" s="26" t="s">
        <v>23</v>
      </c>
      <c r="C326" s="26" t="s">
        <v>439</v>
      </c>
      <c r="D326" s="8">
        <v>10000</v>
      </c>
      <c r="E326" s="8"/>
      <c r="F326" s="8">
        <f t="shared" si="5"/>
        <v>121979</v>
      </c>
      <c r="G326" s="26"/>
    </row>
    <row r="327" spans="1:7" x14ac:dyDescent="0.25">
      <c r="A327" s="61">
        <v>42594</v>
      </c>
      <c r="B327" s="26" t="s">
        <v>17</v>
      </c>
      <c r="C327" s="26" t="s">
        <v>383</v>
      </c>
      <c r="D327" s="8">
        <v>6000</v>
      </c>
      <c r="E327" s="8"/>
      <c r="F327" s="8">
        <f t="shared" si="5"/>
        <v>115979</v>
      </c>
      <c r="G327" s="26"/>
    </row>
    <row r="328" spans="1:7" x14ac:dyDescent="0.25">
      <c r="A328" s="61">
        <v>42594</v>
      </c>
      <c r="B328" s="26" t="s">
        <v>119</v>
      </c>
      <c r="C328" s="26" t="s">
        <v>384</v>
      </c>
      <c r="D328" s="8">
        <v>250</v>
      </c>
      <c r="E328" s="8"/>
      <c r="F328" s="8">
        <f t="shared" si="5"/>
        <v>115729</v>
      </c>
      <c r="G328" s="26"/>
    </row>
    <row r="329" spans="1:7" x14ac:dyDescent="0.25">
      <c r="A329" s="61">
        <v>42594</v>
      </c>
      <c r="B329" s="26" t="s">
        <v>5</v>
      </c>
      <c r="C329" s="26" t="s">
        <v>385</v>
      </c>
      <c r="D329" s="8">
        <v>570</v>
      </c>
      <c r="E329" s="8"/>
      <c r="F329" s="8">
        <f t="shared" si="5"/>
        <v>115159</v>
      </c>
      <c r="G329" s="26"/>
    </row>
    <row r="330" spans="1:7" x14ac:dyDescent="0.25">
      <c r="A330" s="61">
        <v>42594</v>
      </c>
      <c r="B330" s="26" t="s">
        <v>26</v>
      </c>
      <c r="C330" s="26" t="s">
        <v>387</v>
      </c>
      <c r="D330" s="8">
        <v>70</v>
      </c>
      <c r="E330" s="8"/>
      <c r="F330" s="8">
        <f t="shared" si="5"/>
        <v>115089</v>
      </c>
      <c r="G330" s="26"/>
    </row>
    <row r="331" spans="1:7" x14ac:dyDescent="0.25">
      <c r="A331" s="61">
        <v>42594</v>
      </c>
      <c r="B331" s="26" t="s">
        <v>118</v>
      </c>
      <c r="C331" s="26" t="s">
        <v>386</v>
      </c>
      <c r="D331" s="8">
        <v>750</v>
      </c>
      <c r="E331" s="8"/>
      <c r="F331" s="8">
        <f t="shared" si="5"/>
        <v>114339</v>
      </c>
      <c r="G331" s="26"/>
    </row>
    <row r="332" spans="1:7" x14ac:dyDescent="0.25">
      <c r="A332" s="61">
        <v>42594</v>
      </c>
      <c r="B332" s="26" t="s">
        <v>30</v>
      </c>
      <c r="C332" s="26" t="s">
        <v>259</v>
      </c>
      <c r="D332" s="8">
        <v>2000</v>
      </c>
      <c r="E332" s="8"/>
      <c r="F332" s="8">
        <f t="shared" si="5"/>
        <v>112339</v>
      </c>
      <c r="G332" s="26"/>
    </row>
    <row r="333" spans="1:7" x14ac:dyDescent="0.25">
      <c r="A333" s="61">
        <v>42595</v>
      </c>
      <c r="B333" s="26" t="s">
        <v>155</v>
      </c>
      <c r="C333" s="26" t="s">
        <v>388</v>
      </c>
      <c r="D333" s="8">
        <v>3383</v>
      </c>
      <c r="E333" s="8"/>
      <c r="F333" s="8">
        <f t="shared" si="5"/>
        <v>108956</v>
      </c>
      <c r="G333" s="26"/>
    </row>
    <row r="334" spans="1:7" x14ac:dyDescent="0.25">
      <c r="A334" s="61">
        <v>42595</v>
      </c>
      <c r="B334" s="26" t="s">
        <v>182</v>
      </c>
      <c r="C334" s="26" t="s">
        <v>389</v>
      </c>
      <c r="D334" s="8">
        <v>2900</v>
      </c>
      <c r="E334" s="8"/>
      <c r="F334" s="8">
        <f t="shared" si="5"/>
        <v>106056</v>
      </c>
      <c r="G334" s="26"/>
    </row>
    <row r="335" spans="1:7" x14ac:dyDescent="0.25">
      <c r="A335" s="61">
        <v>42595</v>
      </c>
      <c r="B335" s="26" t="s">
        <v>26</v>
      </c>
      <c r="C335" s="26" t="s">
        <v>390</v>
      </c>
      <c r="D335" s="8">
        <v>50</v>
      </c>
      <c r="E335" s="8"/>
      <c r="F335" s="8">
        <f t="shared" si="5"/>
        <v>106006</v>
      </c>
      <c r="G335" s="26"/>
    </row>
    <row r="336" spans="1:7" x14ac:dyDescent="0.25">
      <c r="A336" s="61">
        <v>42595</v>
      </c>
      <c r="B336" s="26" t="s">
        <v>5</v>
      </c>
      <c r="C336" s="26" t="s">
        <v>391</v>
      </c>
      <c r="D336" s="8">
        <v>8000</v>
      </c>
      <c r="E336" s="8"/>
      <c r="F336" s="8">
        <f t="shared" si="5"/>
        <v>98006</v>
      </c>
      <c r="G336" s="26"/>
    </row>
    <row r="337" spans="1:7" x14ac:dyDescent="0.25">
      <c r="A337" s="61">
        <v>42595</v>
      </c>
      <c r="B337" s="26" t="s">
        <v>40</v>
      </c>
      <c r="C337" s="26" t="s">
        <v>32</v>
      </c>
      <c r="D337" s="8">
        <v>1000</v>
      </c>
      <c r="E337" s="8"/>
      <c r="F337" s="8">
        <f t="shared" si="5"/>
        <v>97006</v>
      </c>
      <c r="G337" s="26"/>
    </row>
    <row r="338" spans="1:7" x14ac:dyDescent="0.25">
      <c r="A338" s="61">
        <v>42595</v>
      </c>
      <c r="B338" s="26" t="s">
        <v>5</v>
      </c>
      <c r="C338" s="26" t="s">
        <v>78</v>
      </c>
      <c r="D338" s="8">
        <v>2100</v>
      </c>
      <c r="E338" s="8"/>
      <c r="F338" s="8">
        <f t="shared" si="5"/>
        <v>94906</v>
      </c>
      <c r="G338" s="26"/>
    </row>
    <row r="339" spans="1:7" ht="30" x14ac:dyDescent="0.25">
      <c r="A339" s="61">
        <v>42595</v>
      </c>
      <c r="B339" s="26" t="s">
        <v>5</v>
      </c>
      <c r="C339" s="87" t="s">
        <v>393</v>
      </c>
      <c r="D339" s="8">
        <v>300</v>
      </c>
      <c r="E339" s="8"/>
      <c r="F339" s="8">
        <f t="shared" si="5"/>
        <v>94606</v>
      </c>
      <c r="G339" s="26"/>
    </row>
    <row r="340" spans="1:7" x14ac:dyDescent="0.25">
      <c r="A340" s="61">
        <v>42595</v>
      </c>
      <c r="B340" s="26" t="s">
        <v>26</v>
      </c>
      <c r="C340" s="26" t="s">
        <v>63</v>
      </c>
      <c r="D340" s="8">
        <v>190</v>
      </c>
      <c r="E340" s="8"/>
      <c r="F340" s="8">
        <f t="shared" si="5"/>
        <v>94416</v>
      </c>
      <c r="G340" s="26"/>
    </row>
    <row r="341" spans="1:7" x14ac:dyDescent="0.25">
      <c r="A341" s="61">
        <v>42595</v>
      </c>
      <c r="B341" s="26" t="s">
        <v>231</v>
      </c>
      <c r="C341" s="26" t="s">
        <v>78</v>
      </c>
      <c r="D341" s="8">
        <v>100</v>
      </c>
      <c r="E341" s="8"/>
      <c r="F341" s="8">
        <f t="shared" si="5"/>
        <v>94316</v>
      </c>
      <c r="G341" s="26"/>
    </row>
    <row r="342" spans="1:7" x14ac:dyDescent="0.25">
      <c r="A342" s="61">
        <v>42597</v>
      </c>
      <c r="B342" s="26" t="s">
        <v>161</v>
      </c>
      <c r="C342" s="26" t="s">
        <v>394</v>
      </c>
      <c r="D342" s="8">
        <v>3000</v>
      </c>
      <c r="E342" s="8"/>
      <c r="F342" s="8">
        <f t="shared" si="5"/>
        <v>91316</v>
      </c>
      <c r="G342" s="26"/>
    </row>
    <row r="343" spans="1:7" x14ac:dyDescent="0.25">
      <c r="A343" s="61">
        <v>42597</v>
      </c>
      <c r="B343" s="26" t="s">
        <v>165</v>
      </c>
      <c r="C343" s="26" t="s">
        <v>78</v>
      </c>
      <c r="D343" s="8">
        <v>10000</v>
      </c>
      <c r="E343" s="8"/>
      <c r="F343" s="8">
        <f t="shared" si="5"/>
        <v>81316</v>
      </c>
      <c r="G343" s="26"/>
    </row>
    <row r="344" spans="1:7" x14ac:dyDescent="0.25">
      <c r="A344" s="61">
        <v>42597</v>
      </c>
      <c r="B344" s="26" t="s">
        <v>26</v>
      </c>
      <c r="C344" s="26" t="s">
        <v>395</v>
      </c>
      <c r="D344" s="8">
        <v>45</v>
      </c>
      <c r="E344" s="8"/>
      <c r="F344" s="8">
        <f t="shared" si="5"/>
        <v>81271</v>
      </c>
      <c r="G344" s="26"/>
    </row>
    <row r="345" spans="1:7" x14ac:dyDescent="0.25">
      <c r="A345" s="61">
        <v>42597</v>
      </c>
      <c r="B345" s="26" t="s">
        <v>396</v>
      </c>
      <c r="C345" s="26" t="s">
        <v>397</v>
      </c>
      <c r="D345" s="8">
        <v>220</v>
      </c>
      <c r="E345" s="8"/>
      <c r="F345" s="8">
        <f t="shared" si="5"/>
        <v>81051</v>
      </c>
      <c r="G345" s="26"/>
    </row>
    <row r="346" spans="1:7" x14ac:dyDescent="0.25">
      <c r="A346" s="61">
        <v>42597</v>
      </c>
      <c r="B346" s="26" t="s">
        <v>128</v>
      </c>
      <c r="C346" s="26" t="s">
        <v>398</v>
      </c>
      <c r="D346" s="8">
        <v>2100</v>
      </c>
      <c r="E346" s="8"/>
      <c r="F346" s="8">
        <f t="shared" si="5"/>
        <v>78951</v>
      </c>
      <c r="G346" s="26"/>
    </row>
    <row r="347" spans="1:7" x14ac:dyDescent="0.25">
      <c r="A347" s="61">
        <v>42597</v>
      </c>
      <c r="B347" s="26" t="s">
        <v>128</v>
      </c>
      <c r="C347" s="26" t="s">
        <v>399</v>
      </c>
      <c r="D347" s="8">
        <v>2000</v>
      </c>
      <c r="E347" s="8"/>
      <c r="F347" s="8">
        <f t="shared" si="5"/>
        <v>76951</v>
      </c>
      <c r="G347" s="26"/>
    </row>
    <row r="348" spans="1:7" x14ac:dyDescent="0.25">
      <c r="A348" s="61">
        <v>42597</v>
      </c>
      <c r="B348" s="26" t="s">
        <v>4</v>
      </c>
      <c r="C348" s="26" t="s">
        <v>400</v>
      </c>
      <c r="D348" s="8">
        <v>10350</v>
      </c>
      <c r="E348" s="8"/>
      <c r="F348" s="8">
        <f t="shared" si="5"/>
        <v>66601</v>
      </c>
      <c r="G348" s="26"/>
    </row>
    <row r="349" spans="1:7" x14ac:dyDescent="0.25">
      <c r="A349" s="61">
        <v>42597</v>
      </c>
      <c r="B349" s="26" t="s">
        <v>121</v>
      </c>
      <c r="C349" s="26" t="s">
        <v>401</v>
      </c>
      <c r="D349" s="8">
        <v>200</v>
      </c>
      <c r="E349" s="8"/>
      <c r="F349" s="8">
        <f t="shared" si="5"/>
        <v>66401</v>
      </c>
      <c r="G349" s="26"/>
    </row>
    <row r="350" spans="1:7" x14ac:dyDescent="0.25">
      <c r="A350" s="61">
        <v>42597</v>
      </c>
      <c r="B350" s="26" t="s">
        <v>26</v>
      </c>
      <c r="C350" s="26" t="s">
        <v>402</v>
      </c>
      <c r="D350" s="8">
        <v>15</v>
      </c>
      <c r="E350" s="8"/>
      <c r="F350" s="8">
        <f t="shared" si="5"/>
        <v>66386</v>
      </c>
      <c r="G350" s="26"/>
    </row>
    <row r="351" spans="1:7" x14ac:dyDescent="0.25">
      <c r="A351" s="61">
        <v>42597</v>
      </c>
      <c r="B351" s="26" t="s">
        <v>26</v>
      </c>
      <c r="C351" s="26" t="s">
        <v>405</v>
      </c>
      <c r="D351" s="8">
        <f>132+90</f>
        <v>222</v>
      </c>
      <c r="E351" s="8"/>
      <c r="F351" s="8">
        <f t="shared" si="5"/>
        <v>66164</v>
      </c>
      <c r="G351" s="26"/>
    </row>
    <row r="352" spans="1:7" x14ac:dyDescent="0.25">
      <c r="A352" s="61">
        <v>42597</v>
      </c>
      <c r="B352" s="26" t="s">
        <v>403</v>
      </c>
      <c r="C352" s="26" t="s">
        <v>404</v>
      </c>
      <c r="D352" s="8">
        <v>15000</v>
      </c>
      <c r="E352" s="8"/>
      <c r="F352" s="8">
        <f t="shared" si="5"/>
        <v>51164</v>
      </c>
      <c r="G352" s="26"/>
    </row>
    <row r="353" spans="1:7" x14ac:dyDescent="0.25">
      <c r="A353" s="61">
        <v>42597</v>
      </c>
      <c r="B353" s="26" t="s">
        <v>5</v>
      </c>
      <c r="C353" s="26" t="s">
        <v>32</v>
      </c>
      <c r="D353" s="8">
        <v>1500</v>
      </c>
      <c r="E353" s="8"/>
      <c r="F353" s="8">
        <f t="shared" si="5"/>
        <v>49664</v>
      </c>
      <c r="G353" s="26"/>
    </row>
    <row r="354" spans="1:7" x14ac:dyDescent="0.25">
      <c r="A354" s="61">
        <v>42597</v>
      </c>
      <c r="B354" s="29" t="s">
        <v>77</v>
      </c>
      <c r="C354" s="29" t="s">
        <v>406</v>
      </c>
      <c r="D354" s="14">
        <v>1200</v>
      </c>
      <c r="E354" s="14"/>
      <c r="F354" s="8">
        <f t="shared" si="5"/>
        <v>48464</v>
      </c>
      <c r="G354" s="29"/>
    </row>
    <row r="355" spans="1:7" x14ac:dyDescent="0.25">
      <c r="A355" s="61">
        <v>42597</v>
      </c>
      <c r="B355" s="29" t="s">
        <v>161</v>
      </c>
      <c r="C355" s="29" t="s">
        <v>407</v>
      </c>
      <c r="D355" s="14">
        <v>3000</v>
      </c>
      <c r="E355" s="14"/>
      <c r="F355" s="8">
        <f t="shared" si="5"/>
        <v>45464</v>
      </c>
      <c r="G355" s="29"/>
    </row>
    <row r="356" spans="1:7" x14ac:dyDescent="0.25">
      <c r="A356" s="61">
        <v>42597</v>
      </c>
      <c r="B356" s="29" t="s">
        <v>30</v>
      </c>
      <c r="C356" s="29" t="s">
        <v>295</v>
      </c>
      <c r="D356" s="14">
        <v>30000</v>
      </c>
      <c r="E356" s="14"/>
      <c r="F356" s="8">
        <f t="shared" si="5"/>
        <v>15464</v>
      </c>
      <c r="G356" s="29"/>
    </row>
    <row r="357" spans="1:7" x14ac:dyDescent="0.25">
      <c r="A357" s="61">
        <v>42597</v>
      </c>
      <c r="B357" s="29" t="s">
        <v>40</v>
      </c>
      <c r="C357" s="29" t="s">
        <v>408</v>
      </c>
      <c r="D357" s="14">
        <v>1000</v>
      </c>
      <c r="E357" s="14"/>
      <c r="F357" s="8">
        <f t="shared" si="5"/>
        <v>14464</v>
      </c>
      <c r="G357" s="29"/>
    </row>
    <row r="358" spans="1:7" x14ac:dyDescent="0.25">
      <c r="A358" s="61">
        <v>42597</v>
      </c>
      <c r="B358" s="26" t="s">
        <v>25</v>
      </c>
      <c r="C358" s="26" t="s">
        <v>409</v>
      </c>
      <c r="D358" s="8">
        <v>700</v>
      </c>
      <c r="E358" s="8"/>
      <c r="F358" s="8">
        <f t="shared" si="5"/>
        <v>13764</v>
      </c>
      <c r="G358" s="26"/>
    </row>
    <row r="359" spans="1:7" x14ac:dyDescent="0.25">
      <c r="A359" s="55">
        <v>42598</v>
      </c>
      <c r="B359" s="462" t="s">
        <v>414</v>
      </c>
      <c r="C359" s="463"/>
      <c r="D359" s="71"/>
      <c r="E359" s="58">
        <v>100000</v>
      </c>
      <c r="F359" s="8">
        <f t="shared" si="5"/>
        <v>113764</v>
      </c>
      <c r="G359" s="29"/>
    </row>
    <row r="360" spans="1:7" x14ac:dyDescent="0.25">
      <c r="A360" s="61">
        <v>42598</v>
      </c>
      <c r="B360" s="26" t="s">
        <v>5</v>
      </c>
      <c r="C360" s="26" t="s">
        <v>32</v>
      </c>
      <c r="D360" s="8">
        <v>20000</v>
      </c>
      <c r="E360" s="8"/>
      <c r="F360" s="8">
        <f t="shared" si="5"/>
        <v>93764</v>
      </c>
      <c r="G360" s="26"/>
    </row>
    <row r="361" spans="1:7" x14ac:dyDescent="0.25">
      <c r="A361" s="61">
        <v>42598</v>
      </c>
      <c r="B361" s="26" t="s">
        <v>26</v>
      </c>
      <c r="C361" s="26" t="s">
        <v>410</v>
      </c>
      <c r="D361" s="8">
        <v>710</v>
      </c>
      <c r="E361" s="8"/>
      <c r="F361" s="8">
        <f t="shared" si="5"/>
        <v>93054</v>
      </c>
      <c r="G361" s="26"/>
    </row>
    <row r="362" spans="1:7" x14ac:dyDescent="0.25">
      <c r="A362" s="61">
        <v>42598</v>
      </c>
      <c r="B362" s="26" t="s">
        <v>161</v>
      </c>
      <c r="C362" s="26" t="s">
        <v>411</v>
      </c>
      <c r="D362" s="8">
        <v>3000</v>
      </c>
      <c r="E362" s="8"/>
      <c r="F362" s="8">
        <f t="shared" si="5"/>
        <v>90054</v>
      </c>
      <c r="G362" s="26"/>
    </row>
    <row r="363" spans="1:7" x14ac:dyDescent="0.25">
      <c r="A363" s="61">
        <v>42598</v>
      </c>
      <c r="B363" s="26" t="s">
        <v>26</v>
      </c>
      <c r="C363" s="26" t="s">
        <v>435</v>
      </c>
      <c r="D363" s="8">
        <v>400</v>
      </c>
      <c r="E363" s="8"/>
      <c r="F363" s="8">
        <f t="shared" si="5"/>
        <v>89654</v>
      </c>
      <c r="G363" s="26"/>
    </row>
    <row r="364" spans="1:7" x14ac:dyDescent="0.25">
      <c r="A364" s="61">
        <v>42598</v>
      </c>
      <c r="B364" s="26" t="s">
        <v>67</v>
      </c>
      <c r="C364" s="26" t="s">
        <v>412</v>
      </c>
      <c r="D364" s="8">
        <v>1670</v>
      </c>
      <c r="E364" s="8"/>
      <c r="F364" s="8">
        <f t="shared" si="5"/>
        <v>87984</v>
      </c>
      <c r="G364" s="26"/>
    </row>
    <row r="365" spans="1:7" x14ac:dyDescent="0.25">
      <c r="A365" s="61">
        <v>42598</v>
      </c>
      <c r="B365" s="26" t="s">
        <v>121</v>
      </c>
      <c r="C365" s="26" t="s">
        <v>32</v>
      </c>
      <c r="D365" s="8">
        <v>5000</v>
      </c>
      <c r="E365" s="8"/>
      <c r="F365" s="8">
        <f t="shared" si="5"/>
        <v>82984</v>
      </c>
      <c r="G365" s="26"/>
    </row>
    <row r="366" spans="1:7" x14ac:dyDescent="0.25">
      <c r="A366" s="61">
        <v>42598</v>
      </c>
      <c r="B366" s="26" t="s">
        <v>285</v>
      </c>
      <c r="C366" s="26" t="s">
        <v>413</v>
      </c>
      <c r="D366" s="8">
        <v>2000</v>
      </c>
      <c r="E366" s="8"/>
      <c r="F366" s="8">
        <f t="shared" si="5"/>
        <v>80984</v>
      </c>
      <c r="G366" s="26"/>
    </row>
    <row r="367" spans="1:7" x14ac:dyDescent="0.25">
      <c r="A367" s="61">
        <v>42598</v>
      </c>
      <c r="B367" s="26" t="s">
        <v>43</v>
      </c>
      <c r="C367" s="26" t="s">
        <v>32</v>
      </c>
      <c r="D367" s="8">
        <v>2000</v>
      </c>
      <c r="E367" s="8"/>
      <c r="F367" s="8">
        <f t="shared" si="5"/>
        <v>78984</v>
      </c>
      <c r="G367" s="26"/>
    </row>
    <row r="368" spans="1:7" x14ac:dyDescent="0.25">
      <c r="A368" s="61">
        <v>42598</v>
      </c>
      <c r="B368" s="26" t="s">
        <v>285</v>
      </c>
      <c r="C368" s="26" t="s">
        <v>415</v>
      </c>
      <c r="D368" s="8">
        <v>10000</v>
      </c>
      <c r="E368" s="8"/>
      <c r="F368" s="8">
        <f t="shared" si="5"/>
        <v>68984</v>
      </c>
      <c r="G368" s="26"/>
    </row>
    <row r="369" spans="1:7" x14ac:dyDescent="0.25">
      <c r="A369" s="61">
        <v>42598</v>
      </c>
      <c r="B369" s="26" t="s">
        <v>155</v>
      </c>
      <c r="C369" s="26" t="s">
        <v>416</v>
      </c>
      <c r="D369" s="8">
        <v>150</v>
      </c>
      <c r="E369" s="8"/>
      <c r="F369" s="8">
        <f t="shared" si="5"/>
        <v>68834</v>
      </c>
      <c r="G369" s="26"/>
    </row>
    <row r="370" spans="1:7" x14ac:dyDescent="0.25">
      <c r="A370" s="61">
        <v>42599</v>
      </c>
      <c r="B370" s="26" t="s">
        <v>26</v>
      </c>
      <c r="C370" s="26" t="s">
        <v>417</v>
      </c>
      <c r="D370" s="8">
        <v>1000</v>
      </c>
      <c r="E370" s="8"/>
      <c r="F370" s="8">
        <f t="shared" si="5"/>
        <v>67834</v>
      </c>
      <c r="G370" s="26"/>
    </row>
    <row r="371" spans="1:7" x14ac:dyDescent="0.25">
      <c r="A371" s="61">
        <v>42599</v>
      </c>
      <c r="B371" s="26" t="s">
        <v>26</v>
      </c>
      <c r="C371" s="26" t="s">
        <v>418</v>
      </c>
      <c r="D371" s="8">
        <v>805</v>
      </c>
      <c r="E371" s="8"/>
      <c r="F371" s="8">
        <f t="shared" si="5"/>
        <v>67029</v>
      </c>
      <c r="G371" s="26"/>
    </row>
    <row r="372" spans="1:7" x14ac:dyDescent="0.25">
      <c r="A372" s="61">
        <v>42599</v>
      </c>
      <c r="B372" s="26" t="s">
        <v>419</v>
      </c>
      <c r="C372" s="26" t="s">
        <v>420</v>
      </c>
      <c r="D372" s="8">
        <v>400</v>
      </c>
      <c r="E372" s="8"/>
      <c r="F372" s="8">
        <f t="shared" si="5"/>
        <v>66629</v>
      </c>
      <c r="G372" s="26"/>
    </row>
    <row r="373" spans="1:7" x14ac:dyDescent="0.25">
      <c r="A373" s="61">
        <v>42599</v>
      </c>
      <c r="B373" s="26" t="s">
        <v>403</v>
      </c>
      <c r="C373" s="26" t="s">
        <v>421</v>
      </c>
      <c r="D373" s="8">
        <v>10000</v>
      </c>
      <c r="E373" s="8"/>
      <c r="F373" s="8">
        <f t="shared" si="5"/>
        <v>56629</v>
      </c>
      <c r="G373" s="26"/>
    </row>
    <row r="374" spans="1:7" x14ac:dyDescent="0.25">
      <c r="A374" s="61">
        <v>42599</v>
      </c>
      <c r="B374" s="26" t="s">
        <v>26</v>
      </c>
      <c r="C374" s="26" t="s">
        <v>52</v>
      </c>
      <c r="D374" s="8">
        <v>30</v>
      </c>
      <c r="E374" s="8"/>
      <c r="F374" s="8">
        <f t="shared" si="5"/>
        <v>56599</v>
      </c>
      <c r="G374" s="26"/>
    </row>
    <row r="375" spans="1:7" x14ac:dyDescent="0.25">
      <c r="A375" s="61">
        <v>42599</v>
      </c>
      <c r="B375" s="26" t="s">
        <v>107</v>
      </c>
      <c r="C375" s="26" t="s">
        <v>422</v>
      </c>
      <c r="D375" s="8">
        <v>30000</v>
      </c>
      <c r="E375" s="8"/>
      <c r="F375" s="8">
        <f t="shared" si="5"/>
        <v>26599</v>
      </c>
      <c r="G375" s="26"/>
    </row>
    <row r="376" spans="1:7" x14ac:dyDescent="0.25">
      <c r="A376" s="61">
        <v>42599</v>
      </c>
      <c r="B376" s="26" t="s">
        <v>107</v>
      </c>
      <c r="C376" s="26" t="s">
        <v>422</v>
      </c>
      <c r="D376" s="8">
        <v>10000</v>
      </c>
      <c r="E376" s="8"/>
      <c r="F376" s="8">
        <f t="shared" si="5"/>
        <v>16599</v>
      </c>
      <c r="G376" s="26"/>
    </row>
    <row r="377" spans="1:7" x14ac:dyDescent="0.25">
      <c r="A377" s="61">
        <v>42599</v>
      </c>
      <c r="B377" s="26" t="s">
        <v>161</v>
      </c>
      <c r="C377" s="26" t="s">
        <v>423</v>
      </c>
      <c r="D377" s="8">
        <v>1000</v>
      </c>
      <c r="E377" s="8"/>
      <c r="F377" s="8">
        <f t="shared" si="5"/>
        <v>15599</v>
      </c>
      <c r="G377" s="26"/>
    </row>
    <row r="378" spans="1:7" x14ac:dyDescent="0.25">
      <c r="A378" s="61">
        <v>42599</v>
      </c>
      <c r="B378" s="26" t="s">
        <v>161</v>
      </c>
      <c r="C378" s="26" t="s">
        <v>424</v>
      </c>
      <c r="D378" s="8">
        <v>5000</v>
      </c>
      <c r="E378" s="8"/>
      <c r="F378" s="8">
        <f t="shared" si="5"/>
        <v>10599</v>
      </c>
      <c r="G378" s="26"/>
    </row>
    <row r="379" spans="1:7" x14ac:dyDescent="0.25">
      <c r="A379" s="61">
        <v>42600</v>
      </c>
      <c r="B379" s="26" t="s">
        <v>43</v>
      </c>
      <c r="C379" s="26" t="s">
        <v>32</v>
      </c>
      <c r="D379" s="8">
        <v>2000</v>
      </c>
      <c r="E379" s="8"/>
      <c r="F379" s="8">
        <f t="shared" si="5"/>
        <v>8599</v>
      </c>
      <c r="G379" s="26"/>
    </row>
    <row r="380" spans="1:7" x14ac:dyDescent="0.25">
      <c r="A380" s="61">
        <v>42600</v>
      </c>
      <c r="B380" s="43" t="s">
        <v>107</v>
      </c>
      <c r="C380" s="43" t="s">
        <v>425</v>
      </c>
      <c r="D380" s="44"/>
      <c r="E380" s="44">
        <v>27000</v>
      </c>
      <c r="F380" s="8">
        <f t="shared" si="5"/>
        <v>35599</v>
      </c>
      <c r="G380" s="43"/>
    </row>
    <row r="381" spans="1:7" x14ac:dyDescent="0.25">
      <c r="A381" s="61">
        <v>42600</v>
      </c>
      <c r="B381" s="26" t="s">
        <v>107</v>
      </c>
      <c r="C381" s="26" t="s">
        <v>32</v>
      </c>
      <c r="D381" s="8">
        <v>1000</v>
      </c>
      <c r="E381" s="8"/>
      <c r="F381" s="8">
        <f t="shared" si="5"/>
        <v>34599</v>
      </c>
      <c r="G381" s="40"/>
    </row>
    <row r="382" spans="1:7" x14ac:dyDescent="0.25">
      <c r="A382" s="61">
        <v>42600</v>
      </c>
      <c r="B382" s="26" t="s">
        <v>107</v>
      </c>
      <c r="C382" s="26" t="s">
        <v>32</v>
      </c>
      <c r="D382" s="8">
        <v>3000</v>
      </c>
      <c r="E382" s="8"/>
      <c r="F382" s="8">
        <f t="shared" si="5"/>
        <v>31599</v>
      </c>
      <c r="G382" s="26"/>
    </row>
    <row r="383" spans="1:7" x14ac:dyDescent="0.25">
      <c r="A383" s="61">
        <v>42600</v>
      </c>
      <c r="B383" s="26" t="s">
        <v>161</v>
      </c>
      <c r="C383" s="26" t="s">
        <v>426</v>
      </c>
      <c r="D383" s="8">
        <v>3000</v>
      </c>
      <c r="E383" s="8"/>
      <c r="F383" s="8">
        <f t="shared" si="5"/>
        <v>28599</v>
      </c>
      <c r="G383" s="26"/>
    </row>
    <row r="384" spans="1:7" x14ac:dyDescent="0.25">
      <c r="A384" s="61">
        <v>42600</v>
      </c>
      <c r="B384" s="26" t="s">
        <v>17</v>
      </c>
      <c r="C384" s="26" t="s">
        <v>32</v>
      </c>
      <c r="D384" s="8">
        <v>7000</v>
      </c>
      <c r="E384" s="8"/>
      <c r="F384" s="8">
        <f t="shared" si="5"/>
        <v>21599</v>
      </c>
      <c r="G384" s="26"/>
    </row>
    <row r="385" spans="1:7" x14ac:dyDescent="0.25">
      <c r="A385" s="61">
        <v>42600</v>
      </c>
      <c r="B385" s="26" t="s">
        <v>26</v>
      </c>
      <c r="C385" s="26" t="s">
        <v>434</v>
      </c>
      <c r="D385" s="8">
        <v>150</v>
      </c>
      <c r="E385" s="8"/>
      <c r="F385" s="8">
        <f t="shared" si="5"/>
        <v>21449</v>
      </c>
      <c r="G385" s="26"/>
    </row>
    <row r="386" spans="1:7" x14ac:dyDescent="0.25">
      <c r="A386" s="55">
        <v>42600</v>
      </c>
      <c r="B386" s="462" t="s">
        <v>449</v>
      </c>
      <c r="C386" s="463"/>
      <c r="D386" s="71"/>
      <c r="E386" s="58">
        <v>100000</v>
      </c>
      <c r="F386" s="8">
        <f t="shared" si="5"/>
        <v>121449</v>
      </c>
      <c r="G386" s="26"/>
    </row>
    <row r="387" spans="1:7" x14ac:dyDescent="0.25">
      <c r="A387" s="61">
        <v>42600</v>
      </c>
      <c r="B387" s="26" t="s">
        <v>4</v>
      </c>
      <c r="C387" s="26" t="s">
        <v>427</v>
      </c>
      <c r="D387" s="8">
        <v>10350</v>
      </c>
      <c r="E387" s="8"/>
      <c r="F387" s="8">
        <f t="shared" ref="F387:F450" si="6">F386-D387+E387</f>
        <v>111099</v>
      </c>
      <c r="G387" s="26"/>
    </row>
    <row r="388" spans="1:7" ht="30" x14ac:dyDescent="0.25">
      <c r="A388" s="61">
        <v>42600</v>
      </c>
      <c r="B388" s="26" t="s">
        <v>428</v>
      </c>
      <c r="C388" s="87" t="s">
        <v>429</v>
      </c>
      <c r="D388" s="8">
        <v>51050</v>
      </c>
      <c r="E388" s="8"/>
      <c r="F388" s="8">
        <f t="shared" si="6"/>
        <v>60049</v>
      </c>
      <c r="G388" s="26"/>
    </row>
    <row r="389" spans="1:7" x14ac:dyDescent="0.25">
      <c r="A389" s="61">
        <v>42601</v>
      </c>
      <c r="B389" s="26" t="s">
        <v>177</v>
      </c>
      <c r="C389" s="26" t="s">
        <v>430</v>
      </c>
      <c r="D389" s="8">
        <v>10350</v>
      </c>
      <c r="E389" s="8"/>
      <c r="F389" s="8">
        <f t="shared" si="6"/>
        <v>49699</v>
      </c>
      <c r="G389" s="26"/>
    </row>
    <row r="390" spans="1:7" ht="30" x14ac:dyDescent="0.25">
      <c r="A390" s="61">
        <v>42601</v>
      </c>
      <c r="B390" s="26" t="s">
        <v>231</v>
      </c>
      <c r="C390" s="87" t="s">
        <v>444</v>
      </c>
      <c r="D390" s="8">
        <v>150</v>
      </c>
      <c r="E390" s="8"/>
      <c r="F390" s="8">
        <f t="shared" si="6"/>
        <v>49549</v>
      </c>
      <c r="G390" s="26"/>
    </row>
    <row r="391" spans="1:7" x14ac:dyDescent="0.25">
      <c r="A391" s="61">
        <v>42601</v>
      </c>
      <c r="B391" s="26" t="s">
        <v>67</v>
      </c>
      <c r="C391" s="26" t="s">
        <v>431</v>
      </c>
      <c r="D391" s="8">
        <v>3900</v>
      </c>
      <c r="E391" s="8"/>
      <c r="F391" s="8">
        <f t="shared" si="6"/>
        <v>45649</v>
      </c>
      <c r="G391" s="26"/>
    </row>
    <row r="392" spans="1:7" x14ac:dyDescent="0.25">
      <c r="A392" s="61">
        <v>42601</v>
      </c>
      <c r="B392" s="26" t="s">
        <v>26</v>
      </c>
      <c r="C392" s="26" t="s">
        <v>432</v>
      </c>
      <c r="D392" s="8">
        <v>122</v>
      </c>
      <c r="E392" s="8"/>
      <c r="F392" s="8">
        <f t="shared" si="6"/>
        <v>45527</v>
      </c>
      <c r="G392" s="26"/>
    </row>
    <row r="393" spans="1:7" x14ac:dyDescent="0.25">
      <c r="A393" s="61">
        <v>42601</v>
      </c>
      <c r="B393" s="26" t="s">
        <v>26</v>
      </c>
      <c r="C393" s="26" t="s">
        <v>433</v>
      </c>
      <c r="D393" s="8">
        <v>800</v>
      </c>
      <c r="E393" s="8"/>
      <c r="F393" s="8">
        <f t="shared" si="6"/>
        <v>44727</v>
      </c>
      <c r="G393" s="26"/>
    </row>
    <row r="394" spans="1:7" x14ac:dyDescent="0.25">
      <c r="A394" s="61">
        <v>42601</v>
      </c>
      <c r="B394" s="26" t="s">
        <v>231</v>
      </c>
      <c r="C394" s="26" t="s">
        <v>443</v>
      </c>
      <c r="D394" s="8">
        <v>2600</v>
      </c>
      <c r="E394" s="8"/>
      <c r="F394" s="8">
        <f t="shared" si="6"/>
        <v>42127</v>
      </c>
      <c r="G394" s="26"/>
    </row>
    <row r="395" spans="1:7" x14ac:dyDescent="0.25">
      <c r="A395" s="61">
        <v>42602</v>
      </c>
      <c r="B395" s="26" t="s">
        <v>43</v>
      </c>
      <c r="C395" s="26" t="s">
        <v>437</v>
      </c>
      <c r="D395" s="8">
        <v>4000</v>
      </c>
      <c r="E395" s="8"/>
      <c r="F395" s="8">
        <f t="shared" si="6"/>
        <v>38127</v>
      </c>
      <c r="G395" s="26"/>
    </row>
    <row r="396" spans="1:7" x14ac:dyDescent="0.25">
      <c r="A396" s="61">
        <v>42602</v>
      </c>
      <c r="B396" s="26" t="s">
        <v>10</v>
      </c>
      <c r="C396" s="26" t="s">
        <v>436</v>
      </c>
      <c r="D396" s="8">
        <v>2000</v>
      </c>
      <c r="E396" s="8"/>
      <c r="F396" s="8">
        <f t="shared" si="6"/>
        <v>36127</v>
      </c>
      <c r="G396" s="26"/>
    </row>
    <row r="397" spans="1:7" x14ac:dyDescent="0.25">
      <c r="A397" s="61">
        <v>42602</v>
      </c>
      <c r="B397" s="26" t="s">
        <v>10</v>
      </c>
      <c r="C397" s="26" t="s">
        <v>438</v>
      </c>
      <c r="D397" s="8">
        <v>408</v>
      </c>
      <c r="E397" s="8"/>
      <c r="F397" s="8">
        <f t="shared" si="6"/>
        <v>35719</v>
      </c>
      <c r="G397" s="26"/>
    </row>
    <row r="398" spans="1:7" x14ac:dyDescent="0.25">
      <c r="A398" s="61">
        <v>42602</v>
      </c>
      <c r="B398" s="26" t="s">
        <v>23</v>
      </c>
      <c r="C398" s="26" t="s">
        <v>321</v>
      </c>
      <c r="D398" s="8">
        <v>10000</v>
      </c>
      <c r="E398" s="8"/>
      <c r="F398" s="8">
        <f t="shared" si="6"/>
        <v>25719</v>
      </c>
      <c r="G398" s="26"/>
    </row>
    <row r="399" spans="1:7" x14ac:dyDescent="0.25">
      <c r="A399" s="61">
        <v>42602</v>
      </c>
      <c r="B399" s="26" t="s">
        <v>161</v>
      </c>
      <c r="C399" s="26" t="s">
        <v>441</v>
      </c>
      <c r="D399" s="8">
        <v>8000</v>
      </c>
      <c r="E399" s="8"/>
      <c r="F399" s="8">
        <f t="shared" si="6"/>
        <v>17719</v>
      </c>
      <c r="G399" s="26"/>
    </row>
    <row r="400" spans="1:7" x14ac:dyDescent="0.25">
      <c r="A400" s="61">
        <v>42602</v>
      </c>
      <c r="B400" s="26" t="s">
        <v>440</v>
      </c>
      <c r="C400" s="26" t="s">
        <v>442</v>
      </c>
      <c r="D400" s="8">
        <v>5200</v>
      </c>
      <c r="E400" s="8"/>
      <c r="F400" s="8">
        <f t="shared" si="6"/>
        <v>12519</v>
      </c>
      <c r="G400" s="26"/>
    </row>
    <row r="401" spans="1:7" x14ac:dyDescent="0.25">
      <c r="A401" s="61">
        <v>42602</v>
      </c>
      <c r="B401" s="26" t="s">
        <v>17</v>
      </c>
      <c r="C401" s="26" t="s">
        <v>445</v>
      </c>
      <c r="D401" s="8">
        <v>2000</v>
      </c>
      <c r="E401" s="8"/>
      <c r="F401" s="8">
        <f t="shared" si="6"/>
        <v>10519</v>
      </c>
      <c r="G401" s="26"/>
    </row>
    <row r="402" spans="1:7" x14ac:dyDescent="0.25">
      <c r="A402" s="61">
        <v>42602</v>
      </c>
      <c r="B402" s="29" t="s">
        <v>248</v>
      </c>
      <c r="C402" s="29" t="s">
        <v>447</v>
      </c>
      <c r="D402" s="14">
        <v>2025</v>
      </c>
      <c r="E402" s="14"/>
      <c r="F402" s="8">
        <f t="shared" si="6"/>
        <v>8494</v>
      </c>
      <c r="G402" s="26"/>
    </row>
    <row r="403" spans="1:7" x14ac:dyDescent="0.25">
      <c r="A403" s="61">
        <v>42602</v>
      </c>
      <c r="B403" s="26" t="s">
        <v>120</v>
      </c>
      <c r="C403" s="26" t="s">
        <v>295</v>
      </c>
      <c r="D403" s="8">
        <v>500</v>
      </c>
      <c r="E403" s="8"/>
      <c r="F403" s="8">
        <f t="shared" si="6"/>
        <v>7994</v>
      </c>
      <c r="G403" s="26"/>
    </row>
    <row r="404" spans="1:7" x14ac:dyDescent="0.25">
      <c r="A404" s="61">
        <v>42604</v>
      </c>
      <c r="B404" s="26" t="s">
        <v>17</v>
      </c>
      <c r="C404" s="26" t="s">
        <v>32</v>
      </c>
      <c r="D404" s="8">
        <v>2000</v>
      </c>
      <c r="E404" s="8"/>
      <c r="F404" s="8">
        <f t="shared" si="6"/>
        <v>5994</v>
      </c>
      <c r="G404" s="26"/>
    </row>
    <row r="405" spans="1:7" x14ac:dyDescent="0.25">
      <c r="A405" s="61">
        <v>42604</v>
      </c>
      <c r="B405" s="26" t="s">
        <v>26</v>
      </c>
      <c r="C405" s="26" t="s">
        <v>448</v>
      </c>
      <c r="D405" s="8">
        <v>330</v>
      </c>
      <c r="E405" s="8"/>
      <c r="F405" s="8">
        <f t="shared" si="6"/>
        <v>5664</v>
      </c>
      <c r="G405" s="26"/>
    </row>
    <row r="406" spans="1:7" x14ac:dyDescent="0.25">
      <c r="A406" s="61">
        <v>42604</v>
      </c>
      <c r="B406" s="26" t="s">
        <v>231</v>
      </c>
      <c r="C406" s="26" t="s">
        <v>32</v>
      </c>
      <c r="D406" s="8">
        <v>1000</v>
      </c>
      <c r="E406" s="8"/>
      <c r="F406" s="8">
        <f t="shared" si="6"/>
        <v>4664</v>
      </c>
      <c r="G406" s="26"/>
    </row>
    <row r="407" spans="1:7" x14ac:dyDescent="0.25">
      <c r="A407" s="55">
        <v>42604</v>
      </c>
      <c r="B407" s="462" t="s">
        <v>458</v>
      </c>
      <c r="C407" s="463"/>
      <c r="D407" s="71"/>
      <c r="E407" s="58">
        <v>100000</v>
      </c>
      <c r="F407" s="8">
        <f t="shared" si="6"/>
        <v>104664</v>
      </c>
      <c r="G407" s="26"/>
    </row>
    <row r="408" spans="1:7" x14ac:dyDescent="0.25">
      <c r="A408" s="61">
        <v>42604</v>
      </c>
      <c r="B408" s="26" t="s">
        <v>26</v>
      </c>
      <c r="C408" s="26" t="s">
        <v>450</v>
      </c>
      <c r="D408" s="8">
        <v>350</v>
      </c>
      <c r="E408" s="8"/>
      <c r="F408" s="8">
        <f t="shared" si="6"/>
        <v>104314</v>
      </c>
      <c r="G408" s="26"/>
    </row>
    <row r="409" spans="1:7" ht="30" x14ac:dyDescent="0.25">
      <c r="A409" s="61">
        <v>42604</v>
      </c>
      <c r="B409" s="29" t="s">
        <v>103</v>
      </c>
      <c r="C409" s="89" t="s">
        <v>472</v>
      </c>
      <c r="D409" s="14">
        <v>4900</v>
      </c>
      <c r="E409" s="14"/>
      <c r="F409" s="8">
        <f t="shared" si="6"/>
        <v>99414</v>
      </c>
      <c r="G409" s="26"/>
    </row>
    <row r="410" spans="1:7" x14ac:dyDescent="0.25">
      <c r="A410" s="61">
        <v>42604</v>
      </c>
      <c r="B410" s="26" t="s">
        <v>120</v>
      </c>
      <c r="C410" s="26" t="s">
        <v>32</v>
      </c>
      <c r="D410" s="8">
        <v>5000</v>
      </c>
      <c r="E410" s="8"/>
      <c r="F410" s="8">
        <f t="shared" si="6"/>
        <v>94414</v>
      </c>
      <c r="G410" s="26"/>
    </row>
    <row r="411" spans="1:7" x14ac:dyDescent="0.25">
      <c r="A411" s="61">
        <v>42604</v>
      </c>
      <c r="B411" s="26" t="s">
        <v>119</v>
      </c>
      <c r="C411" s="26" t="s">
        <v>453</v>
      </c>
      <c r="D411" s="8">
        <v>50</v>
      </c>
      <c r="E411" s="8"/>
      <c r="F411" s="8">
        <f t="shared" si="6"/>
        <v>94364</v>
      </c>
      <c r="G411" s="26"/>
    </row>
    <row r="412" spans="1:7" x14ac:dyDescent="0.25">
      <c r="A412" s="61">
        <v>42604</v>
      </c>
      <c r="B412" s="26" t="s">
        <v>26</v>
      </c>
      <c r="C412" s="26" t="s">
        <v>455</v>
      </c>
      <c r="D412" s="8">
        <v>270</v>
      </c>
      <c r="E412" s="8"/>
      <c r="F412" s="8">
        <f t="shared" si="6"/>
        <v>94094</v>
      </c>
      <c r="G412" s="26"/>
    </row>
    <row r="413" spans="1:7" x14ac:dyDescent="0.25">
      <c r="A413" s="61">
        <v>42604</v>
      </c>
      <c r="B413" s="26" t="s">
        <v>40</v>
      </c>
      <c r="C413" s="26" t="s">
        <v>468</v>
      </c>
      <c r="D413" s="8">
        <v>4000</v>
      </c>
      <c r="E413" s="8"/>
      <c r="F413" s="8">
        <f t="shared" si="6"/>
        <v>90094</v>
      </c>
      <c r="G413" s="26"/>
    </row>
    <row r="414" spans="1:7" x14ac:dyDescent="0.25">
      <c r="A414" s="61">
        <v>42604</v>
      </c>
      <c r="B414" s="26" t="s">
        <v>105</v>
      </c>
      <c r="C414" s="26" t="s">
        <v>451</v>
      </c>
      <c r="D414" s="8">
        <v>450</v>
      </c>
      <c r="E414" s="8"/>
      <c r="F414" s="8">
        <f t="shared" si="6"/>
        <v>89644</v>
      </c>
      <c r="G414" s="26"/>
    </row>
    <row r="415" spans="1:7" x14ac:dyDescent="0.25">
      <c r="A415" s="61">
        <v>42605</v>
      </c>
      <c r="B415" s="26" t="s">
        <v>26</v>
      </c>
      <c r="C415" s="26" t="s">
        <v>452</v>
      </c>
      <c r="D415" s="8">
        <v>90</v>
      </c>
      <c r="E415" s="8"/>
      <c r="F415" s="8">
        <f t="shared" si="6"/>
        <v>89554</v>
      </c>
      <c r="G415" s="26"/>
    </row>
    <row r="416" spans="1:7" x14ac:dyDescent="0.25">
      <c r="A416" s="61">
        <v>42605</v>
      </c>
      <c r="B416" s="26" t="s">
        <v>26</v>
      </c>
      <c r="C416" s="29" t="s">
        <v>454</v>
      </c>
      <c r="D416" s="14">
        <v>1700</v>
      </c>
      <c r="E416" s="8"/>
      <c r="F416" s="8">
        <f t="shared" si="6"/>
        <v>87854</v>
      </c>
      <c r="G416" s="26"/>
    </row>
    <row r="417" spans="1:7" x14ac:dyDescent="0.25">
      <c r="A417" s="61">
        <v>42605</v>
      </c>
      <c r="B417" s="26" t="s">
        <v>26</v>
      </c>
      <c r="C417" s="29" t="s">
        <v>454</v>
      </c>
      <c r="D417" s="8">
        <v>582</v>
      </c>
      <c r="E417" s="8"/>
      <c r="F417" s="8">
        <f t="shared" si="6"/>
        <v>87272</v>
      </c>
      <c r="G417" s="26"/>
    </row>
    <row r="418" spans="1:7" x14ac:dyDescent="0.25">
      <c r="A418" s="61">
        <v>42605</v>
      </c>
      <c r="B418" s="26" t="s">
        <v>26</v>
      </c>
      <c r="C418" s="29" t="s">
        <v>454</v>
      </c>
      <c r="D418" s="8">
        <v>27</v>
      </c>
      <c r="E418" s="8"/>
      <c r="F418" s="8">
        <f t="shared" si="6"/>
        <v>87245</v>
      </c>
      <c r="G418" s="26"/>
    </row>
    <row r="419" spans="1:7" x14ac:dyDescent="0.25">
      <c r="A419" s="61">
        <v>42605</v>
      </c>
      <c r="B419" s="26" t="s">
        <v>43</v>
      </c>
      <c r="C419" s="29" t="s">
        <v>475</v>
      </c>
      <c r="D419" s="8">
        <v>5000</v>
      </c>
      <c r="E419" s="8"/>
      <c r="F419" s="8">
        <f t="shared" si="6"/>
        <v>82245</v>
      </c>
      <c r="G419" s="26"/>
    </row>
    <row r="420" spans="1:7" x14ac:dyDescent="0.25">
      <c r="A420" s="61">
        <v>42605</v>
      </c>
      <c r="B420" s="26" t="s">
        <v>123</v>
      </c>
      <c r="C420" s="26" t="s">
        <v>460</v>
      </c>
      <c r="D420" s="8">
        <v>8300</v>
      </c>
      <c r="E420" s="8"/>
      <c r="F420" s="8">
        <f t="shared" si="6"/>
        <v>73945</v>
      </c>
      <c r="G420" s="26"/>
    </row>
    <row r="421" spans="1:7" x14ac:dyDescent="0.25">
      <c r="A421" s="61">
        <v>42605</v>
      </c>
      <c r="B421" s="26" t="s">
        <v>5</v>
      </c>
      <c r="C421" s="26" t="s">
        <v>32</v>
      </c>
      <c r="D421" s="8">
        <v>2000</v>
      </c>
      <c r="E421" s="8"/>
      <c r="F421" s="8">
        <f t="shared" si="6"/>
        <v>71945</v>
      </c>
      <c r="G421" s="26"/>
    </row>
    <row r="422" spans="1:7" x14ac:dyDescent="0.25">
      <c r="A422" s="61">
        <v>42606</v>
      </c>
      <c r="B422" s="26" t="s">
        <v>165</v>
      </c>
      <c r="C422" s="26" t="s">
        <v>32</v>
      </c>
      <c r="D422" s="8">
        <v>5000</v>
      </c>
      <c r="E422" s="8"/>
      <c r="F422" s="8">
        <f t="shared" si="6"/>
        <v>66945</v>
      </c>
      <c r="G422" s="26"/>
    </row>
    <row r="423" spans="1:7" x14ac:dyDescent="0.25">
      <c r="A423" s="61">
        <v>42606</v>
      </c>
      <c r="B423" s="26" t="s">
        <v>456</v>
      </c>
      <c r="C423" s="26" t="s">
        <v>457</v>
      </c>
      <c r="D423" s="8">
        <v>2000</v>
      </c>
      <c r="E423" s="8"/>
      <c r="F423" s="8">
        <f t="shared" si="6"/>
        <v>64945</v>
      </c>
      <c r="G423" s="26"/>
    </row>
    <row r="424" spans="1:7" x14ac:dyDescent="0.25">
      <c r="A424" s="61">
        <v>42606</v>
      </c>
      <c r="B424" s="26" t="s">
        <v>5</v>
      </c>
      <c r="C424" s="26" t="s">
        <v>32</v>
      </c>
      <c r="D424" s="8">
        <v>7000</v>
      </c>
      <c r="E424" s="8"/>
      <c r="F424" s="8">
        <f t="shared" si="6"/>
        <v>57945</v>
      </c>
      <c r="G424" s="26"/>
    </row>
    <row r="425" spans="1:7" x14ac:dyDescent="0.25">
      <c r="A425" s="61">
        <v>42606</v>
      </c>
      <c r="B425" s="26" t="s">
        <v>161</v>
      </c>
      <c r="C425" s="26" t="s">
        <v>459</v>
      </c>
      <c r="D425" s="8">
        <v>4000</v>
      </c>
      <c r="E425" s="8"/>
      <c r="F425" s="8">
        <f t="shared" si="6"/>
        <v>53945</v>
      </c>
      <c r="G425" s="26"/>
    </row>
    <row r="426" spans="1:7" x14ac:dyDescent="0.25">
      <c r="A426" s="61">
        <v>42606</v>
      </c>
      <c r="B426" s="26" t="s">
        <v>231</v>
      </c>
      <c r="C426" s="26" t="s">
        <v>461</v>
      </c>
      <c r="D426" s="8">
        <v>400</v>
      </c>
      <c r="E426" s="8"/>
      <c r="F426" s="8">
        <f t="shared" si="6"/>
        <v>53545</v>
      </c>
      <c r="G426" s="26"/>
    </row>
    <row r="427" spans="1:7" x14ac:dyDescent="0.25">
      <c r="A427" s="61">
        <v>42606</v>
      </c>
      <c r="B427" s="26" t="s">
        <v>17</v>
      </c>
      <c r="C427" s="26" t="s">
        <v>32</v>
      </c>
      <c r="D427" s="8">
        <v>1500</v>
      </c>
      <c r="E427" s="8"/>
      <c r="F427" s="8">
        <f t="shared" si="6"/>
        <v>52045</v>
      </c>
      <c r="G427" s="26"/>
    </row>
    <row r="428" spans="1:7" x14ac:dyDescent="0.25">
      <c r="A428" s="61">
        <v>42606</v>
      </c>
      <c r="B428" s="26" t="s">
        <v>119</v>
      </c>
      <c r="C428" s="26" t="s">
        <v>462</v>
      </c>
      <c r="D428" s="8">
        <v>130</v>
      </c>
      <c r="E428" s="8"/>
      <c r="F428" s="8">
        <f t="shared" si="6"/>
        <v>51915</v>
      </c>
      <c r="G428" s="26"/>
    </row>
    <row r="429" spans="1:7" x14ac:dyDescent="0.25">
      <c r="A429" s="61">
        <v>42606</v>
      </c>
      <c r="B429" s="26" t="s">
        <v>107</v>
      </c>
      <c r="C429" s="26" t="s">
        <v>463</v>
      </c>
      <c r="D429" s="8">
        <v>35000</v>
      </c>
      <c r="E429" s="8"/>
      <c r="F429" s="8">
        <f t="shared" si="6"/>
        <v>16915</v>
      </c>
      <c r="G429" s="26"/>
    </row>
    <row r="430" spans="1:7" x14ac:dyDescent="0.25">
      <c r="A430" s="61">
        <v>42606</v>
      </c>
      <c r="B430" s="26" t="s">
        <v>107</v>
      </c>
      <c r="C430" s="26" t="s">
        <v>464</v>
      </c>
      <c r="D430" s="8">
        <v>10000</v>
      </c>
      <c r="E430" s="8"/>
      <c r="F430" s="8">
        <f t="shared" si="6"/>
        <v>6915</v>
      </c>
      <c r="G430" s="26"/>
    </row>
    <row r="431" spans="1:7" x14ac:dyDescent="0.25">
      <c r="A431" s="55">
        <v>42606</v>
      </c>
      <c r="B431" s="462" t="s">
        <v>465</v>
      </c>
      <c r="C431" s="463"/>
      <c r="D431" s="71"/>
      <c r="E431" s="58">
        <v>100000</v>
      </c>
      <c r="F431" s="8">
        <f t="shared" si="6"/>
        <v>106915</v>
      </c>
      <c r="G431" s="26"/>
    </row>
    <row r="432" spans="1:7" x14ac:dyDescent="0.25">
      <c r="A432" s="61">
        <v>42606</v>
      </c>
      <c r="B432" s="26" t="s">
        <v>107</v>
      </c>
      <c r="C432" s="26" t="s">
        <v>463</v>
      </c>
      <c r="D432" s="8">
        <v>52000</v>
      </c>
      <c r="E432" s="8"/>
      <c r="F432" s="8">
        <f t="shared" si="6"/>
        <v>54915</v>
      </c>
      <c r="G432" s="26"/>
    </row>
    <row r="433" spans="1:7" x14ac:dyDescent="0.25">
      <c r="A433" s="61">
        <v>42606</v>
      </c>
      <c r="B433" s="26" t="s">
        <v>165</v>
      </c>
      <c r="C433" s="26" t="s">
        <v>32</v>
      </c>
      <c r="D433" s="8">
        <v>20000</v>
      </c>
      <c r="E433" s="8"/>
      <c r="F433" s="8">
        <f t="shared" si="6"/>
        <v>34915</v>
      </c>
      <c r="G433" s="26"/>
    </row>
    <row r="434" spans="1:7" x14ac:dyDescent="0.25">
      <c r="A434" s="61">
        <v>42606</v>
      </c>
      <c r="B434" s="26" t="s">
        <v>107</v>
      </c>
      <c r="C434" s="26" t="s">
        <v>466</v>
      </c>
      <c r="D434" s="8">
        <v>1000</v>
      </c>
      <c r="E434" s="8"/>
      <c r="F434" s="8">
        <f t="shared" si="6"/>
        <v>33915</v>
      </c>
      <c r="G434" s="26"/>
    </row>
    <row r="435" spans="1:7" x14ac:dyDescent="0.25">
      <c r="A435" s="61">
        <v>42606</v>
      </c>
      <c r="B435" s="26" t="s">
        <v>40</v>
      </c>
      <c r="C435" s="26" t="s">
        <v>467</v>
      </c>
      <c r="D435" s="8">
        <v>220</v>
      </c>
      <c r="E435" s="8"/>
      <c r="F435" s="8">
        <f t="shared" si="6"/>
        <v>33695</v>
      </c>
      <c r="G435" s="26"/>
    </row>
    <row r="436" spans="1:7" x14ac:dyDescent="0.25">
      <c r="A436" s="61">
        <v>42606</v>
      </c>
      <c r="B436" s="26" t="s">
        <v>128</v>
      </c>
      <c r="C436" s="26" t="s">
        <v>34</v>
      </c>
      <c r="D436" s="8">
        <v>2100</v>
      </c>
      <c r="E436" s="8"/>
      <c r="F436" s="8">
        <f t="shared" si="6"/>
        <v>31595</v>
      </c>
      <c r="G436" s="26"/>
    </row>
    <row r="437" spans="1:7" ht="30" x14ac:dyDescent="0.25">
      <c r="A437" s="61">
        <v>42607</v>
      </c>
      <c r="B437" s="26" t="s">
        <v>40</v>
      </c>
      <c r="C437" s="87" t="s">
        <v>469</v>
      </c>
      <c r="D437" s="8">
        <v>1500</v>
      </c>
      <c r="E437" s="8"/>
      <c r="F437" s="8">
        <f t="shared" si="6"/>
        <v>30095</v>
      </c>
      <c r="G437" s="26"/>
    </row>
    <row r="438" spans="1:7" x14ac:dyDescent="0.25">
      <c r="A438" s="61">
        <v>42607</v>
      </c>
      <c r="B438" s="26" t="s">
        <v>26</v>
      </c>
      <c r="C438" s="87" t="s">
        <v>470</v>
      </c>
      <c r="D438" s="8">
        <v>100</v>
      </c>
      <c r="E438" s="8"/>
      <c r="F438" s="8">
        <f t="shared" si="6"/>
        <v>29995</v>
      </c>
      <c r="G438" s="26"/>
    </row>
    <row r="439" spans="1:7" x14ac:dyDescent="0.25">
      <c r="A439" s="61">
        <v>42607</v>
      </c>
      <c r="B439" s="29" t="s">
        <v>5</v>
      </c>
      <c r="C439" s="89" t="s">
        <v>484</v>
      </c>
      <c r="D439" s="14">
        <v>3600</v>
      </c>
      <c r="E439" s="14"/>
      <c r="F439" s="8">
        <f t="shared" si="6"/>
        <v>26395</v>
      </c>
      <c r="G439" s="26"/>
    </row>
    <row r="440" spans="1:7" x14ac:dyDescent="0.25">
      <c r="A440" s="61">
        <v>42607</v>
      </c>
      <c r="B440" s="26" t="s">
        <v>26</v>
      </c>
      <c r="C440" s="87" t="s">
        <v>471</v>
      </c>
      <c r="D440" s="8">
        <v>790</v>
      </c>
      <c r="E440" s="8"/>
      <c r="F440" s="8">
        <f t="shared" si="6"/>
        <v>25605</v>
      </c>
      <c r="G440" s="26"/>
    </row>
    <row r="441" spans="1:7" x14ac:dyDescent="0.25">
      <c r="A441" s="61">
        <v>42607</v>
      </c>
      <c r="B441" s="26" t="s">
        <v>294</v>
      </c>
      <c r="C441" s="87" t="s">
        <v>473</v>
      </c>
      <c r="D441" s="8">
        <v>7000</v>
      </c>
      <c r="E441" s="8"/>
      <c r="F441" s="8">
        <f t="shared" si="6"/>
        <v>18605</v>
      </c>
      <c r="G441" s="26"/>
    </row>
    <row r="442" spans="1:7" x14ac:dyDescent="0.25">
      <c r="A442" s="61">
        <v>42607</v>
      </c>
      <c r="B442" s="26" t="s">
        <v>26</v>
      </c>
      <c r="C442" s="87" t="s">
        <v>474</v>
      </c>
      <c r="D442" s="8">
        <f>15+19</f>
        <v>34</v>
      </c>
      <c r="E442" s="8"/>
      <c r="F442" s="8">
        <f t="shared" si="6"/>
        <v>18571</v>
      </c>
      <c r="G442" s="26"/>
    </row>
    <row r="443" spans="1:7" x14ac:dyDescent="0.25">
      <c r="A443" s="61">
        <v>42607</v>
      </c>
      <c r="B443" s="26" t="s">
        <v>26</v>
      </c>
      <c r="C443" s="87" t="s">
        <v>476</v>
      </c>
      <c r="D443" s="8">
        <v>40</v>
      </c>
      <c r="E443" s="8"/>
      <c r="F443" s="8">
        <f t="shared" si="6"/>
        <v>18531</v>
      </c>
      <c r="G443" s="26"/>
    </row>
    <row r="444" spans="1:7" x14ac:dyDescent="0.25">
      <c r="A444" s="55">
        <v>42607</v>
      </c>
      <c r="B444" s="462" t="s">
        <v>499</v>
      </c>
      <c r="C444" s="463"/>
      <c r="D444" s="71"/>
      <c r="E444" s="58">
        <v>100000</v>
      </c>
      <c r="F444" s="8">
        <f t="shared" si="6"/>
        <v>118531</v>
      </c>
      <c r="G444" s="26"/>
    </row>
    <row r="445" spans="1:7" x14ac:dyDescent="0.25">
      <c r="A445" s="61">
        <v>42607</v>
      </c>
      <c r="B445" s="26" t="s">
        <v>128</v>
      </c>
      <c r="C445" s="87" t="s">
        <v>477</v>
      </c>
      <c r="D445" s="8">
        <v>17500</v>
      </c>
      <c r="E445" s="8"/>
      <c r="F445" s="8">
        <f t="shared" si="6"/>
        <v>101031</v>
      </c>
      <c r="G445" s="26"/>
    </row>
    <row r="446" spans="1:7" x14ac:dyDescent="0.25">
      <c r="A446" s="61">
        <v>42607</v>
      </c>
      <c r="B446" s="26" t="s">
        <v>26</v>
      </c>
      <c r="C446" s="87" t="s">
        <v>402</v>
      </c>
      <c r="D446" s="8">
        <v>295</v>
      </c>
      <c r="E446" s="8"/>
      <c r="F446" s="8">
        <f t="shared" si="6"/>
        <v>100736</v>
      </c>
      <c r="G446" s="26"/>
    </row>
    <row r="447" spans="1:7" x14ac:dyDescent="0.25">
      <c r="A447" s="61">
        <v>42607</v>
      </c>
      <c r="B447" s="26" t="s">
        <v>161</v>
      </c>
      <c r="C447" s="87" t="s">
        <v>478</v>
      </c>
      <c r="D447" s="8">
        <v>10000</v>
      </c>
      <c r="E447" s="8"/>
      <c r="F447" s="8">
        <f t="shared" si="6"/>
        <v>90736</v>
      </c>
      <c r="G447" s="26"/>
    </row>
    <row r="448" spans="1:7" x14ac:dyDescent="0.25">
      <c r="A448" s="61">
        <v>42607</v>
      </c>
      <c r="B448" s="26" t="s">
        <v>368</v>
      </c>
      <c r="C448" s="87" t="s">
        <v>479</v>
      </c>
      <c r="D448" s="8">
        <v>10000</v>
      </c>
      <c r="E448" s="8"/>
      <c r="F448" s="8">
        <f t="shared" si="6"/>
        <v>80736</v>
      </c>
      <c r="G448" s="26"/>
    </row>
    <row r="449" spans="1:7" x14ac:dyDescent="0.25">
      <c r="A449" s="61">
        <v>42608</v>
      </c>
      <c r="B449" s="26" t="s">
        <v>480</v>
      </c>
      <c r="C449" s="87" t="s">
        <v>481</v>
      </c>
      <c r="D449" s="8">
        <v>15000</v>
      </c>
      <c r="E449" s="8"/>
      <c r="F449" s="8">
        <f t="shared" si="6"/>
        <v>65736</v>
      </c>
      <c r="G449" s="26"/>
    </row>
    <row r="450" spans="1:7" x14ac:dyDescent="0.25">
      <c r="A450" s="61">
        <v>42608</v>
      </c>
      <c r="B450" s="26" t="s">
        <v>107</v>
      </c>
      <c r="C450" s="87" t="s">
        <v>482</v>
      </c>
      <c r="D450" s="8">
        <v>2000</v>
      </c>
      <c r="E450" s="8"/>
      <c r="F450" s="8">
        <f t="shared" si="6"/>
        <v>63736</v>
      </c>
      <c r="G450" s="26"/>
    </row>
    <row r="451" spans="1:7" x14ac:dyDescent="0.25">
      <c r="A451" s="61">
        <v>42608</v>
      </c>
      <c r="B451" s="26" t="s">
        <v>128</v>
      </c>
      <c r="C451" s="87" t="s">
        <v>483</v>
      </c>
      <c r="D451" s="8">
        <v>2000</v>
      </c>
      <c r="E451" s="8"/>
      <c r="F451" s="8">
        <f t="shared" ref="F451:F514" si="7">F450-D451+E451</f>
        <v>61736</v>
      </c>
      <c r="G451" s="26"/>
    </row>
    <row r="452" spans="1:7" x14ac:dyDescent="0.25">
      <c r="A452" s="61">
        <v>42608</v>
      </c>
      <c r="B452" s="26" t="s">
        <v>5</v>
      </c>
      <c r="C452" s="87" t="s">
        <v>32</v>
      </c>
      <c r="D452" s="8">
        <v>150</v>
      </c>
      <c r="E452" s="8"/>
      <c r="F452" s="8">
        <f t="shared" si="7"/>
        <v>61586</v>
      </c>
      <c r="G452" s="26"/>
    </row>
    <row r="453" spans="1:7" x14ac:dyDescent="0.25">
      <c r="A453" s="61">
        <v>42608</v>
      </c>
      <c r="B453" s="26" t="s">
        <v>104</v>
      </c>
      <c r="C453" s="87" t="s">
        <v>486</v>
      </c>
      <c r="D453" s="8">
        <v>340</v>
      </c>
      <c r="E453" s="8"/>
      <c r="F453" s="8">
        <f t="shared" si="7"/>
        <v>61246</v>
      </c>
      <c r="G453" s="26"/>
    </row>
    <row r="454" spans="1:7" x14ac:dyDescent="0.25">
      <c r="A454" s="61">
        <v>42608</v>
      </c>
      <c r="B454" s="26" t="s">
        <v>40</v>
      </c>
      <c r="C454" s="87" t="s">
        <v>485</v>
      </c>
      <c r="D454" s="8">
        <v>300</v>
      </c>
      <c r="E454" s="8"/>
      <c r="F454" s="8">
        <f t="shared" si="7"/>
        <v>60946</v>
      </c>
      <c r="G454" s="26"/>
    </row>
    <row r="455" spans="1:7" x14ac:dyDescent="0.25">
      <c r="A455" s="61">
        <v>42608</v>
      </c>
      <c r="B455" s="26" t="s">
        <v>248</v>
      </c>
      <c r="C455" s="87" t="s">
        <v>487</v>
      </c>
      <c r="D455" s="8">
        <v>500</v>
      </c>
      <c r="E455" s="8"/>
      <c r="F455" s="8">
        <f t="shared" si="7"/>
        <v>60446</v>
      </c>
      <c r="G455" s="26"/>
    </row>
    <row r="456" spans="1:7" x14ac:dyDescent="0.25">
      <c r="A456" s="61">
        <v>42608</v>
      </c>
      <c r="B456" s="29" t="s">
        <v>120</v>
      </c>
      <c r="C456" s="89" t="s">
        <v>202</v>
      </c>
      <c r="D456" s="14">
        <v>1000</v>
      </c>
      <c r="E456" s="14"/>
      <c r="F456" s="8">
        <f t="shared" si="7"/>
        <v>59446</v>
      </c>
      <c r="G456" s="29"/>
    </row>
    <row r="457" spans="1:7" x14ac:dyDescent="0.25">
      <c r="A457" s="61">
        <v>42608</v>
      </c>
      <c r="B457" s="26" t="s">
        <v>161</v>
      </c>
      <c r="C457" s="87" t="s">
        <v>426</v>
      </c>
      <c r="D457" s="8">
        <v>2000</v>
      </c>
      <c r="E457" s="8"/>
      <c r="F457" s="8">
        <f t="shared" si="7"/>
        <v>57446</v>
      </c>
      <c r="G457" s="26"/>
    </row>
    <row r="458" spans="1:7" x14ac:dyDescent="0.25">
      <c r="A458" s="61">
        <v>42609</v>
      </c>
      <c r="B458" s="26" t="s">
        <v>5</v>
      </c>
      <c r="C458" s="87" t="s">
        <v>488</v>
      </c>
      <c r="D458" s="8">
        <v>5000</v>
      </c>
      <c r="E458" s="57"/>
      <c r="F458" s="8">
        <f t="shared" si="7"/>
        <v>52446</v>
      </c>
      <c r="G458" s="26"/>
    </row>
    <row r="459" spans="1:7" x14ac:dyDescent="0.25">
      <c r="A459" s="61">
        <v>42609</v>
      </c>
      <c r="B459" s="26" t="s">
        <v>5</v>
      </c>
      <c r="C459" s="87" t="s">
        <v>489</v>
      </c>
      <c r="D459" s="8">
        <v>1200</v>
      </c>
      <c r="E459" s="8"/>
      <c r="F459" s="8">
        <f t="shared" si="7"/>
        <v>51246</v>
      </c>
      <c r="G459" s="26"/>
    </row>
    <row r="460" spans="1:7" x14ac:dyDescent="0.25">
      <c r="A460" s="61">
        <v>42609</v>
      </c>
      <c r="B460" s="26" t="s">
        <v>5</v>
      </c>
      <c r="C460" s="87" t="s">
        <v>490</v>
      </c>
      <c r="D460" s="8">
        <v>2000</v>
      </c>
      <c r="E460" s="8"/>
      <c r="F460" s="8">
        <f t="shared" si="7"/>
        <v>49246</v>
      </c>
      <c r="G460" s="73"/>
    </row>
    <row r="461" spans="1:7" x14ac:dyDescent="0.25">
      <c r="A461" s="61">
        <v>42609</v>
      </c>
      <c r="B461" s="26" t="s">
        <v>26</v>
      </c>
      <c r="C461" s="87" t="s">
        <v>491</v>
      </c>
      <c r="D461" s="8">
        <v>325</v>
      </c>
      <c r="E461" s="8"/>
      <c r="F461" s="8">
        <f t="shared" si="7"/>
        <v>48921</v>
      </c>
      <c r="G461" s="26"/>
    </row>
    <row r="462" spans="1:7" x14ac:dyDescent="0.25">
      <c r="A462" s="61">
        <v>42611</v>
      </c>
      <c r="B462" s="26" t="s">
        <v>123</v>
      </c>
      <c r="C462" s="87" t="s">
        <v>492</v>
      </c>
      <c r="D462" s="8">
        <v>5300</v>
      </c>
      <c r="E462" s="8"/>
      <c r="F462" s="8">
        <f t="shared" si="7"/>
        <v>43621</v>
      </c>
      <c r="G462" s="26"/>
    </row>
    <row r="463" spans="1:7" x14ac:dyDescent="0.25">
      <c r="A463" s="61">
        <v>42611</v>
      </c>
      <c r="B463" s="26" t="s">
        <v>5</v>
      </c>
      <c r="C463" s="87" t="s">
        <v>498</v>
      </c>
      <c r="D463" s="8">
        <v>12150</v>
      </c>
      <c r="E463" s="8"/>
      <c r="F463" s="8">
        <f t="shared" si="7"/>
        <v>31471</v>
      </c>
      <c r="G463" s="26"/>
    </row>
    <row r="464" spans="1:7" ht="75" x14ac:dyDescent="0.25">
      <c r="A464" s="61">
        <v>42611</v>
      </c>
      <c r="B464" s="26" t="s">
        <v>231</v>
      </c>
      <c r="C464" s="87" t="s">
        <v>493</v>
      </c>
      <c r="D464" s="8">
        <v>1400</v>
      </c>
      <c r="E464" s="8"/>
      <c r="F464" s="8">
        <f t="shared" si="7"/>
        <v>30071</v>
      </c>
      <c r="G464" s="26"/>
    </row>
    <row r="465" spans="1:7" x14ac:dyDescent="0.25">
      <c r="A465" s="61">
        <v>42611</v>
      </c>
      <c r="B465" s="26" t="s">
        <v>182</v>
      </c>
      <c r="C465" s="87" t="s">
        <v>494</v>
      </c>
      <c r="D465" s="8">
        <v>80</v>
      </c>
      <c r="E465" s="8"/>
      <c r="F465" s="8">
        <f t="shared" si="7"/>
        <v>29991</v>
      </c>
      <c r="G465" s="26"/>
    </row>
    <row r="466" spans="1:7" x14ac:dyDescent="0.25">
      <c r="A466" s="61">
        <v>42611</v>
      </c>
      <c r="B466" s="26" t="s">
        <v>155</v>
      </c>
      <c r="C466" s="87" t="s">
        <v>445</v>
      </c>
      <c r="D466" s="8">
        <v>3000</v>
      </c>
      <c r="E466" s="8"/>
      <c r="F466" s="8">
        <f t="shared" si="7"/>
        <v>26991</v>
      </c>
      <c r="G466" s="26"/>
    </row>
    <row r="467" spans="1:7" x14ac:dyDescent="0.25">
      <c r="A467" s="61">
        <v>42611</v>
      </c>
      <c r="B467" s="26" t="s">
        <v>38</v>
      </c>
      <c r="C467" s="87" t="s">
        <v>32</v>
      </c>
      <c r="D467" s="8">
        <v>4000</v>
      </c>
      <c r="E467" s="8"/>
      <c r="F467" s="8">
        <f t="shared" si="7"/>
        <v>22991</v>
      </c>
      <c r="G467" s="26"/>
    </row>
    <row r="468" spans="1:7" x14ac:dyDescent="0.25">
      <c r="A468" s="61">
        <v>42611</v>
      </c>
      <c r="B468" s="26" t="s">
        <v>26</v>
      </c>
      <c r="C468" s="87" t="s">
        <v>495</v>
      </c>
      <c r="D468" s="8">
        <f>40+25</f>
        <v>65</v>
      </c>
      <c r="E468" s="8"/>
      <c r="F468" s="8">
        <f t="shared" si="7"/>
        <v>22926</v>
      </c>
      <c r="G468" s="26"/>
    </row>
    <row r="469" spans="1:7" x14ac:dyDescent="0.25">
      <c r="A469" s="61">
        <v>42611</v>
      </c>
      <c r="B469" s="29" t="s">
        <v>231</v>
      </c>
      <c r="C469" s="89" t="s">
        <v>519</v>
      </c>
      <c r="D469" s="14">
        <v>13960</v>
      </c>
      <c r="E469" s="14"/>
      <c r="F469" s="8">
        <f t="shared" si="7"/>
        <v>8966</v>
      </c>
      <c r="G469" s="26"/>
    </row>
    <row r="470" spans="1:7" x14ac:dyDescent="0.25">
      <c r="A470" s="61">
        <v>42611</v>
      </c>
      <c r="B470" s="29" t="s">
        <v>231</v>
      </c>
      <c r="C470" s="89" t="s">
        <v>520</v>
      </c>
      <c r="D470" s="14">
        <v>4950</v>
      </c>
      <c r="E470" s="14"/>
      <c r="F470" s="8">
        <f t="shared" si="7"/>
        <v>4016</v>
      </c>
      <c r="G470" s="26"/>
    </row>
    <row r="471" spans="1:7" x14ac:dyDescent="0.25">
      <c r="A471" s="61">
        <v>42611</v>
      </c>
      <c r="B471" s="26" t="s">
        <v>5</v>
      </c>
      <c r="C471" s="87" t="s">
        <v>32</v>
      </c>
      <c r="D471" s="8">
        <v>2000</v>
      </c>
      <c r="E471" s="8"/>
      <c r="F471" s="8">
        <f t="shared" si="7"/>
        <v>2016</v>
      </c>
      <c r="G471" s="26"/>
    </row>
    <row r="472" spans="1:7" x14ac:dyDescent="0.25">
      <c r="A472" s="61">
        <v>42611</v>
      </c>
      <c r="B472" s="26" t="s">
        <v>155</v>
      </c>
      <c r="C472" s="87" t="s">
        <v>32</v>
      </c>
      <c r="D472" s="8">
        <v>2910</v>
      </c>
      <c r="E472" s="8"/>
      <c r="F472" s="8">
        <f t="shared" si="7"/>
        <v>-894</v>
      </c>
      <c r="G472" s="26"/>
    </row>
    <row r="473" spans="1:7" x14ac:dyDescent="0.25">
      <c r="A473" s="61">
        <v>42611</v>
      </c>
      <c r="B473" s="26" t="s">
        <v>26</v>
      </c>
      <c r="C473" s="87" t="s">
        <v>496</v>
      </c>
      <c r="D473" s="8">
        <v>70</v>
      </c>
      <c r="E473" s="8"/>
      <c r="F473" s="8">
        <f t="shared" si="7"/>
        <v>-964</v>
      </c>
      <c r="G473" s="26"/>
    </row>
    <row r="474" spans="1:7" x14ac:dyDescent="0.25">
      <c r="A474" s="61">
        <v>42611</v>
      </c>
      <c r="B474" s="26" t="s">
        <v>105</v>
      </c>
      <c r="C474" s="87" t="s">
        <v>497</v>
      </c>
      <c r="D474" s="8">
        <v>500</v>
      </c>
      <c r="E474" s="8"/>
      <c r="F474" s="8">
        <f t="shared" si="7"/>
        <v>-1464</v>
      </c>
      <c r="G474" s="26"/>
    </row>
    <row r="475" spans="1:7" x14ac:dyDescent="0.25">
      <c r="A475" s="61">
        <v>42612</v>
      </c>
      <c r="B475" s="26" t="s">
        <v>26</v>
      </c>
      <c r="C475" s="87" t="s">
        <v>167</v>
      </c>
      <c r="D475" s="8">
        <v>100</v>
      </c>
      <c r="E475" s="8"/>
      <c r="F475" s="8">
        <f t="shared" si="7"/>
        <v>-1564</v>
      </c>
      <c r="G475" s="26"/>
    </row>
    <row r="476" spans="1:7" x14ac:dyDescent="0.25">
      <c r="A476" s="55">
        <v>42612</v>
      </c>
      <c r="B476" s="462" t="s">
        <v>504</v>
      </c>
      <c r="C476" s="463"/>
      <c r="D476" s="71"/>
      <c r="E476" s="58">
        <v>100000</v>
      </c>
      <c r="F476" s="8">
        <f t="shared" si="7"/>
        <v>98436</v>
      </c>
      <c r="G476" s="26"/>
    </row>
    <row r="477" spans="1:7" x14ac:dyDescent="0.25">
      <c r="A477" s="61">
        <v>42612</v>
      </c>
      <c r="B477" s="26" t="s">
        <v>500</v>
      </c>
      <c r="C477" s="87" t="s">
        <v>501</v>
      </c>
      <c r="D477" s="8">
        <v>600</v>
      </c>
      <c r="E477" s="8"/>
      <c r="F477" s="8">
        <f t="shared" si="7"/>
        <v>97836</v>
      </c>
      <c r="G477" s="26"/>
    </row>
    <row r="478" spans="1:7" x14ac:dyDescent="0.25">
      <c r="A478" s="61">
        <v>42612</v>
      </c>
      <c r="B478" s="26" t="s">
        <v>43</v>
      </c>
      <c r="C478" s="87" t="s">
        <v>32</v>
      </c>
      <c r="D478" s="8">
        <v>1100</v>
      </c>
      <c r="E478" s="8"/>
      <c r="F478" s="8">
        <f t="shared" si="7"/>
        <v>96736</v>
      </c>
      <c r="G478" s="26"/>
    </row>
    <row r="479" spans="1:7" x14ac:dyDescent="0.25">
      <c r="A479" s="61">
        <v>42612</v>
      </c>
      <c r="B479" s="26" t="s">
        <v>165</v>
      </c>
      <c r="C479" s="87" t="s">
        <v>32</v>
      </c>
      <c r="D479" s="8">
        <v>10000</v>
      </c>
      <c r="E479" s="8"/>
      <c r="F479" s="8">
        <f t="shared" si="7"/>
        <v>86736</v>
      </c>
      <c r="G479" s="26"/>
    </row>
    <row r="480" spans="1:7" x14ac:dyDescent="0.25">
      <c r="A480" s="61">
        <v>42612</v>
      </c>
      <c r="B480" s="26" t="s">
        <v>5</v>
      </c>
      <c r="C480" s="87" t="s">
        <v>502</v>
      </c>
      <c r="D480" s="8">
        <v>4500</v>
      </c>
      <c r="E480" s="8"/>
      <c r="F480" s="8">
        <f t="shared" si="7"/>
        <v>82236</v>
      </c>
      <c r="G480" s="26"/>
    </row>
    <row r="481" spans="1:7" x14ac:dyDescent="0.25">
      <c r="A481" s="61">
        <v>42612</v>
      </c>
      <c r="B481" s="26" t="s">
        <v>161</v>
      </c>
      <c r="C481" s="87" t="s">
        <v>394</v>
      </c>
      <c r="D481" s="8">
        <v>2000</v>
      </c>
      <c r="E481" s="8"/>
      <c r="F481" s="8">
        <f t="shared" si="7"/>
        <v>80236</v>
      </c>
      <c r="G481" s="26"/>
    </row>
    <row r="482" spans="1:7" ht="30" x14ac:dyDescent="0.25">
      <c r="A482" s="61">
        <v>42612</v>
      </c>
      <c r="B482" s="26" t="s">
        <v>403</v>
      </c>
      <c r="C482" s="87" t="s">
        <v>503</v>
      </c>
      <c r="D482" s="8">
        <v>7000</v>
      </c>
      <c r="E482" s="8"/>
      <c r="F482" s="8">
        <f t="shared" si="7"/>
        <v>73236</v>
      </c>
      <c r="G482" s="26"/>
    </row>
    <row r="483" spans="1:7" x14ac:dyDescent="0.25">
      <c r="A483" s="61">
        <v>42612</v>
      </c>
      <c r="B483" s="26" t="s">
        <v>5</v>
      </c>
      <c r="C483" s="87" t="s">
        <v>32</v>
      </c>
      <c r="D483" s="8">
        <v>4000</v>
      </c>
      <c r="E483" s="8"/>
      <c r="F483" s="8">
        <f t="shared" si="7"/>
        <v>69236</v>
      </c>
      <c r="G483" s="26"/>
    </row>
    <row r="484" spans="1:7" x14ac:dyDescent="0.25">
      <c r="A484" s="61">
        <v>42612</v>
      </c>
      <c r="B484" s="26" t="s">
        <v>105</v>
      </c>
      <c r="C484" s="87" t="s">
        <v>505</v>
      </c>
      <c r="D484" s="8">
        <v>400</v>
      </c>
      <c r="E484" s="8"/>
      <c r="F484" s="8">
        <f t="shared" si="7"/>
        <v>68836</v>
      </c>
      <c r="G484" s="26"/>
    </row>
    <row r="485" spans="1:7" x14ac:dyDescent="0.25">
      <c r="A485" s="61">
        <v>42612</v>
      </c>
      <c r="B485" s="26" t="s">
        <v>161</v>
      </c>
      <c r="C485" s="87" t="s">
        <v>506</v>
      </c>
      <c r="D485" s="8">
        <v>5000</v>
      </c>
      <c r="E485" s="8"/>
      <c r="F485" s="8">
        <f t="shared" si="7"/>
        <v>63836</v>
      </c>
      <c r="G485" s="26"/>
    </row>
    <row r="486" spans="1:7" x14ac:dyDescent="0.25">
      <c r="A486" s="61">
        <v>42612</v>
      </c>
      <c r="B486" s="26" t="s">
        <v>26</v>
      </c>
      <c r="C486" s="87" t="s">
        <v>507</v>
      </c>
      <c r="D486" s="8">
        <v>100</v>
      </c>
      <c r="E486" s="8"/>
      <c r="F486" s="8">
        <f t="shared" si="7"/>
        <v>63736</v>
      </c>
      <c r="G486" s="26"/>
    </row>
    <row r="487" spans="1:7" x14ac:dyDescent="0.25">
      <c r="A487" s="61">
        <v>42612</v>
      </c>
      <c r="B487" s="26" t="s">
        <v>26</v>
      </c>
      <c r="C487" s="87" t="s">
        <v>508</v>
      </c>
      <c r="D487" s="8">
        <v>350</v>
      </c>
      <c r="E487" s="8"/>
      <c r="F487" s="8">
        <f t="shared" si="7"/>
        <v>63386</v>
      </c>
      <c r="G487" s="26"/>
    </row>
    <row r="488" spans="1:7" x14ac:dyDescent="0.25">
      <c r="A488" s="61">
        <v>42612</v>
      </c>
      <c r="B488" s="26" t="s">
        <v>509</v>
      </c>
      <c r="C488" s="87" t="s">
        <v>510</v>
      </c>
      <c r="D488" s="8">
        <v>14900</v>
      </c>
      <c r="E488" s="8"/>
      <c r="F488" s="8">
        <f t="shared" si="7"/>
        <v>48486</v>
      </c>
      <c r="G488" s="26"/>
    </row>
    <row r="489" spans="1:7" x14ac:dyDescent="0.25">
      <c r="A489" s="61">
        <v>42612</v>
      </c>
      <c r="B489" s="26" t="s">
        <v>396</v>
      </c>
      <c r="C489" s="87" t="s">
        <v>511</v>
      </c>
      <c r="D489" s="8">
        <v>70</v>
      </c>
      <c r="E489" s="8"/>
      <c r="F489" s="8">
        <f t="shared" si="7"/>
        <v>48416</v>
      </c>
      <c r="G489" s="26"/>
    </row>
    <row r="490" spans="1:7" x14ac:dyDescent="0.25">
      <c r="A490" s="61">
        <v>42613</v>
      </c>
      <c r="B490" s="29" t="s">
        <v>74</v>
      </c>
      <c r="C490" s="89" t="s">
        <v>32</v>
      </c>
      <c r="D490" s="14">
        <v>200</v>
      </c>
      <c r="E490" s="8"/>
      <c r="F490" s="8">
        <f t="shared" si="7"/>
        <v>48216</v>
      </c>
      <c r="G490" s="26"/>
    </row>
    <row r="491" spans="1:7" x14ac:dyDescent="0.25">
      <c r="A491" s="61">
        <v>42613</v>
      </c>
      <c r="B491" s="26" t="s">
        <v>40</v>
      </c>
      <c r="C491" s="87" t="s">
        <v>512</v>
      </c>
      <c r="D491" s="8">
        <v>400</v>
      </c>
      <c r="E491" s="8"/>
      <c r="F491" s="8">
        <f t="shared" si="7"/>
        <v>47816</v>
      </c>
      <c r="G491" s="26"/>
    </row>
    <row r="492" spans="1:7" x14ac:dyDescent="0.25">
      <c r="A492" s="61">
        <v>42613</v>
      </c>
      <c r="B492" s="26" t="s">
        <v>123</v>
      </c>
      <c r="C492" s="87" t="s">
        <v>513</v>
      </c>
      <c r="D492" s="8">
        <v>5300</v>
      </c>
      <c r="E492" s="8"/>
      <c r="F492" s="8">
        <f t="shared" si="7"/>
        <v>42516</v>
      </c>
      <c r="G492" s="26"/>
    </row>
    <row r="493" spans="1:7" x14ac:dyDescent="0.25">
      <c r="A493" s="61">
        <v>42613</v>
      </c>
      <c r="B493" s="26" t="s">
        <v>40</v>
      </c>
      <c r="C493" s="87" t="s">
        <v>250</v>
      </c>
      <c r="D493" s="8">
        <v>2000</v>
      </c>
      <c r="E493" s="8"/>
      <c r="F493" s="8">
        <f t="shared" si="7"/>
        <v>40516</v>
      </c>
      <c r="G493" s="26"/>
    </row>
    <row r="494" spans="1:7" x14ac:dyDescent="0.25">
      <c r="A494" s="61">
        <v>42613</v>
      </c>
      <c r="B494" s="26" t="s">
        <v>43</v>
      </c>
      <c r="C494" s="87" t="s">
        <v>32</v>
      </c>
      <c r="D494" s="8">
        <v>3000</v>
      </c>
      <c r="E494" s="8"/>
      <c r="F494" s="8">
        <f t="shared" si="7"/>
        <v>37516</v>
      </c>
      <c r="G494" s="26"/>
    </row>
    <row r="495" spans="1:7" x14ac:dyDescent="0.25">
      <c r="A495" s="61">
        <v>42613</v>
      </c>
      <c r="B495" s="29" t="s">
        <v>26</v>
      </c>
      <c r="C495" s="89" t="s">
        <v>514</v>
      </c>
      <c r="D495" s="14">
        <v>600</v>
      </c>
      <c r="E495" s="14"/>
      <c r="F495" s="8">
        <f t="shared" si="7"/>
        <v>36916</v>
      </c>
      <c r="G495" s="26"/>
    </row>
    <row r="496" spans="1:7" x14ac:dyDescent="0.25">
      <c r="A496" s="61">
        <v>42613</v>
      </c>
      <c r="B496" s="29" t="s">
        <v>74</v>
      </c>
      <c r="C496" s="89" t="s">
        <v>515</v>
      </c>
      <c r="D496" s="14">
        <v>800</v>
      </c>
      <c r="E496" s="14"/>
      <c r="F496" s="8">
        <f t="shared" si="7"/>
        <v>36116</v>
      </c>
      <c r="G496" s="26"/>
    </row>
    <row r="497" spans="1:11" x14ac:dyDescent="0.25">
      <c r="A497" s="61">
        <v>42613</v>
      </c>
      <c r="B497" s="26" t="s">
        <v>155</v>
      </c>
      <c r="C497" s="87" t="s">
        <v>32</v>
      </c>
      <c r="D497" s="8">
        <v>43000</v>
      </c>
      <c r="E497" s="8"/>
      <c r="F497" s="8">
        <f t="shared" si="7"/>
        <v>-6884</v>
      </c>
      <c r="G497" s="26"/>
    </row>
    <row r="498" spans="1:11" x14ac:dyDescent="0.25">
      <c r="A498" s="61">
        <v>42613</v>
      </c>
      <c r="B498" s="26" t="s">
        <v>26</v>
      </c>
      <c r="C498" s="87" t="s">
        <v>516</v>
      </c>
      <c r="D498" s="8">
        <v>770</v>
      </c>
      <c r="E498" s="8"/>
      <c r="F498" s="8">
        <f t="shared" si="7"/>
        <v>-7654</v>
      </c>
      <c r="G498" s="26"/>
    </row>
    <row r="499" spans="1:11" x14ac:dyDescent="0.25">
      <c r="A499" s="61">
        <v>42613</v>
      </c>
      <c r="B499" s="26" t="s">
        <v>128</v>
      </c>
      <c r="C499" s="87" t="s">
        <v>517</v>
      </c>
      <c r="D499" s="8">
        <v>6700</v>
      </c>
      <c r="E499" s="8"/>
      <c r="F499" s="8">
        <f t="shared" si="7"/>
        <v>-14354</v>
      </c>
      <c r="G499" s="26"/>
    </row>
    <row r="500" spans="1:11" ht="30" x14ac:dyDescent="0.25">
      <c r="A500" s="61">
        <v>42613</v>
      </c>
      <c r="B500" s="26" t="s">
        <v>26</v>
      </c>
      <c r="C500" s="87" t="s">
        <v>518</v>
      </c>
      <c r="D500" s="8">
        <v>140</v>
      </c>
      <c r="E500" s="8"/>
      <c r="F500" s="8">
        <f t="shared" si="7"/>
        <v>-14494</v>
      </c>
      <c r="G500" s="26"/>
    </row>
    <row r="501" spans="1:11" x14ac:dyDescent="0.25">
      <c r="A501" s="61">
        <v>42613</v>
      </c>
      <c r="B501" s="26" t="s">
        <v>121</v>
      </c>
      <c r="C501" s="87" t="s">
        <v>32</v>
      </c>
      <c r="D501" s="8">
        <v>5000</v>
      </c>
      <c r="E501" s="8"/>
      <c r="F501" s="8">
        <f t="shared" si="7"/>
        <v>-19494</v>
      </c>
      <c r="G501" s="26"/>
    </row>
    <row r="502" spans="1:11" x14ac:dyDescent="0.25">
      <c r="A502" s="61">
        <v>42613</v>
      </c>
      <c r="B502" s="29" t="s">
        <v>521</v>
      </c>
      <c r="C502" s="89" t="s">
        <v>522</v>
      </c>
      <c r="D502" s="14">
        <v>5000</v>
      </c>
      <c r="E502" s="14"/>
      <c r="F502" s="8">
        <f t="shared" si="7"/>
        <v>-24494</v>
      </c>
      <c r="G502" s="26"/>
    </row>
    <row r="503" spans="1:11" x14ac:dyDescent="0.25">
      <c r="A503" s="55">
        <v>42614</v>
      </c>
      <c r="B503" s="462" t="s">
        <v>523</v>
      </c>
      <c r="C503" s="463"/>
      <c r="D503" s="71"/>
      <c r="E503" s="58">
        <v>2000</v>
      </c>
      <c r="F503" s="8">
        <f t="shared" si="7"/>
        <v>-22494</v>
      </c>
      <c r="G503" s="26"/>
    </row>
    <row r="504" spans="1:11" x14ac:dyDescent="0.25">
      <c r="A504" s="61">
        <v>42614</v>
      </c>
      <c r="B504" s="26" t="s">
        <v>368</v>
      </c>
      <c r="C504" s="87" t="s">
        <v>524</v>
      </c>
      <c r="D504" s="8">
        <v>5000</v>
      </c>
      <c r="E504" s="8"/>
      <c r="F504" s="8">
        <f t="shared" si="7"/>
        <v>-27494</v>
      </c>
      <c r="G504" s="26"/>
    </row>
    <row r="505" spans="1:11" x14ac:dyDescent="0.25">
      <c r="A505" s="61">
        <v>42614</v>
      </c>
      <c r="B505" s="26" t="s">
        <v>26</v>
      </c>
      <c r="C505" s="87" t="s">
        <v>525</v>
      </c>
      <c r="D505" s="8">
        <v>100</v>
      </c>
      <c r="E505" s="8"/>
      <c r="F505" s="8">
        <f t="shared" si="7"/>
        <v>-27594</v>
      </c>
      <c r="G505" s="26"/>
    </row>
    <row r="506" spans="1:11" x14ac:dyDescent="0.25">
      <c r="A506" s="61">
        <v>42614</v>
      </c>
      <c r="B506" s="26" t="s">
        <v>26</v>
      </c>
      <c r="C506" s="87" t="s">
        <v>526</v>
      </c>
      <c r="D506" s="8">
        <v>160</v>
      </c>
      <c r="E506" s="8"/>
      <c r="F506" s="8">
        <f t="shared" si="7"/>
        <v>-27754</v>
      </c>
      <c r="G506" s="26"/>
    </row>
    <row r="507" spans="1:11" x14ac:dyDescent="0.25">
      <c r="A507" s="61">
        <v>42614</v>
      </c>
      <c r="B507" s="26" t="s">
        <v>43</v>
      </c>
      <c r="C507" s="87" t="s">
        <v>527</v>
      </c>
      <c r="D507" s="8">
        <v>1000</v>
      </c>
      <c r="E507" s="8"/>
      <c r="F507" s="8">
        <f t="shared" si="7"/>
        <v>-28754</v>
      </c>
      <c r="G507" s="26"/>
    </row>
    <row r="508" spans="1:11" x14ac:dyDescent="0.25">
      <c r="A508" s="61">
        <v>42614</v>
      </c>
      <c r="B508" s="26" t="s">
        <v>40</v>
      </c>
      <c r="C508" s="87" t="s">
        <v>528</v>
      </c>
      <c r="D508" s="8">
        <v>1000</v>
      </c>
      <c r="E508" s="8"/>
      <c r="F508" s="8">
        <f t="shared" si="7"/>
        <v>-29754</v>
      </c>
      <c r="G508" s="26"/>
    </row>
    <row r="509" spans="1:11" x14ac:dyDescent="0.25">
      <c r="A509" s="55">
        <v>42614</v>
      </c>
      <c r="B509" s="462" t="s">
        <v>504</v>
      </c>
      <c r="C509" s="463"/>
      <c r="D509" s="71"/>
      <c r="E509" s="58">
        <v>100000</v>
      </c>
      <c r="F509" s="8">
        <f t="shared" si="7"/>
        <v>70246</v>
      </c>
      <c r="G509" s="26"/>
    </row>
    <row r="510" spans="1:11" x14ac:dyDescent="0.25">
      <c r="A510" s="61">
        <v>42614</v>
      </c>
      <c r="B510" s="29" t="s">
        <v>17</v>
      </c>
      <c r="C510" s="89" t="s">
        <v>531</v>
      </c>
      <c r="D510" s="14">
        <v>26000</v>
      </c>
      <c r="E510" s="14"/>
      <c r="F510" s="8">
        <f t="shared" si="7"/>
        <v>44246</v>
      </c>
      <c r="G510" s="26"/>
    </row>
    <row r="511" spans="1:11" x14ac:dyDescent="0.25">
      <c r="A511" s="61">
        <v>42614</v>
      </c>
      <c r="B511" s="26" t="s">
        <v>5</v>
      </c>
      <c r="C511" s="87" t="s">
        <v>445</v>
      </c>
      <c r="D511" s="8">
        <v>4000</v>
      </c>
      <c r="E511" s="8"/>
      <c r="F511" s="8">
        <f t="shared" si="7"/>
        <v>40246</v>
      </c>
      <c r="G511" s="26"/>
    </row>
    <row r="512" spans="1:11" ht="30" x14ac:dyDescent="0.25">
      <c r="A512" s="61">
        <v>42614</v>
      </c>
      <c r="B512" s="29" t="s">
        <v>428</v>
      </c>
      <c r="C512" s="89" t="s">
        <v>558</v>
      </c>
      <c r="D512" s="14">
        <v>15650</v>
      </c>
      <c r="E512" s="8"/>
      <c r="F512" s="8">
        <f t="shared" si="7"/>
        <v>24596</v>
      </c>
      <c r="G512" s="26"/>
      <c r="K512" s="25"/>
    </row>
    <row r="513" spans="1:11" x14ac:dyDescent="0.25">
      <c r="A513" s="61">
        <v>42614</v>
      </c>
      <c r="B513" s="29" t="s">
        <v>106</v>
      </c>
      <c r="C513" s="89" t="s">
        <v>559</v>
      </c>
      <c r="D513" s="14">
        <v>10350</v>
      </c>
      <c r="E513" s="8"/>
      <c r="F513" s="8">
        <f t="shared" si="7"/>
        <v>14246</v>
      </c>
      <c r="G513" s="26"/>
      <c r="K513" s="25"/>
    </row>
    <row r="514" spans="1:11" ht="30" x14ac:dyDescent="0.25">
      <c r="A514" s="61">
        <v>42614</v>
      </c>
      <c r="B514" s="29" t="s">
        <v>5</v>
      </c>
      <c r="C514" s="89" t="s">
        <v>529</v>
      </c>
      <c r="D514" s="14">
        <v>4000</v>
      </c>
      <c r="E514" s="8"/>
      <c r="F514" s="8">
        <f t="shared" si="7"/>
        <v>10246</v>
      </c>
      <c r="G514" s="26"/>
    </row>
    <row r="515" spans="1:11" ht="30" x14ac:dyDescent="0.25">
      <c r="A515" s="61">
        <v>42614</v>
      </c>
      <c r="B515" s="29" t="s">
        <v>163</v>
      </c>
      <c r="C515" s="89" t="s">
        <v>532</v>
      </c>
      <c r="D515" s="14">
        <v>1000</v>
      </c>
      <c r="E515" s="8"/>
      <c r="F515" s="8">
        <f t="shared" ref="F515:F578" si="8">F514-D515+E515</f>
        <v>9246</v>
      </c>
      <c r="G515" s="26"/>
    </row>
    <row r="516" spans="1:11" x14ac:dyDescent="0.25">
      <c r="A516" s="61">
        <v>42615</v>
      </c>
      <c r="B516" s="26" t="s">
        <v>40</v>
      </c>
      <c r="C516" s="87" t="s">
        <v>530</v>
      </c>
      <c r="D516" s="8">
        <v>1000</v>
      </c>
      <c r="E516" s="8"/>
      <c r="F516" s="8">
        <f t="shared" si="8"/>
        <v>8246</v>
      </c>
      <c r="G516" s="26"/>
    </row>
    <row r="517" spans="1:11" x14ac:dyDescent="0.25">
      <c r="A517" s="61">
        <v>42615</v>
      </c>
      <c r="B517" s="26" t="s">
        <v>107</v>
      </c>
      <c r="C517" s="87" t="s">
        <v>32</v>
      </c>
      <c r="D517" s="8">
        <v>4000</v>
      </c>
      <c r="E517" s="8"/>
      <c r="F517" s="8">
        <f t="shared" si="8"/>
        <v>4246</v>
      </c>
      <c r="G517" s="26"/>
    </row>
    <row r="518" spans="1:11" x14ac:dyDescent="0.25">
      <c r="A518" s="61">
        <v>42615</v>
      </c>
      <c r="B518" s="29" t="s">
        <v>54</v>
      </c>
      <c r="C518" s="89" t="s">
        <v>80</v>
      </c>
      <c r="D518" s="14">
        <v>3430</v>
      </c>
      <c r="E518" s="14"/>
      <c r="F518" s="8">
        <f t="shared" si="8"/>
        <v>816</v>
      </c>
      <c r="G518" s="26"/>
    </row>
    <row r="519" spans="1:11" x14ac:dyDescent="0.25">
      <c r="A519" s="55">
        <v>42616</v>
      </c>
      <c r="B519" s="462" t="s">
        <v>536</v>
      </c>
      <c r="C519" s="463"/>
      <c r="D519" s="71"/>
      <c r="E519" s="58">
        <v>100000</v>
      </c>
      <c r="F519" s="8">
        <f t="shared" si="8"/>
        <v>100816</v>
      </c>
      <c r="G519" s="26"/>
    </row>
    <row r="520" spans="1:11" x14ac:dyDescent="0.25">
      <c r="A520" s="61">
        <v>42616</v>
      </c>
      <c r="B520" s="26" t="s">
        <v>182</v>
      </c>
      <c r="C520" s="87" t="s">
        <v>295</v>
      </c>
      <c r="D520" s="8">
        <v>5000</v>
      </c>
      <c r="E520" s="8"/>
      <c r="F520" s="8">
        <f t="shared" si="8"/>
        <v>95816</v>
      </c>
      <c r="G520" s="26"/>
    </row>
    <row r="521" spans="1:11" x14ac:dyDescent="0.25">
      <c r="A521" s="61">
        <v>42616</v>
      </c>
      <c r="B521" s="26" t="s">
        <v>283</v>
      </c>
      <c r="C521" s="87" t="s">
        <v>295</v>
      </c>
      <c r="D521" s="8">
        <v>15000</v>
      </c>
      <c r="E521" s="8"/>
      <c r="F521" s="8">
        <f t="shared" si="8"/>
        <v>80816</v>
      </c>
      <c r="G521" s="26"/>
    </row>
    <row r="522" spans="1:11" x14ac:dyDescent="0.25">
      <c r="A522" s="61">
        <v>42616</v>
      </c>
      <c r="B522" s="26" t="s">
        <v>5</v>
      </c>
      <c r="C522" s="87" t="s">
        <v>32</v>
      </c>
      <c r="D522" s="8">
        <v>1500</v>
      </c>
      <c r="E522" s="8"/>
      <c r="F522" s="8">
        <f t="shared" si="8"/>
        <v>79316</v>
      </c>
      <c r="G522" s="26"/>
    </row>
    <row r="523" spans="1:11" x14ac:dyDescent="0.25">
      <c r="A523" s="61">
        <v>42616</v>
      </c>
      <c r="B523" s="26" t="s">
        <v>26</v>
      </c>
      <c r="C523" s="87" t="s">
        <v>533</v>
      </c>
      <c r="D523" s="8">
        <v>870</v>
      </c>
      <c r="E523" s="8"/>
      <c r="F523" s="8">
        <f t="shared" si="8"/>
        <v>78446</v>
      </c>
      <c r="G523" s="26"/>
    </row>
    <row r="524" spans="1:11" x14ac:dyDescent="0.25">
      <c r="A524" s="61">
        <v>42616</v>
      </c>
      <c r="B524" s="26" t="s">
        <v>161</v>
      </c>
      <c r="C524" s="87" t="s">
        <v>534</v>
      </c>
      <c r="D524" s="8">
        <v>6000</v>
      </c>
      <c r="E524" s="8"/>
      <c r="F524" s="8">
        <f t="shared" si="8"/>
        <v>72446</v>
      </c>
      <c r="G524" s="26"/>
    </row>
    <row r="525" spans="1:11" x14ac:dyDescent="0.25">
      <c r="A525" s="61">
        <v>42616</v>
      </c>
      <c r="B525" s="26" t="s">
        <v>120</v>
      </c>
      <c r="C525" s="87" t="s">
        <v>535</v>
      </c>
      <c r="D525" s="8">
        <v>2000</v>
      </c>
      <c r="E525" s="8"/>
      <c r="F525" s="8">
        <f t="shared" si="8"/>
        <v>70446</v>
      </c>
      <c r="G525" s="26"/>
    </row>
    <row r="526" spans="1:11" x14ac:dyDescent="0.25">
      <c r="A526" s="61">
        <v>42616</v>
      </c>
      <c r="B526" s="26" t="s">
        <v>26</v>
      </c>
      <c r="C526" s="87" t="s">
        <v>537</v>
      </c>
      <c r="D526" s="8">
        <v>55</v>
      </c>
      <c r="E526" s="8"/>
      <c r="F526" s="8">
        <f t="shared" si="8"/>
        <v>70391</v>
      </c>
      <c r="G526" s="26"/>
    </row>
    <row r="527" spans="1:11" x14ac:dyDescent="0.25">
      <c r="A527" s="61">
        <v>42616</v>
      </c>
      <c r="B527" s="26" t="s">
        <v>155</v>
      </c>
      <c r="C527" s="87" t="s">
        <v>540</v>
      </c>
      <c r="D527" s="8">
        <v>17000</v>
      </c>
      <c r="E527" s="8"/>
      <c r="F527" s="8">
        <f t="shared" si="8"/>
        <v>53391</v>
      </c>
      <c r="G527" s="26"/>
    </row>
    <row r="528" spans="1:11" x14ac:dyDescent="0.25">
      <c r="A528" s="61">
        <v>42616</v>
      </c>
      <c r="B528" s="26" t="s">
        <v>43</v>
      </c>
      <c r="C528" s="87" t="s">
        <v>295</v>
      </c>
      <c r="D528" s="8">
        <v>2000</v>
      </c>
      <c r="E528" s="8"/>
      <c r="F528" s="8">
        <f t="shared" si="8"/>
        <v>51391</v>
      </c>
      <c r="G528" s="26"/>
    </row>
    <row r="529" spans="1:7" x14ac:dyDescent="0.25">
      <c r="A529" s="61">
        <v>42617</v>
      </c>
      <c r="B529" s="26" t="s">
        <v>26</v>
      </c>
      <c r="C529" s="87" t="s">
        <v>167</v>
      </c>
      <c r="D529" s="8">
        <v>100</v>
      </c>
      <c r="E529" s="8"/>
      <c r="F529" s="8">
        <f t="shared" si="8"/>
        <v>51291</v>
      </c>
      <c r="G529" s="26"/>
    </row>
    <row r="530" spans="1:7" x14ac:dyDescent="0.25">
      <c r="A530" s="61">
        <v>42617</v>
      </c>
      <c r="B530" s="26" t="s">
        <v>26</v>
      </c>
      <c r="C530" s="87" t="s">
        <v>110</v>
      </c>
      <c r="D530" s="8">
        <v>140</v>
      </c>
      <c r="E530" s="8"/>
      <c r="F530" s="8">
        <f t="shared" si="8"/>
        <v>51151</v>
      </c>
      <c r="G530" s="26"/>
    </row>
    <row r="531" spans="1:7" ht="30" x14ac:dyDescent="0.25">
      <c r="A531" s="61">
        <v>42618</v>
      </c>
      <c r="B531" s="26" t="s">
        <v>124</v>
      </c>
      <c r="C531" s="87" t="s">
        <v>538</v>
      </c>
      <c r="D531" s="8">
        <v>150</v>
      </c>
      <c r="E531" s="8"/>
      <c r="F531" s="8">
        <f t="shared" si="8"/>
        <v>51001</v>
      </c>
      <c r="G531" s="26"/>
    </row>
    <row r="532" spans="1:7" x14ac:dyDescent="0.25">
      <c r="A532" s="61">
        <v>42618</v>
      </c>
      <c r="B532" s="26" t="s">
        <v>121</v>
      </c>
      <c r="C532" s="87" t="s">
        <v>539</v>
      </c>
      <c r="D532" s="8">
        <v>3500</v>
      </c>
      <c r="E532" s="8"/>
      <c r="F532" s="8">
        <f t="shared" si="8"/>
        <v>47501</v>
      </c>
      <c r="G532" s="26"/>
    </row>
    <row r="533" spans="1:7" x14ac:dyDescent="0.25">
      <c r="A533" s="61">
        <v>42618</v>
      </c>
      <c r="B533" s="26" t="s">
        <v>5</v>
      </c>
      <c r="C533" s="87" t="s">
        <v>490</v>
      </c>
      <c r="D533" s="8">
        <v>500</v>
      </c>
      <c r="E533" s="8"/>
      <c r="F533" s="8">
        <f t="shared" si="8"/>
        <v>47001</v>
      </c>
      <c r="G533" s="26"/>
    </row>
    <row r="534" spans="1:7" x14ac:dyDescent="0.25">
      <c r="A534" s="61">
        <v>42618</v>
      </c>
      <c r="B534" s="26" t="s">
        <v>107</v>
      </c>
      <c r="C534" s="87" t="s">
        <v>490</v>
      </c>
      <c r="D534" s="8">
        <v>1000</v>
      </c>
      <c r="E534" s="8"/>
      <c r="F534" s="8">
        <f t="shared" si="8"/>
        <v>46001</v>
      </c>
      <c r="G534" s="26"/>
    </row>
    <row r="535" spans="1:7" x14ac:dyDescent="0.25">
      <c r="A535" s="61">
        <v>42618</v>
      </c>
      <c r="B535" s="26" t="s">
        <v>4</v>
      </c>
      <c r="C535" s="87" t="s">
        <v>541</v>
      </c>
      <c r="D535" s="8">
        <v>2000</v>
      </c>
      <c r="E535" s="8"/>
      <c r="F535" s="8">
        <f t="shared" si="8"/>
        <v>44001</v>
      </c>
      <c r="G535" s="26"/>
    </row>
    <row r="536" spans="1:7" x14ac:dyDescent="0.25">
      <c r="A536" s="61">
        <v>42618</v>
      </c>
      <c r="B536" s="26" t="s">
        <v>26</v>
      </c>
      <c r="C536" s="87" t="s">
        <v>63</v>
      </c>
      <c r="D536" s="8">
        <v>180</v>
      </c>
      <c r="F536" s="8">
        <f t="shared" si="8"/>
        <v>43821</v>
      </c>
      <c r="G536" s="26"/>
    </row>
    <row r="537" spans="1:7" x14ac:dyDescent="0.25">
      <c r="A537" s="61">
        <v>42618</v>
      </c>
      <c r="B537" s="26" t="s">
        <v>542</v>
      </c>
      <c r="C537" s="87" t="s">
        <v>544</v>
      </c>
      <c r="D537" s="8">
        <v>500</v>
      </c>
      <c r="E537" s="8"/>
      <c r="F537" s="8">
        <f t="shared" si="8"/>
        <v>43321</v>
      </c>
      <c r="G537" s="26"/>
    </row>
    <row r="538" spans="1:7" x14ac:dyDescent="0.25">
      <c r="A538" s="61">
        <v>42618</v>
      </c>
      <c r="B538" s="26" t="s">
        <v>26</v>
      </c>
      <c r="C538" s="87" t="s">
        <v>543</v>
      </c>
      <c r="D538" s="8">
        <v>90</v>
      </c>
      <c r="E538" s="8"/>
      <c r="F538" s="8">
        <f t="shared" si="8"/>
        <v>43231</v>
      </c>
      <c r="G538" s="26"/>
    </row>
    <row r="539" spans="1:7" x14ac:dyDescent="0.25">
      <c r="A539" s="55">
        <v>42618</v>
      </c>
      <c r="B539" s="462" t="s">
        <v>546</v>
      </c>
      <c r="C539" s="463"/>
      <c r="D539" s="71"/>
      <c r="E539" s="58">
        <v>100000</v>
      </c>
      <c r="F539" s="8">
        <f t="shared" si="8"/>
        <v>143231</v>
      </c>
      <c r="G539" s="26"/>
    </row>
    <row r="540" spans="1:7" x14ac:dyDescent="0.25">
      <c r="A540" s="61">
        <v>42619</v>
      </c>
      <c r="B540" s="26" t="s">
        <v>368</v>
      </c>
      <c r="C540" s="87" t="s">
        <v>545</v>
      </c>
      <c r="D540" s="8">
        <v>10000</v>
      </c>
      <c r="E540" s="8"/>
      <c r="F540" s="8">
        <f t="shared" si="8"/>
        <v>133231</v>
      </c>
      <c r="G540" s="26"/>
    </row>
    <row r="541" spans="1:7" x14ac:dyDescent="0.25">
      <c r="A541" s="61">
        <v>42619</v>
      </c>
      <c r="B541" s="26" t="s">
        <v>5</v>
      </c>
      <c r="C541" s="87" t="s">
        <v>78</v>
      </c>
      <c r="D541" s="8">
        <v>2000</v>
      </c>
      <c r="E541" s="8"/>
      <c r="F541" s="8">
        <f t="shared" si="8"/>
        <v>131231</v>
      </c>
      <c r="G541" s="26"/>
    </row>
    <row r="542" spans="1:7" x14ac:dyDescent="0.25">
      <c r="A542" s="61">
        <v>42619</v>
      </c>
      <c r="B542" s="29" t="s">
        <v>37</v>
      </c>
      <c r="C542" s="89" t="s">
        <v>579</v>
      </c>
      <c r="D542" s="14">
        <v>5000</v>
      </c>
      <c r="E542" s="8"/>
      <c r="F542" s="8">
        <f t="shared" si="8"/>
        <v>126231</v>
      </c>
      <c r="G542" s="26"/>
    </row>
    <row r="543" spans="1:7" x14ac:dyDescent="0.25">
      <c r="A543" s="61">
        <v>42619</v>
      </c>
      <c r="B543" s="26" t="s">
        <v>26</v>
      </c>
      <c r="C543" s="87" t="s">
        <v>547</v>
      </c>
      <c r="D543" s="8">
        <v>340</v>
      </c>
      <c r="E543" s="8"/>
      <c r="F543" s="8">
        <f t="shared" si="8"/>
        <v>125891</v>
      </c>
      <c r="G543" s="26"/>
    </row>
    <row r="544" spans="1:7" x14ac:dyDescent="0.25">
      <c r="A544" s="61">
        <v>42619</v>
      </c>
      <c r="B544" s="26" t="s">
        <v>551</v>
      </c>
      <c r="C544" s="87" t="s">
        <v>552</v>
      </c>
      <c r="D544" s="8">
        <v>1534</v>
      </c>
      <c r="E544" s="8"/>
      <c r="F544" s="8">
        <f t="shared" si="8"/>
        <v>124357</v>
      </c>
      <c r="G544" s="26"/>
    </row>
    <row r="545" spans="1:7" x14ac:dyDescent="0.25">
      <c r="A545" s="61">
        <v>42619</v>
      </c>
      <c r="B545" s="26" t="s">
        <v>554</v>
      </c>
      <c r="C545" s="87" t="s">
        <v>549</v>
      </c>
      <c r="D545" s="8">
        <v>40500</v>
      </c>
      <c r="E545" s="8"/>
      <c r="F545" s="8">
        <f t="shared" si="8"/>
        <v>83857</v>
      </c>
      <c r="G545" s="26"/>
    </row>
    <row r="546" spans="1:7" x14ac:dyDescent="0.25">
      <c r="A546" s="61">
        <v>42619</v>
      </c>
      <c r="B546" s="26" t="s">
        <v>548</v>
      </c>
      <c r="C546" s="87" t="s">
        <v>553</v>
      </c>
      <c r="D546" s="8">
        <v>7700</v>
      </c>
      <c r="E546" s="8"/>
      <c r="F546" s="8">
        <f t="shared" si="8"/>
        <v>76157</v>
      </c>
      <c r="G546" s="26"/>
    </row>
    <row r="547" spans="1:7" x14ac:dyDescent="0.25">
      <c r="A547" s="61">
        <v>42619</v>
      </c>
      <c r="B547" s="26" t="s">
        <v>107</v>
      </c>
      <c r="C547" s="87" t="s">
        <v>550</v>
      </c>
      <c r="D547" s="8">
        <v>6600</v>
      </c>
      <c r="E547" s="8"/>
      <c r="F547" s="8">
        <f t="shared" si="8"/>
        <v>69557</v>
      </c>
      <c r="G547" s="26"/>
    </row>
    <row r="548" spans="1:7" x14ac:dyDescent="0.25">
      <c r="A548" s="61">
        <v>42619</v>
      </c>
      <c r="B548" s="26" t="s">
        <v>107</v>
      </c>
      <c r="C548" s="87" t="s">
        <v>32</v>
      </c>
      <c r="D548" s="8">
        <v>15000</v>
      </c>
      <c r="E548" s="8"/>
      <c r="F548" s="8">
        <f t="shared" si="8"/>
        <v>54557</v>
      </c>
      <c r="G548" s="26"/>
    </row>
    <row r="549" spans="1:7" x14ac:dyDescent="0.25">
      <c r="A549" s="61">
        <v>42619</v>
      </c>
      <c r="B549" s="26" t="s">
        <v>165</v>
      </c>
      <c r="C549" s="87" t="s">
        <v>32</v>
      </c>
      <c r="D549" s="8">
        <v>5000</v>
      </c>
      <c r="E549" s="8"/>
      <c r="F549" s="8">
        <f t="shared" si="8"/>
        <v>49557</v>
      </c>
      <c r="G549" s="26"/>
    </row>
    <row r="550" spans="1:7" x14ac:dyDescent="0.25">
      <c r="A550" s="61">
        <v>42619</v>
      </c>
      <c r="B550" s="26" t="s">
        <v>121</v>
      </c>
      <c r="C550" s="87" t="s">
        <v>130</v>
      </c>
      <c r="D550" s="8">
        <v>1400</v>
      </c>
      <c r="E550" s="8"/>
      <c r="F550" s="8">
        <f t="shared" si="8"/>
        <v>48157</v>
      </c>
      <c r="G550" s="26"/>
    </row>
    <row r="551" spans="1:7" x14ac:dyDescent="0.25">
      <c r="A551" s="61">
        <v>42620</v>
      </c>
      <c r="B551" s="29" t="s">
        <v>40</v>
      </c>
      <c r="C551" s="89" t="s">
        <v>564</v>
      </c>
      <c r="D551" s="14">
        <v>800</v>
      </c>
      <c r="E551" s="14"/>
      <c r="F551" s="8">
        <f t="shared" si="8"/>
        <v>47357</v>
      </c>
      <c r="G551" s="26"/>
    </row>
    <row r="552" spans="1:7" x14ac:dyDescent="0.25">
      <c r="A552" s="55">
        <v>42621</v>
      </c>
      <c r="B552" s="462" t="s">
        <v>560</v>
      </c>
      <c r="C552" s="463"/>
      <c r="D552" s="71"/>
      <c r="E552" s="58">
        <v>100000</v>
      </c>
      <c r="F552" s="8">
        <f t="shared" si="8"/>
        <v>147357</v>
      </c>
      <c r="G552" s="26"/>
    </row>
    <row r="553" spans="1:7" ht="45" x14ac:dyDescent="0.25">
      <c r="A553" s="61">
        <v>42620</v>
      </c>
      <c r="B553" s="29" t="s">
        <v>20</v>
      </c>
      <c r="C553" s="89" t="s">
        <v>557</v>
      </c>
      <c r="D553" s="14">
        <v>73000</v>
      </c>
      <c r="E553" s="14"/>
      <c r="F553" s="8">
        <f t="shared" si="8"/>
        <v>74357</v>
      </c>
      <c r="G553" s="26"/>
    </row>
    <row r="554" spans="1:7" x14ac:dyDescent="0.25">
      <c r="A554" s="61">
        <v>42620</v>
      </c>
      <c r="B554" s="26" t="s">
        <v>165</v>
      </c>
      <c r="C554" s="87" t="s">
        <v>555</v>
      </c>
      <c r="D554" s="8">
        <v>1500</v>
      </c>
      <c r="E554" s="8"/>
      <c r="F554" s="8">
        <f t="shared" si="8"/>
        <v>72857</v>
      </c>
      <c r="G554" s="26"/>
    </row>
    <row r="555" spans="1:7" ht="30" x14ac:dyDescent="0.25">
      <c r="A555" s="61">
        <v>42621</v>
      </c>
      <c r="B555" s="26" t="s">
        <v>4</v>
      </c>
      <c r="C555" s="87" t="s">
        <v>556</v>
      </c>
      <c r="D555" s="8">
        <v>6443</v>
      </c>
      <c r="E555" s="8"/>
      <c r="F555" s="8">
        <f t="shared" si="8"/>
        <v>66414</v>
      </c>
      <c r="G555" s="26"/>
    </row>
    <row r="556" spans="1:7" x14ac:dyDescent="0.25">
      <c r="A556" s="61">
        <v>42621</v>
      </c>
      <c r="B556" s="26" t="s">
        <v>5</v>
      </c>
      <c r="C556" s="87" t="s">
        <v>32</v>
      </c>
      <c r="D556" s="8">
        <v>20000</v>
      </c>
      <c r="E556" s="8"/>
      <c r="F556" s="8">
        <f t="shared" si="8"/>
        <v>46414</v>
      </c>
      <c r="G556" s="26"/>
    </row>
    <row r="557" spans="1:7" x14ac:dyDescent="0.25">
      <c r="A557" s="61">
        <v>42621</v>
      </c>
      <c r="B557" s="26" t="s">
        <v>123</v>
      </c>
      <c r="C557" s="87" t="s">
        <v>561</v>
      </c>
      <c r="D557" s="8">
        <v>15450</v>
      </c>
      <c r="E557" s="8"/>
      <c r="F557" s="8">
        <f t="shared" si="8"/>
        <v>30964</v>
      </c>
      <c r="G557" s="26"/>
    </row>
    <row r="558" spans="1:7" x14ac:dyDescent="0.25">
      <c r="A558" s="61">
        <v>42621</v>
      </c>
      <c r="B558" s="26" t="s">
        <v>43</v>
      </c>
      <c r="C558" s="87" t="s">
        <v>32</v>
      </c>
      <c r="D558" s="8">
        <v>2000</v>
      </c>
      <c r="E558" s="8"/>
      <c r="F558" s="8">
        <f t="shared" si="8"/>
        <v>28964</v>
      </c>
      <c r="G558" s="26"/>
    </row>
    <row r="559" spans="1:7" x14ac:dyDescent="0.25">
      <c r="A559" s="61">
        <v>42621</v>
      </c>
      <c r="B559" s="26" t="s">
        <v>114</v>
      </c>
      <c r="C559" s="87" t="s">
        <v>562</v>
      </c>
      <c r="D559" s="8">
        <v>18000</v>
      </c>
      <c r="E559" s="8"/>
      <c r="F559" s="8">
        <f t="shared" si="8"/>
        <v>10964</v>
      </c>
      <c r="G559" s="26"/>
    </row>
    <row r="560" spans="1:7" x14ac:dyDescent="0.25">
      <c r="A560" s="61">
        <v>42621</v>
      </c>
      <c r="B560" s="26" t="s">
        <v>26</v>
      </c>
      <c r="C560" s="87" t="s">
        <v>563</v>
      </c>
      <c r="D560" s="8">
        <v>340</v>
      </c>
      <c r="E560" s="8"/>
      <c r="F560" s="8">
        <f t="shared" si="8"/>
        <v>10624</v>
      </c>
      <c r="G560" s="26"/>
    </row>
    <row r="561" spans="1:7" x14ac:dyDescent="0.25">
      <c r="A561" s="61">
        <v>42621</v>
      </c>
      <c r="B561" s="26" t="s">
        <v>163</v>
      </c>
      <c r="C561" s="87" t="s">
        <v>32</v>
      </c>
      <c r="D561" s="8">
        <v>2000</v>
      </c>
      <c r="E561" s="8"/>
      <c r="F561" s="8">
        <f t="shared" si="8"/>
        <v>8624</v>
      </c>
      <c r="G561" s="26"/>
    </row>
    <row r="562" spans="1:7" x14ac:dyDescent="0.25">
      <c r="A562" s="61">
        <v>42622</v>
      </c>
      <c r="B562" s="26" t="s">
        <v>161</v>
      </c>
      <c r="C562" s="87" t="s">
        <v>565</v>
      </c>
      <c r="D562" s="8">
        <v>10000</v>
      </c>
      <c r="E562" s="8"/>
      <c r="F562" s="8">
        <f t="shared" si="8"/>
        <v>-1376</v>
      </c>
      <c r="G562" s="26"/>
    </row>
    <row r="563" spans="1:7" x14ac:dyDescent="0.25">
      <c r="A563" s="61">
        <v>42622</v>
      </c>
      <c r="B563" s="26" t="s">
        <v>38</v>
      </c>
      <c r="C563" s="87" t="s">
        <v>566</v>
      </c>
      <c r="D563" s="8">
        <v>750</v>
      </c>
      <c r="E563" s="8"/>
      <c r="F563" s="8">
        <f t="shared" si="8"/>
        <v>-2126</v>
      </c>
      <c r="G563" s="26"/>
    </row>
    <row r="564" spans="1:7" x14ac:dyDescent="0.25">
      <c r="A564" s="191">
        <v>42622</v>
      </c>
      <c r="B564" s="192" t="s">
        <v>120</v>
      </c>
      <c r="C564" s="193" t="s">
        <v>567</v>
      </c>
      <c r="D564" s="15">
        <v>100</v>
      </c>
      <c r="E564" s="15"/>
      <c r="F564" s="8">
        <f t="shared" si="8"/>
        <v>-2226</v>
      </c>
      <c r="G564" s="26"/>
    </row>
    <row r="565" spans="1:7" x14ac:dyDescent="0.25">
      <c r="A565" s="61">
        <v>42622</v>
      </c>
      <c r="B565" s="26" t="s">
        <v>43</v>
      </c>
      <c r="C565" s="87" t="s">
        <v>32</v>
      </c>
      <c r="D565" s="8">
        <v>1500</v>
      </c>
      <c r="E565" s="8"/>
      <c r="F565" s="8">
        <f t="shared" si="8"/>
        <v>-3726</v>
      </c>
      <c r="G565" s="26"/>
    </row>
    <row r="566" spans="1:7" x14ac:dyDescent="0.25">
      <c r="A566" s="55">
        <v>42636</v>
      </c>
      <c r="B566" s="462" t="s">
        <v>571</v>
      </c>
      <c r="C566" s="463"/>
      <c r="D566" s="71"/>
      <c r="E566" s="58">
        <v>100000</v>
      </c>
      <c r="F566" s="8">
        <f t="shared" si="8"/>
        <v>96274</v>
      </c>
      <c r="G566" s="26"/>
    </row>
    <row r="567" spans="1:7" x14ac:dyDescent="0.25">
      <c r="A567" s="61">
        <v>42636</v>
      </c>
      <c r="B567" s="26" t="s">
        <v>128</v>
      </c>
      <c r="C567" s="87" t="s">
        <v>574</v>
      </c>
      <c r="D567" s="8">
        <v>12090</v>
      </c>
      <c r="E567" s="8"/>
      <c r="F567" s="8">
        <f t="shared" si="8"/>
        <v>84184</v>
      </c>
      <c r="G567" s="26"/>
    </row>
    <row r="568" spans="1:7" x14ac:dyDescent="0.25">
      <c r="A568" s="61">
        <v>42636</v>
      </c>
      <c r="B568" s="26" t="s">
        <v>10</v>
      </c>
      <c r="C568" s="87" t="s">
        <v>573</v>
      </c>
      <c r="D568" s="8">
        <v>3000</v>
      </c>
      <c r="E568" s="8"/>
      <c r="F568" s="8">
        <f t="shared" si="8"/>
        <v>81184</v>
      </c>
      <c r="G568" s="26"/>
    </row>
    <row r="569" spans="1:7" x14ac:dyDescent="0.25">
      <c r="A569" s="61">
        <v>42636</v>
      </c>
      <c r="B569" s="26" t="s">
        <v>128</v>
      </c>
      <c r="C569" s="87" t="s">
        <v>570</v>
      </c>
      <c r="D569" s="8">
        <v>500</v>
      </c>
      <c r="E569" s="8"/>
      <c r="F569" s="8">
        <f t="shared" si="8"/>
        <v>80684</v>
      </c>
      <c r="G569" s="26"/>
    </row>
    <row r="570" spans="1:7" x14ac:dyDescent="0.25">
      <c r="A570" s="61">
        <v>42636</v>
      </c>
      <c r="B570" s="26" t="s">
        <v>17</v>
      </c>
      <c r="C570" s="87" t="s">
        <v>32</v>
      </c>
      <c r="D570" s="8">
        <v>1500</v>
      </c>
      <c r="E570" s="8"/>
      <c r="F570" s="8">
        <f t="shared" si="8"/>
        <v>79184</v>
      </c>
      <c r="G570" s="26"/>
    </row>
    <row r="571" spans="1:7" x14ac:dyDescent="0.25">
      <c r="A571" s="61">
        <v>42636</v>
      </c>
      <c r="B571" s="26" t="s">
        <v>26</v>
      </c>
      <c r="C571" s="87" t="s">
        <v>418</v>
      </c>
      <c r="D571" s="8">
        <v>795</v>
      </c>
      <c r="E571" s="8"/>
      <c r="F571" s="8">
        <f t="shared" si="8"/>
        <v>78389</v>
      </c>
      <c r="G571" s="26"/>
    </row>
    <row r="572" spans="1:7" x14ac:dyDescent="0.25">
      <c r="A572" s="61">
        <v>42636</v>
      </c>
      <c r="B572" s="26" t="s">
        <v>590</v>
      </c>
      <c r="C572" s="87" t="s">
        <v>295</v>
      </c>
      <c r="D572" s="8">
        <v>3000</v>
      </c>
      <c r="E572" s="8"/>
      <c r="F572" s="8">
        <f t="shared" si="8"/>
        <v>75389</v>
      </c>
      <c r="G572" s="26"/>
    </row>
    <row r="573" spans="1:7" x14ac:dyDescent="0.25">
      <c r="A573" s="61">
        <v>42636</v>
      </c>
      <c r="B573" s="26" t="s">
        <v>161</v>
      </c>
      <c r="C573" s="87" t="s">
        <v>575</v>
      </c>
      <c r="D573" s="8">
        <v>10000</v>
      </c>
      <c r="E573" s="8"/>
      <c r="F573" s="8">
        <f t="shared" si="8"/>
        <v>65389</v>
      </c>
      <c r="G573" s="26"/>
    </row>
    <row r="574" spans="1:7" ht="30" x14ac:dyDescent="0.25">
      <c r="A574" s="61">
        <v>42636</v>
      </c>
      <c r="B574" s="29" t="s">
        <v>42</v>
      </c>
      <c r="C574" s="89" t="s">
        <v>626</v>
      </c>
      <c r="D574" s="14">
        <v>1420</v>
      </c>
      <c r="E574" s="8"/>
      <c r="F574" s="8">
        <f t="shared" si="8"/>
        <v>63969</v>
      </c>
      <c r="G574" s="26"/>
    </row>
    <row r="575" spans="1:7" x14ac:dyDescent="0.25">
      <c r="A575" s="61">
        <v>42637</v>
      </c>
      <c r="B575" s="26" t="s">
        <v>61</v>
      </c>
      <c r="C575" s="87" t="s">
        <v>572</v>
      </c>
      <c r="D575" s="8">
        <v>4000</v>
      </c>
      <c r="E575" s="8"/>
      <c r="F575" s="8">
        <f t="shared" si="8"/>
        <v>59969</v>
      </c>
      <c r="G575" s="26"/>
    </row>
    <row r="576" spans="1:7" x14ac:dyDescent="0.25">
      <c r="A576" s="61">
        <v>42637</v>
      </c>
      <c r="B576" s="26" t="s">
        <v>43</v>
      </c>
      <c r="C576" s="87" t="s">
        <v>44</v>
      </c>
      <c r="D576" s="8">
        <v>3000</v>
      </c>
      <c r="E576" s="8"/>
      <c r="F576" s="8">
        <f t="shared" si="8"/>
        <v>56969</v>
      </c>
      <c r="G576" s="26"/>
    </row>
    <row r="577" spans="1:7" x14ac:dyDescent="0.25">
      <c r="A577" s="61">
        <v>42637</v>
      </c>
      <c r="B577" s="26" t="s">
        <v>23</v>
      </c>
      <c r="C577" s="87" t="s">
        <v>576</v>
      </c>
      <c r="D577" s="8">
        <v>1500</v>
      </c>
      <c r="E577" s="8"/>
      <c r="F577" s="8">
        <f t="shared" si="8"/>
        <v>55469</v>
      </c>
      <c r="G577" s="26"/>
    </row>
    <row r="578" spans="1:7" x14ac:dyDescent="0.25">
      <c r="A578" s="61">
        <v>42637</v>
      </c>
      <c r="B578" s="26" t="s">
        <v>40</v>
      </c>
      <c r="C578" s="87" t="s">
        <v>577</v>
      </c>
      <c r="D578" s="8">
        <v>3500</v>
      </c>
      <c r="E578" s="8"/>
      <c r="F578" s="8">
        <f t="shared" si="8"/>
        <v>51969</v>
      </c>
      <c r="G578" s="26"/>
    </row>
    <row r="579" spans="1:7" x14ac:dyDescent="0.25">
      <c r="A579" s="61">
        <v>42637</v>
      </c>
      <c r="B579" s="26" t="s">
        <v>161</v>
      </c>
      <c r="C579" s="87" t="s">
        <v>580</v>
      </c>
      <c r="D579" s="8">
        <v>10000</v>
      </c>
      <c r="E579" s="8"/>
      <c r="F579" s="8">
        <f t="shared" ref="F579:F642" si="9">F578-D579+E579</f>
        <v>41969</v>
      </c>
      <c r="G579" s="26"/>
    </row>
    <row r="580" spans="1:7" x14ac:dyDescent="0.25">
      <c r="A580" s="61">
        <v>42637</v>
      </c>
      <c r="B580" s="26" t="s">
        <v>231</v>
      </c>
      <c r="C580" s="87" t="s">
        <v>295</v>
      </c>
      <c r="D580" s="8">
        <v>1000</v>
      </c>
      <c r="E580" s="8"/>
      <c r="F580" s="8">
        <f t="shared" si="9"/>
        <v>40969</v>
      </c>
      <c r="G580" s="26"/>
    </row>
    <row r="581" spans="1:7" x14ac:dyDescent="0.25">
      <c r="A581" s="61">
        <v>42637</v>
      </c>
      <c r="B581" s="26" t="s">
        <v>5</v>
      </c>
      <c r="C581" s="87" t="s">
        <v>295</v>
      </c>
      <c r="D581" s="8">
        <v>3000</v>
      </c>
      <c r="E581" s="8"/>
      <c r="F581" s="8">
        <f t="shared" si="9"/>
        <v>37969</v>
      </c>
      <c r="G581" s="26"/>
    </row>
    <row r="582" spans="1:7" x14ac:dyDescent="0.25">
      <c r="A582" s="61">
        <v>42637</v>
      </c>
      <c r="B582" s="26" t="s">
        <v>26</v>
      </c>
      <c r="C582" s="87" t="s">
        <v>578</v>
      </c>
      <c r="D582" s="8">
        <v>90</v>
      </c>
      <c r="E582" s="8"/>
      <c r="F582" s="8">
        <f t="shared" si="9"/>
        <v>37879</v>
      </c>
      <c r="G582" s="26"/>
    </row>
    <row r="583" spans="1:7" x14ac:dyDescent="0.25">
      <c r="A583" s="61">
        <v>42637</v>
      </c>
      <c r="B583" s="26" t="s">
        <v>40</v>
      </c>
      <c r="C583" s="87" t="s">
        <v>584</v>
      </c>
      <c r="D583" s="8">
        <v>1000</v>
      </c>
      <c r="E583" s="8"/>
      <c r="F583" s="8">
        <f t="shared" si="9"/>
        <v>36879</v>
      </c>
      <c r="G583" s="26"/>
    </row>
    <row r="584" spans="1:7" x14ac:dyDescent="0.25">
      <c r="A584" s="61">
        <v>42637</v>
      </c>
      <c r="B584" s="26" t="s">
        <v>5</v>
      </c>
      <c r="C584" s="87" t="s">
        <v>583</v>
      </c>
      <c r="D584" s="8">
        <v>3000</v>
      </c>
      <c r="E584" s="8"/>
      <c r="F584" s="8">
        <f t="shared" si="9"/>
        <v>33879</v>
      </c>
      <c r="G584" s="26"/>
    </row>
    <row r="585" spans="1:7" x14ac:dyDescent="0.25">
      <c r="A585" s="61">
        <v>42637</v>
      </c>
      <c r="B585" s="26" t="s">
        <v>581</v>
      </c>
      <c r="C585" s="87" t="s">
        <v>582</v>
      </c>
      <c r="D585" s="8">
        <v>10000</v>
      </c>
      <c r="E585" s="8"/>
      <c r="F585" s="8">
        <f t="shared" si="9"/>
        <v>23879</v>
      </c>
      <c r="G585" s="26"/>
    </row>
    <row r="586" spans="1:7" x14ac:dyDescent="0.25">
      <c r="A586" s="61">
        <v>42637</v>
      </c>
      <c r="B586" s="26" t="s">
        <v>128</v>
      </c>
      <c r="C586" s="87" t="s">
        <v>585</v>
      </c>
      <c r="D586" s="8">
        <v>3280</v>
      </c>
      <c r="E586" s="8"/>
      <c r="F586" s="8">
        <f t="shared" si="9"/>
        <v>20599</v>
      </c>
      <c r="G586" s="26"/>
    </row>
    <row r="587" spans="1:7" x14ac:dyDescent="0.25">
      <c r="A587" s="61">
        <v>42637</v>
      </c>
      <c r="B587" s="26" t="s">
        <v>161</v>
      </c>
      <c r="C587" s="87" t="s">
        <v>586</v>
      </c>
      <c r="D587" s="8">
        <v>15000</v>
      </c>
      <c r="E587" s="8"/>
      <c r="F587" s="8">
        <f t="shared" si="9"/>
        <v>5599</v>
      </c>
      <c r="G587" s="26"/>
    </row>
    <row r="588" spans="1:7" x14ac:dyDescent="0.25">
      <c r="A588" s="55">
        <v>42639</v>
      </c>
      <c r="B588" s="462" t="s">
        <v>658</v>
      </c>
      <c r="C588" s="463"/>
      <c r="D588" s="71"/>
      <c r="E588" s="58">
        <v>100000</v>
      </c>
      <c r="F588" s="8">
        <f t="shared" si="9"/>
        <v>105599</v>
      </c>
      <c r="G588" s="26"/>
    </row>
    <row r="589" spans="1:7" x14ac:dyDescent="0.25">
      <c r="A589" s="61">
        <v>42639</v>
      </c>
      <c r="B589" s="29" t="s">
        <v>542</v>
      </c>
      <c r="C589" s="89" t="s">
        <v>32</v>
      </c>
      <c r="D589" s="14">
        <v>11000</v>
      </c>
      <c r="E589" s="8"/>
      <c r="F589" s="8">
        <f t="shared" si="9"/>
        <v>94599</v>
      </c>
      <c r="G589" s="26"/>
    </row>
    <row r="590" spans="1:7" ht="30" x14ac:dyDescent="0.25">
      <c r="A590" s="61">
        <v>42639</v>
      </c>
      <c r="B590" s="26" t="s">
        <v>59</v>
      </c>
      <c r="C590" s="87" t="s">
        <v>587</v>
      </c>
      <c r="D590" s="8">
        <v>200</v>
      </c>
      <c r="E590" s="8"/>
      <c r="F590" s="8">
        <f t="shared" si="9"/>
        <v>94399</v>
      </c>
      <c r="G590" s="26"/>
    </row>
    <row r="591" spans="1:7" x14ac:dyDescent="0.25">
      <c r="A591" s="61">
        <v>42639</v>
      </c>
      <c r="B591" s="26" t="s">
        <v>588</v>
      </c>
      <c r="C591" s="87" t="s">
        <v>589</v>
      </c>
      <c r="D591" s="8">
        <v>100</v>
      </c>
      <c r="E591" s="8"/>
      <c r="F591" s="8">
        <f t="shared" si="9"/>
        <v>94299</v>
      </c>
      <c r="G591" s="26"/>
    </row>
    <row r="592" spans="1:7" x14ac:dyDescent="0.25">
      <c r="A592" s="61">
        <v>42639</v>
      </c>
      <c r="B592" s="26" t="s">
        <v>5</v>
      </c>
      <c r="C592" s="87" t="s">
        <v>592</v>
      </c>
      <c r="D592" s="8">
        <v>50</v>
      </c>
      <c r="E592" s="8"/>
      <c r="F592" s="8">
        <f t="shared" si="9"/>
        <v>94249</v>
      </c>
      <c r="G592" s="26"/>
    </row>
    <row r="593" spans="1:7" x14ac:dyDescent="0.25">
      <c r="A593" s="61">
        <v>42639</v>
      </c>
      <c r="B593" s="26" t="s">
        <v>5</v>
      </c>
      <c r="C593" s="87" t="s">
        <v>578</v>
      </c>
      <c r="D593" s="8">
        <v>90</v>
      </c>
      <c r="E593" s="8"/>
      <c r="F593" s="8">
        <f t="shared" si="9"/>
        <v>94159</v>
      </c>
      <c r="G593" s="26"/>
    </row>
    <row r="594" spans="1:7" x14ac:dyDescent="0.25">
      <c r="A594" s="61">
        <v>42639</v>
      </c>
      <c r="B594" s="26" t="s">
        <v>155</v>
      </c>
      <c r="C594" s="87" t="s">
        <v>32</v>
      </c>
      <c r="D594" s="8">
        <v>4500</v>
      </c>
      <c r="E594" s="8"/>
      <c r="F594" s="8">
        <f t="shared" si="9"/>
        <v>89659</v>
      </c>
      <c r="G594" s="26"/>
    </row>
    <row r="595" spans="1:7" x14ac:dyDescent="0.25">
      <c r="A595" s="61">
        <v>42639</v>
      </c>
      <c r="B595" s="26" t="s">
        <v>174</v>
      </c>
      <c r="C595" s="87"/>
      <c r="D595" s="8">
        <v>500</v>
      </c>
      <c r="E595" s="8"/>
      <c r="F595" s="8">
        <f t="shared" si="9"/>
        <v>89159</v>
      </c>
      <c r="G595" s="26"/>
    </row>
    <row r="596" spans="1:7" x14ac:dyDescent="0.25">
      <c r="A596" s="61">
        <v>42639</v>
      </c>
      <c r="B596" s="194" t="s">
        <v>182</v>
      </c>
      <c r="C596" s="195" t="s">
        <v>769</v>
      </c>
      <c r="D596" s="74">
        <v>2770</v>
      </c>
      <c r="E596" s="8"/>
      <c r="F596" s="8">
        <f t="shared" si="9"/>
        <v>86389</v>
      </c>
      <c r="G596" s="26"/>
    </row>
    <row r="597" spans="1:7" x14ac:dyDescent="0.25">
      <c r="A597" s="61">
        <v>42639</v>
      </c>
      <c r="B597" s="26" t="s">
        <v>124</v>
      </c>
      <c r="C597" s="87" t="s">
        <v>236</v>
      </c>
      <c r="D597" s="8">
        <v>1000</v>
      </c>
      <c r="E597" s="8"/>
      <c r="F597" s="8">
        <f t="shared" si="9"/>
        <v>85389</v>
      </c>
      <c r="G597" s="26"/>
    </row>
    <row r="598" spans="1:7" x14ac:dyDescent="0.25">
      <c r="A598" s="61">
        <v>42639</v>
      </c>
      <c r="B598" s="26" t="s">
        <v>124</v>
      </c>
      <c r="C598" s="87" t="s">
        <v>591</v>
      </c>
      <c r="D598" s="8">
        <v>1500</v>
      </c>
      <c r="E598" s="8"/>
      <c r="F598" s="8">
        <f t="shared" si="9"/>
        <v>83889</v>
      </c>
      <c r="G598" s="26"/>
    </row>
    <row r="599" spans="1:7" x14ac:dyDescent="0.25">
      <c r="A599" s="61">
        <v>42639</v>
      </c>
      <c r="B599" s="26" t="s">
        <v>5</v>
      </c>
      <c r="C599" s="87" t="s">
        <v>257</v>
      </c>
      <c r="D599" s="8">
        <v>50</v>
      </c>
      <c r="E599" s="8"/>
      <c r="F599" s="8">
        <f t="shared" si="9"/>
        <v>83839</v>
      </c>
      <c r="G599" s="26"/>
    </row>
    <row r="600" spans="1:7" x14ac:dyDescent="0.25">
      <c r="A600" s="61">
        <v>42639</v>
      </c>
      <c r="B600" s="194" t="s">
        <v>5</v>
      </c>
      <c r="C600" s="195" t="s">
        <v>34</v>
      </c>
      <c r="D600" s="74">
        <v>500</v>
      </c>
      <c r="E600" s="8"/>
      <c r="F600" s="8">
        <f t="shared" si="9"/>
        <v>83339</v>
      </c>
      <c r="G600" s="26"/>
    </row>
    <row r="601" spans="1:7" x14ac:dyDescent="0.25">
      <c r="A601" s="61">
        <v>42639</v>
      </c>
      <c r="B601" s="26" t="s">
        <v>5</v>
      </c>
      <c r="C601" s="87" t="s">
        <v>78</v>
      </c>
      <c r="D601" s="8">
        <v>250</v>
      </c>
      <c r="E601" s="8"/>
      <c r="F601" s="8">
        <f t="shared" si="9"/>
        <v>83089</v>
      </c>
      <c r="G601" s="26"/>
    </row>
    <row r="602" spans="1:7" x14ac:dyDescent="0.25">
      <c r="A602" s="55">
        <v>42639</v>
      </c>
      <c r="B602" s="462" t="s">
        <v>598</v>
      </c>
      <c r="C602" s="463"/>
      <c r="D602" s="71"/>
      <c r="E602" s="58">
        <v>500000</v>
      </c>
      <c r="F602" s="8">
        <f t="shared" si="9"/>
        <v>583089</v>
      </c>
      <c r="G602" s="26"/>
    </row>
    <row r="603" spans="1:7" x14ac:dyDescent="0.25">
      <c r="A603" s="61">
        <v>42639</v>
      </c>
      <c r="B603" s="26" t="s">
        <v>128</v>
      </c>
      <c r="C603" s="87" t="s">
        <v>34</v>
      </c>
      <c r="D603" s="8">
        <v>2500</v>
      </c>
      <c r="E603" s="8"/>
      <c r="F603" s="8">
        <f t="shared" si="9"/>
        <v>580589</v>
      </c>
      <c r="G603" s="26"/>
    </row>
    <row r="604" spans="1:7" x14ac:dyDescent="0.25">
      <c r="A604" s="61">
        <v>42639</v>
      </c>
      <c r="B604" s="26" t="s">
        <v>5</v>
      </c>
      <c r="C604" s="87" t="s">
        <v>600</v>
      </c>
      <c r="D604" s="8">
        <v>40000</v>
      </c>
      <c r="E604" s="8"/>
      <c r="F604" s="8">
        <f t="shared" si="9"/>
        <v>540589</v>
      </c>
      <c r="G604" s="26"/>
    </row>
    <row r="605" spans="1:7" x14ac:dyDescent="0.25">
      <c r="A605" s="61">
        <v>42639</v>
      </c>
      <c r="B605" s="26" t="s">
        <v>100</v>
      </c>
      <c r="C605" s="87" t="s">
        <v>599</v>
      </c>
      <c r="D605" s="8">
        <v>91115</v>
      </c>
      <c r="E605" s="8"/>
      <c r="F605" s="8">
        <f t="shared" si="9"/>
        <v>449474</v>
      </c>
      <c r="G605" s="26"/>
    </row>
    <row r="606" spans="1:7" x14ac:dyDescent="0.25">
      <c r="A606" s="61">
        <v>42639</v>
      </c>
      <c r="B606" s="26" t="s">
        <v>157</v>
      </c>
      <c r="C606" s="87" t="s">
        <v>7</v>
      </c>
      <c r="D606" s="8">
        <v>500</v>
      </c>
      <c r="E606" s="8"/>
      <c r="F606" s="8">
        <f t="shared" si="9"/>
        <v>448974</v>
      </c>
      <c r="G606" s="26"/>
    </row>
    <row r="607" spans="1:7" x14ac:dyDescent="0.25">
      <c r="A607" s="55">
        <v>42640</v>
      </c>
      <c r="B607" s="462" t="s">
        <v>593</v>
      </c>
      <c r="C607" s="463"/>
      <c r="D607" s="71"/>
      <c r="E607" s="58">
        <v>1500</v>
      </c>
      <c r="F607" s="8">
        <f t="shared" si="9"/>
        <v>450474</v>
      </c>
      <c r="G607" s="26"/>
    </row>
    <row r="608" spans="1:7" x14ac:dyDescent="0.25">
      <c r="A608" s="61">
        <v>42640</v>
      </c>
      <c r="B608" s="26" t="s">
        <v>165</v>
      </c>
      <c r="C608" s="87" t="s">
        <v>595</v>
      </c>
      <c r="D608" s="8">
        <v>10000</v>
      </c>
      <c r="E608" s="8"/>
      <c r="F608" s="8">
        <f t="shared" si="9"/>
        <v>440474</v>
      </c>
      <c r="G608" s="26"/>
    </row>
    <row r="609" spans="1:7" x14ac:dyDescent="0.25">
      <c r="A609" s="61">
        <v>42640</v>
      </c>
      <c r="B609" s="26" t="s">
        <v>17</v>
      </c>
      <c r="C609" s="87" t="s">
        <v>594</v>
      </c>
      <c r="D609" s="8">
        <v>15000</v>
      </c>
      <c r="E609" s="8"/>
      <c r="F609" s="8">
        <f t="shared" si="9"/>
        <v>425474</v>
      </c>
      <c r="G609" s="26"/>
    </row>
    <row r="610" spans="1:7" x14ac:dyDescent="0.25">
      <c r="A610" s="61">
        <v>42640</v>
      </c>
      <c r="B610" s="26" t="s">
        <v>37</v>
      </c>
      <c r="C610" s="87" t="s">
        <v>32</v>
      </c>
      <c r="D610" s="8">
        <v>1000</v>
      </c>
      <c r="E610" s="8"/>
      <c r="F610" s="8">
        <f t="shared" si="9"/>
        <v>424474</v>
      </c>
      <c r="G610" s="26"/>
    </row>
    <row r="611" spans="1:7" x14ac:dyDescent="0.25">
      <c r="A611" s="61">
        <v>42640</v>
      </c>
      <c r="B611" s="26" t="s">
        <v>26</v>
      </c>
      <c r="C611" s="87" t="s">
        <v>596</v>
      </c>
      <c r="D611" s="8">
        <v>477</v>
      </c>
      <c r="E611" s="8"/>
      <c r="F611" s="8">
        <f t="shared" si="9"/>
        <v>423997</v>
      </c>
      <c r="G611" s="26"/>
    </row>
    <row r="612" spans="1:7" x14ac:dyDescent="0.25">
      <c r="A612" s="61">
        <v>42640</v>
      </c>
      <c r="B612" s="26" t="s">
        <v>174</v>
      </c>
      <c r="C612" s="87" t="s">
        <v>597</v>
      </c>
      <c r="D612" s="8">
        <v>1800</v>
      </c>
      <c r="E612" s="8"/>
      <c r="F612" s="8">
        <f t="shared" si="9"/>
        <v>422197</v>
      </c>
      <c r="G612" s="26"/>
    </row>
    <row r="613" spans="1:7" x14ac:dyDescent="0.25">
      <c r="A613" s="61">
        <v>42640</v>
      </c>
      <c r="B613" s="26" t="s">
        <v>43</v>
      </c>
      <c r="C613" s="87" t="s">
        <v>32</v>
      </c>
      <c r="D613" s="8">
        <v>2000</v>
      </c>
      <c r="E613" s="8"/>
      <c r="F613" s="8">
        <f t="shared" si="9"/>
        <v>420197</v>
      </c>
      <c r="G613" s="26"/>
    </row>
    <row r="614" spans="1:7" x14ac:dyDescent="0.25">
      <c r="A614" s="61">
        <v>42640</v>
      </c>
      <c r="B614" s="26" t="s">
        <v>43</v>
      </c>
      <c r="C614" s="87" t="s">
        <v>32</v>
      </c>
      <c r="D614" s="8">
        <v>500</v>
      </c>
      <c r="E614" s="8"/>
      <c r="F614" s="8">
        <f t="shared" si="9"/>
        <v>419697</v>
      </c>
      <c r="G614" s="26"/>
    </row>
    <row r="615" spans="1:7" ht="30" x14ac:dyDescent="0.25">
      <c r="A615" s="61">
        <v>42640</v>
      </c>
      <c r="B615" s="26" t="s">
        <v>121</v>
      </c>
      <c r="C615" s="87" t="s">
        <v>601</v>
      </c>
      <c r="D615" s="8">
        <v>5000</v>
      </c>
      <c r="E615" s="8"/>
      <c r="F615" s="8">
        <f t="shared" si="9"/>
        <v>414697</v>
      </c>
      <c r="G615" s="26"/>
    </row>
    <row r="616" spans="1:7" x14ac:dyDescent="0.25">
      <c r="A616" s="61">
        <v>42640</v>
      </c>
      <c r="B616" s="26" t="s">
        <v>121</v>
      </c>
      <c r="C616" s="87" t="s">
        <v>602</v>
      </c>
      <c r="D616" s="8">
        <v>4750</v>
      </c>
      <c r="E616" s="8"/>
      <c r="F616" s="8">
        <f t="shared" si="9"/>
        <v>409947</v>
      </c>
      <c r="G616" s="26"/>
    </row>
    <row r="617" spans="1:7" x14ac:dyDescent="0.25">
      <c r="A617" s="61">
        <v>42640</v>
      </c>
      <c r="B617" s="26" t="s">
        <v>43</v>
      </c>
      <c r="C617" s="87" t="s">
        <v>32</v>
      </c>
      <c r="D617" s="8">
        <v>3000</v>
      </c>
      <c r="E617" s="8"/>
      <c r="F617" s="8">
        <f t="shared" si="9"/>
        <v>406947</v>
      </c>
      <c r="G617" s="26"/>
    </row>
    <row r="618" spans="1:7" x14ac:dyDescent="0.25">
      <c r="A618" s="61">
        <v>42640</v>
      </c>
      <c r="B618" s="29" t="s">
        <v>123</v>
      </c>
      <c r="C618" s="89" t="s">
        <v>620</v>
      </c>
      <c r="D618" s="14">
        <v>10000</v>
      </c>
      <c r="E618" s="8"/>
      <c r="F618" s="8">
        <f t="shared" si="9"/>
        <v>396947</v>
      </c>
      <c r="G618" s="26"/>
    </row>
    <row r="619" spans="1:7" x14ac:dyDescent="0.25">
      <c r="A619" s="61">
        <v>42640</v>
      </c>
      <c r="B619" s="26" t="s">
        <v>128</v>
      </c>
      <c r="C619" s="87" t="s">
        <v>603</v>
      </c>
      <c r="D619" s="8">
        <v>170</v>
      </c>
      <c r="E619" s="8"/>
      <c r="F619" s="8">
        <f t="shared" si="9"/>
        <v>396777</v>
      </c>
      <c r="G619" s="26"/>
    </row>
    <row r="620" spans="1:7" x14ac:dyDescent="0.25">
      <c r="A620" s="61">
        <v>42640</v>
      </c>
      <c r="B620" s="26" t="s">
        <v>428</v>
      </c>
      <c r="C620" s="87" t="s">
        <v>604</v>
      </c>
      <c r="D620" s="8">
        <v>20406</v>
      </c>
      <c r="E620" s="8"/>
      <c r="F620" s="8">
        <f t="shared" si="9"/>
        <v>376371</v>
      </c>
      <c r="G620" s="26"/>
    </row>
    <row r="621" spans="1:7" x14ac:dyDescent="0.25">
      <c r="A621" s="61">
        <v>42640</v>
      </c>
      <c r="B621" s="29" t="s">
        <v>40</v>
      </c>
      <c r="C621" s="89" t="s">
        <v>605</v>
      </c>
      <c r="D621" s="14">
        <v>2000</v>
      </c>
      <c r="E621" s="8"/>
      <c r="F621" s="8">
        <f t="shared" si="9"/>
        <v>374371</v>
      </c>
      <c r="G621" s="26"/>
    </row>
    <row r="622" spans="1:7" x14ac:dyDescent="0.25">
      <c r="A622" s="61">
        <v>42641</v>
      </c>
      <c r="B622" s="26" t="s">
        <v>121</v>
      </c>
      <c r="C622" s="87" t="s">
        <v>22</v>
      </c>
      <c r="D622" s="8">
        <v>7000</v>
      </c>
      <c r="E622" s="8"/>
      <c r="F622" s="8">
        <f t="shared" si="9"/>
        <v>367371</v>
      </c>
      <c r="G622" s="26"/>
    </row>
    <row r="623" spans="1:7" x14ac:dyDescent="0.25">
      <c r="A623" s="61">
        <v>42641</v>
      </c>
      <c r="B623" s="26" t="s">
        <v>26</v>
      </c>
      <c r="C623" s="87" t="s">
        <v>606</v>
      </c>
      <c r="D623" s="8">
        <v>100</v>
      </c>
      <c r="E623" s="8"/>
      <c r="F623" s="8">
        <f t="shared" si="9"/>
        <v>367271</v>
      </c>
      <c r="G623" s="26"/>
    </row>
    <row r="624" spans="1:7" x14ac:dyDescent="0.25">
      <c r="A624" s="61">
        <v>42641</v>
      </c>
      <c r="B624" s="26" t="s">
        <v>165</v>
      </c>
      <c r="C624" s="87" t="s">
        <v>295</v>
      </c>
      <c r="D624" s="8">
        <v>10000</v>
      </c>
      <c r="E624" s="8"/>
      <c r="F624" s="8">
        <f t="shared" si="9"/>
        <v>357271</v>
      </c>
      <c r="G624" s="26"/>
    </row>
    <row r="625" spans="1:7" x14ac:dyDescent="0.25">
      <c r="A625" s="61">
        <v>42641</v>
      </c>
      <c r="B625" s="26" t="s">
        <v>26</v>
      </c>
      <c r="C625" s="87" t="s">
        <v>607</v>
      </c>
      <c r="D625" s="8">
        <v>720</v>
      </c>
      <c r="E625" s="8"/>
      <c r="F625" s="8">
        <f t="shared" si="9"/>
        <v>356551</v>
      </c>
      <c r="G625" s="26"/>
    </row>
    <row r="626" spans="1:7" x14ac:dyDescent="0.25">
      <c r="A626" s="61">
        <v>42641</v>
      </c>
      <c r="B626" s="26" t="s">
        <v>61</v>
      </c>
      <c r="C626" s="87" t="s">
        <v>608</v>
      </c>
      <c r="D626" s="8">
        <v>1000</v>
      </c>
      <c r="E626" s="8"/>
      <c r="F626" s="8">
        <f t="shared" si="9"/>
        <v>355551</v>
      </c>
      <c r="G626" s="26"/>
    </row>
    <row r="627" spans="1:7" x14ac:dyDescent="0.25">
      <c r="A627" s="61">
        <v>42641</v>
      </c>
      <c r="B627" s="26" t="s">
        <v>26</v>
      </c>
      <c r="C627" s="87" t="s">
        <v>611</v>
      </c>
      <c r="D627" s="8">
        <v>350</v>
      </c>
      <c r="E627" s="8"/>
      <c r="F627" s="8">
        <f t="shared" si="9"/>
        <v>355201</v>
      </c>
      <c r="G627" s="26"/>
    </row>
    <row r="628" spans="1:7" x14ac:dyDescent="0.25">
      <c r="A628" s="61">
        <v>42641</v>
      </c>
      <c r="B628" s="26" t="s">
        <v>161</v>
      </c>
      <c r="C628" s="87" t="s">
        <v>609</v>
      </c>
      <c r="D628" s="8">
        <v>3000</v>
      </c>
      <c r="E628" s="8"/>
      <c r="F628" s="8">
        <f t="shared" si="9"/>
        <v>352201</v>
      </c>
      <c r="G628" s="26"/>
    </row>
    <row r="629" spans="1:7" x14ac:dyDescent="0.25">
      <c r="A629" s="61">
        <v>42641</v>
      </c>
      <c r="B629" s="26" t="s">
        <v>128</v>
      </c>
      <c r="C629" s="87" t="s">
        <v>610</v>
      </c>
      <c r="D629" s="8">
        <v>1500</v>
      </c>
      <c r="E629" s="8"/>
      <c r="F629" s="8">
        <f t="shared" si="9"/>
        <v>350701</v>
      </c>
      <c r="G629" s="26"/>
    </row>
    <row r="630" spans="1:7" x14ac:dyDescent="0.25">
      <c r="A630" s="61">
        <v>42641</v>
      </c>
      <c r="B630" s="26" t="s">
        <v>26</v>
      </c>
      <c r="C630" s="87" t="s">
        <v>52</v>
      </c>
      <c r="D630" s="8">
        <v>80</v>
      </c>
      <c r="E630" s="8"/>
      <c r="F630" s="8">
        <f t="shared" si="9"/>
        <v>350621</v>
      </c>
      <c r="G630" s="26"/>
    </row>
    <row r="631" spans="1:7" x14ac:dyDescent="0.25">
      <c r="A631" s="61">
        <v>42642</v>
      </c>
      <c r="B631" s="29" t="s">
        <v>117</v>
      </c>
      <c r="C631" s="89" t="s">
        <v>612</v>
      </c>
      <c r="D631" s="14">
        <v>500</v>
      </c>
      <c r="E631" s="8"/>
      <c r="F631" s="8">
        <f t="shared" si="9"/>
        <v>350121</v>
      </c>
      <c r="G631" s="26"/>
    </row>
    <row r="632" spans="1:7" x14ac:dyDescent="0.25">
      <c r="A632" s="61">
        <v>42642</v>
      </c>
      <c r="B632" s="26" t="s">
        <v>26</v>
      </c>
      <c r="C632" s="87" t="s">
        <v>470</v>
      </c>
      <c r="D632" s="8">
        <v>100</v>
      </c>
      <c r="E632" s="8"/>
      <c r="F632" s="8">
        <f t="shared" si="9"/>
        <v>350021</v>
      </c>
      <c r="G632" s="26"/>
    </row>
    <row r="633" spans="1:7" x14ac:dyDescent="0.25">
      <c r="A633" s="61">
        <v>42642</v>
      </c>
      <c r="B633" s="26" t="s">
        <v>43</v>
      </c>
      <c r="C633" s="87" t="s">
        <v>475</v>
      </c>
      <c r="D633" s="8">
        <v>3000</v>
      </c>
      <c r="E633" s="8"/>
      <c r="F633" s="8">
        <f t="shared" si="9"/>
        <v>347021</v>
      </c>
      <c r="G633" s="26"/>
    </row>
    <row r="634" spans="1:7" x14ac:dyDescent="0.25">
      <c r="A634" s="61">
        <v>42642</v>
      </c>
      <c r="B634" s="26" t="s">
        <v>396</v>
      </c>
      <c r="C634" s="87" t="s">
        <v>613</v>
      </c>
      <c r="D634" s="8">
        <v>100</v>
      </c>
      <c r="E634" s="8"/>
      <c r="F634" s="8">
        <f t="shared" si="9"/>
        <v>346921</v>
      </c>
      <c r="G634" s="26"/>
    </row>
    <row r="635" spans="1:7" x14ac:dyDescent="0.25">
      <c r="A635" s="61">
        <v>42642</v>
      </c>
      <c r="B635" s="26" t="s">
        <v>687</v>
      </c>
      <c r="C635" s="87" t="s">
        <v>122</v>
      </c>
      <c r="D635" s="8">
        <v>5000</v>
      </c>
      <c r="E635" s="8"/>
      <c r="F635" s="8">
        <f t="shared" si="9"/>
        <v>341921</v>
      </c>
      <c r="G635" s="26"/>
    </row>
    <row r="636" spans="1:7" x14ac:dyDescent="0.25">
      <c r="A636" s="61">
        <v>42642</v>
      </c>
      <c r="B636" s="26" t="s">
        <v>687</v>
      </c>
      <c r="C636" s="87" t="s">
        <v>122</v>
      </c>
      <c r="D636" s="8">
        <v>2000</v>
      </c>
      <c r="E636" s="8"/>
      <c r="F636" s="8">
        <f t="shared" si="9"/>
        <v>339921</v>
      </c>
      <c r="G636" s="26"/>
    </row>
    <row r="637" spans="1:7" x14ac:dyDescent="0.25">
      <c r="A637" s="61">
        <v>42642</v>
      </c>
      <c r="B637" s="26" t="s">
        <v>614</v>
      </c>
      <c r="C637" s="87" t="s">
        <v>41</v>
      </c>
      <c r="D637" s="8">
        <v>51879</v>
      </c>
      <c r="E637" s="8"/>
      <c r="F637" s="8">
        <f t="shared" si="9"/>
        <v>288042</v>
      </c>
      <c r="G637" s="26"/>
    </row>
    <row r="638" spans="1:7" x14ac:dyDescent="0.25">
      <c r="A638" s="61">
        <v>42642</v>
      </c>
      <c r="B638" s="26" t="s">
        <v>10</v>
      </c>
      <c r="C638" s="87" t="s">
        <v>646</v>
      </c>
      <c r="D638" s="8">
        <v>470</v>
      </c>
      <c r="E638" s="8"/>
      <c r="F638" s="8">
        <f t="shared" si="9"/>
        <v>287572</v>
      </c>
      <c r="G638" s="26"/>
    </row>
    <row r="639" spans="1:7" x14ac:dyDescent="0.25">
      <c r="A639" s="61">
        <v>42643</v>
      </c>
      <c r="B639" s="26" t="s">
        <v>121</v>
      </c>
      <c r="C639" s="87" t="s">
        <v>34</v>
      </c>
      <c r="D639" s="8">
        <v>5000</v>
      </c>
      <c r="E639" s="8"/>
      <c r="F639" s="8">
        <f t="shared" si="9"/>
        <v>282572</v>
      </c>
      <c r="G639" s="26"/>
    </row>
    <row r="640" spans="1:7" x14ac:dyDescent="0.25">
      <c r="A640" s="61">
        <v>42643</v>
      </c>
      <c r="B640" s="26" t="s">
        <v>26</v>
      </c>
      <c r="C640" s="87" t="s">
        <v>615</v>
      </c>
      <c r="D640" s="8">
        <v>140</v>
      </c>
      <c r="E640" s="8"/>
      <c r="F640" s="8">
        <f t="shared" si="9"/>
        <v>282432</v>
      </c>
      <c r="G640" s="26"/>
    </row>
    <row r="641" spans="1:7" x14ac:dyDescent="0.25">
      <c r="A641" s="61">
        <v>42643</v>
      </c>
      <c r="B641" s="26" t="s">
        <v>128</v>
      </c>
      <c r="C641" s="87" t="s">
        <v>616</v>
      </c>
      <c r="D641" s="8">
        <v>1500</v>
      </c>
      <c r="E641" s="8"/>
      <c r="F641" s="8">
        <f t="shared" si="9"/>
        <v>280932</v>
      </c>
      <c r="G641" s="26"/>
    </row>
    <row r="642" spans="1:7" x14ac:dyDescent="0.25">
      <c r="A642" s="61">
        <v>42643</v>
      </c>
      <c r="B642" s="26" t="s">
        <v>105</v>
      </c>
      <c r="C642" s="87" t="s">
        <v>78</v>
      </c>
      <c r="D642" s="8">
        <v>500</v>
      </c>
      <c r="E642" s="8"/>
      <c r="F642" s="8">
        <f t="shared" si="9"/>
        <v>280432</v>
      </c>
      <c r="G642" s="26"/>
    </row>
    <row r="643" spans="1:7" x14ac:dyDescent="0.25">
      <c r="A643" s="61">
        <v>42643</v>
      </c>
      <c r="B643" s="26" t="s">
        <v>37</v>
      </c>
      <c r="C643" s="87" t="s">
        <v>32</v>
      </c>
      <c r="D643" s="8">
        <v>500</v>
      </c>
      <c r="E643" s="8"/>
      <c r="F643" s="8">
        <f t="shared" ref="F643:F706" si="10">F642-D643+E643</f>
        <v>279932</v>
      </c>
      <c r="G643" s="26"/>
    </row>
    <row r="644" spans="1:7" x14ac:dyDescent="0.25">
      <c r="A644" s="61">
        <v>42643</v>
      </c>
      <c r="B644" s="26" t="s">
        <v>40</v>
      </c>
      <c r="C644" s="87" t="s">
        <v>617</v>
      </c>
      <c r="D644" s="8">
        <v>100</v>
      </c>
      <c r="E644" s="8"/>
      <c r="F644" s="8">
        <f t="shared" si="10"/>
        <v>279832</v>
      </c>
      <c r="G644" s="26"/>
    </row>
    <row r="645" spans="1:7" x14ac:dyDescent="0.25">
      <c r="A645" s="61">
        <v>42643</v>
      </c>
      <c r="B645" s="26" t="s">
        <v>128</v>
      </c>
      <c r="C645" s="87" t="s">
        <v>34</v>
      </c>
      <c r="D645" s="8">
        <v>3000</v>
      </c>
      <c r="E645" s="8"/>
      <c r="F645" s="8">
        <f t="shared" si="10"/>
        <v>276832</v>
      </c>
      <c r="G645" s="26"/>
    </row>
    <row r="646" spans="1:7" x14ac:dyDescent="0.25">
      <c r="A646" s="61">
        <v>42643</v>
      </c>
      <c r="B646" s="29" t="s">
        <v>124</v>
      </c>
      <c r="C646" s="89" t="s">
        <v>618</v>
      </c>
      <c r="D646" s="14">
        <v>1200</v>
      </c>
      <c r="E646" s="8"/>
      <c r="F646" s="8">
        <f t="shared" si="10"/>
        <v>275632</v>
      </c>
      <c r="G646" s="26"/>
    </row>
    <row r="647" spans="1:7" ht="30" x14ac:dyDescent="0.25">
      <c r="A647" s="61">
        <v>42644</v>
      </c>
      <c r="B647" s="29" t="s">
        <v>23</v>
      </c>
      <c r="C647" s="89" t="s">
        <v>642</v>
      </c>
      <c r="D647" s="14">
        <v>4500</v>
      </c>
      <c r="E647" s="8"/>
      <c r="F647" s="8">
        <f t="shared" si="10"/>
        <v>271132</v>
      </c>
      <c r="G647" s="26"/>
    </row>
    <row r="648" spans="1:7" x14ac:dyDescent="0.25">
      <c r="A648" s="61">
        <v>42644</v>
      </c>
      <c r="B648" s="26" t="s">
        <v>396</v>
      </c>
      <c r="C648" s="87" t="s">
        <v>619</v>
      </c>
      <c r="D648" s="8">
        <v>100</v>
      </c>
      <c r="E648" s="8"/>
      <c r="F648" s="8">
        <f t="shared" si="10"/>
        <v>271032</v>
      </c>
      <c r="G648" s="26"/>
    </row>
    <row r="649" spans="1:7" x14ac:dyDescent="0.25">
      <c r="A649" s="61">
        <v>42644</v>
      </c>
      <c r="B649" s="26" t="s">
        <v>40</v>
      </c>
      <c r="C649" s="87" t="s">
        <v>621</v>
      </c>
      <c r="D649" s="8">
        <v>2000</v>
      </c>
      <c r="E649" s="8"/>
      <c r="F649" s="8">
        <f t="shared" si="10"/>
        <v>269032</v>
      </c>
      <c r="G649" s="26"/>
    </row>
    <row r="650" spans="1:7" x14ac:dyDescent="0.25">
      <c r="A650" s="61">
        <v>42644</v>
      </c>
      <c r="B650" s="26" t="s">
        <v>10</v>
      </c>
      <c r="C650" s="87" t="s">
        <v>622</v>
      </c>
      <c r="D650" s="8">
        <v>2000</v>
      </c>
      <c r="E650" s="8"/>
      <c r="F650" s="8">
        <f t="shared" si="10"/>
        <v>267032</v>
      </c>
      <c r="G650" s="26"/>
    </row>
    <row r="651" spans="1:7" x14ac:dyDescent="0.25">
      <c r="A651" s="61">
        <v>42644</v>
      </c>
      <c r="B651" s="26" t="s">
        <v>157</v>
      </c>
      <c r="C651" s="87" t="s">
        <v>32</v>
      </c>
      <c r="D651" s="8">
        <v>100</v>
      </c>
      <c r="E651" s="8"/>
      <c r="F651" s="8">
        <f t="shared" si="10"/>
        <v>266932</v>
      </c>
      <c r="G651" s="26"/>
    </row>
    <row r="652" spans="1:7" ht="45" x14ac:dyDescent="0.25">
      <c r="A652" s="61">
        <v>42644</v>
      </c>
      <c r="B652" s="29" t="s">
        <v>124</v>
      </c>
      <c r="C652" s="89" t="s">
        <v>632</v>
      </c>
      <c r="D652" s="14">
        <v>6220</v>
      </c>
      <c r="E652" s="14"/>
      <c r="F652" s="8">
        <f t="shared" si="10"/>
        <v>260712</v>
      </c>
      <c r="G652" s="29"/>
    </row>
    <row r="653" spans="1:7" x14ac:dyDescent="0.25">
      <c r="A653" s="61">
        <v>42644</v>
      </c>
      <c r="B653" s="26" t="s">
        <v>123</v>
      </c>
      <c r="C653" s="87" t="s">
        <v>623</v>
      </c>
      <c r="D653" s="8">
        <v>5200</v>
      </c>
      <c r="E653" s="8"/>
      <c r="F653" s="8">
        <f t="shared" si="10"/>
        <v>255512</v>
      </c>
      <c r="G653" s="26"/>
    </row>
    <row r="654" spans="1:7" x14ac:dyDescent="0.25">
      <c r="A654" s="61">
        <v>42644</v>
      </c>
      <c r="B654" s="26" t="s">
        <v>38</v>
      </c>
      <c r="C654" s="87" t="s">
        <v>624</v>
      </c>
      <c r="D654" s="8">
        <v>3000</v>
      </c>
      <c r="E654" s="8"/>
      <c r="F654" s="8">
        <f t="shared" si="10"/>
        <v>252512</v>
      </c>
      <c r="G654" s="26"/>
    </row>
    <row r="655" spans="1:7" x14ac:dyDescent="0.25">
      <c r="A655" s="61">
        <v>42644</v>
      </c>
      <c r="B655" s="29" t="s">
        <v>123</v>
      </c>
      <c r="C655" s="89" t="s">
        <v>628</v>
      </c>
      <c r="D655" s="14">
        <v>4850</v>
      </c>
      <c r="E655" s="8"/>
      <c r="F655" s="8">
        <f t="shared" si="10"/>
        <v>247662</v>
      </c>
      <c r="G655" s="26"/>
    </row>
    <row r="656" spans="1:7" x14ac:dyDescent="0.25">
      <c r="A656" s="61">
        <v>42644</v>
      </c>
      <c r="B656" s="26" t="s">
        <v>182</v>
      </c>
      <c r="C656" s="87" t="s">
        <v>625</v>
      </c>
      <c r="D656" s="8">
        <v>10000</v>
      </c>
      <c r="E656" s="8"/>
      <c r="F656" s="8">
        <f t="shared" si="10"/>
        <v>237662</v>
      </c>
      <c r="G656" s="26"/>
    </row>
    <row r="657" spans="1:7" x14ac:dyDescent="0.25">
      <c r="A657" s="61">
        <v>42644</v>
      </c>
      <c r="B657" s="26" t="s">
        <v>165</v>
      </c>
      <c r="C657" s="87" t="s">
        <v>295</v>
      </c>
      <c r="D657" s="8">
        <v>10000</v>
      </c>
      <c r="E657" s="8"/>
      <c r="F657" s="8">
        <f t="shared" si="10"/>
        <v>227662</v>
      </c>
      <c r="G657" s="26"/>
    </row>
    <row r="658" spans="1:7" x14ac:dyDescent="0.25">
      <c r="A658" s="61">
        <v>42644</v>
      </c>
      <c r="B658" s="26" t="s">
        <v>26</v>
      </c>
      <c r="C658" s="87" t="s">
        <v>627</v>
      </c>
      <c r="D658" s="8">
        <v>415</v>
      </c>
      <c r="E658" s="8"/>
      <c r="F658" s="8">
        <f t="shared" si="10"/>
        <v>227247</v>
      </c>
      <c r="G658" s="26"/>
    </row>
    <row r="659" spans="1:7" x14ac:dyDescent="0.25">
      <c r="A659" s="61">
        <v>42644</v>
      </c>
      <c r="B659" s="26" t="s">
        <v>161</v>
      </c>
      <c r="C659" s="87" t="s">
        <v>629</v>
      </c>
      <c r="D659" s="8">
        <v>1000</v>
      </c>
      <c r="E659" s="8"/>
      <c r="F659" s="8">
        <f t="shared" si="10"/>
        <v>226247</v>
      </c>
      <c r="G659" s="26"/>
    </row>
    <row r="660" spans="1:7" x14ac:dyDescent="0.25">
      <c r="A660" s="61">
        <v>42644</v>
      </c>
      <c r="B660" s="26" t="s">
        <v>285</v>
      </c>
      <c r="C660" s="87" t="s">
        <v>32</v>
      </c>
      <c r="D660" s="8">
        <v>1000</v>
      </c>
      <c r="E660" s="8"/>
      <c r="F660" s="8">
        <f t="shared" si="10"/>
        <v>225247</v>
      </c>
      <c r="G660" s="26"/>
    </row>
    <row r="661" spans="1:7" x14ac:dyDescent="0.25">
      <c r="A661" s="61">
        <v>42644</v>
      </c>
      <c r="B661" s="26" t="s">
        <v>285</v>
      </c>
      <c r="C661" s="87" t="s">
        <v>32</v>
      </c>
      <c r="D661" s="8">
        <v>2000</v>
      </c>
      <c r="E661" s="8"/>
      <c r="F661" s="8">
        <f t="shared" si="10"/>
        <v>223247</v>
      </c>
      <c r="G661" s="26"/>
    </row>
    <row r="662" spans="1:7" x14ac:dyDescent="0.25">
      <c r="A662" s="55">
        <v>42646</v>
      </c>
      <c r="B662" s="462" t="s">
        <v>631</v>
      </c>
      <c r="C662" s="463"/>
      <c r="D662" s="71"/>
      <c r="E662" s="58">
        <v>1800</v>
      </c>
      <c r="F662" s="8">
        <f t="shared" si="10"/>
        <v>225047</v>
      </c>
      <c r="G662" s="26"/>
    </row>
    <row r="663" spans="1:7" x14ac:dyDescent="0.25">
      <c r="A663" s="61">
        <v>42646</v>
      </c>
      <c r="B663" s="26" t="s">
        <v>38</v>
      </c>
      <c r="C663" s="87" t="s">
        <v>32</v>
      </c>
      <c r="D663" s="8">
        <v>1000</v>
      </c>
      <c r="E663" s="8"/>
      <c r="F663" s="8">
        <f t="shared" si="10"/>
        <v>224047</v>
      </c>
      <c r="G663" s="26"/>
    </row>
    <row r="664" spans="1:7" x14ac:dyDescent="0.25">
      <c r="A664" s="61">
        <v>42646</v>
      </c>
      <c r="B664" s="26" t="s">
        <v>396</v>
      </c>
      <c r="C664" s="87" t="s">
        <v>711</v>
      </c>
      <c r="D664" s="8">
        <v>100</v>
      </c>
      <c r="E664" s="8"/>
      <c r="F664" s="8">
        <f t="shared" si="10"/>
        <v>223947</v>
      </c>
      <c r="G664" s="26"/>
    </row>
    <row r="665" spans="1:7" x14ac:dyDescent="0.25">
      <c r="A665" s="61">
        <v>42646</v>
      </c>
      <c r="B665" s="26" t="s">
        <v>43</v>
      </c>
      <c r="C665" s="87" t="s">
        <v>32</v>
      </c>
      <c r="D665" s="8">
        <v>1500</v>
      </c>
      <c r="E665" s="8"/>
      <c r="F665" s="8">
        <f t="shared" si="10"/>
        <v>222447</v>
      </c>
      <c r="G665" s="26"/>
    </row>
    <row r="666" spans="1:7" x14ac:dyDescent="0.25">
      <c r="A666" s="61">
        <v>42646</v>
      </c>
      <c r="B666" s="29" t="s">
        <v>124</v>
      </c>
      <c r="C666" s="89" t="s">
        <v>633</v>
      </c>
      <c r="D666" s="14">
        <v>1000</v>
      </c>
      <c r="E666" s="8"/>
      <c r="F666" s="8">
        <f t="shared" si="10"/>
        <v>221447</v>
      </c>
      <c r="G666" s="26"/>
    </row>
    <row r="667" spans="1:7" x14ac:dyDescent="0.25">
      <c r="A667" s="61">
        <v>42646</v>
      </c>
      <c r="B667" s="29" t="s">
        <v>248</v>
      </c>
      <c r="C667" s="89" t="s">
        <v>454</v>
      </c>
      <c r="D667" s="14">
        <v>450</v>
      </c>
      <c r="E667" s="8"/>
      <c r="F667" s="8">
        <f t="shared" si="10"/>
        <v>220997</v>
      </c>
      <c r="G667" s="26"/>
    </row>
    <row r="668" spans="1:7" x14ac:dyDescent="0.25">
      <c r="A668" s="61">
        <v>42646</v>
      </c>
      <c r="B668" s="26" t="s">
        <v>43</v>
      </c>
      <c r="C668" s="87" t="s">
        <v>32</v>
      </c>
      <c r="D668" s="8">
        <v>1500</v>
      </c>
      <c r="E668" s="8"/>
      <c r="F668" s="8">
        <f t="shared" si="10"/>
        <v>219497</v>
      </c>
      <c r="G668" s="26"/>
    </row>
    <row r="669" spans="1:7" ht="30" x14ac:dyDescent="0.25">
      <c r="A669" s="61">
        <v>42646</v>
      </c>
      <c r="B669" s="26" t="s">
        <v>128</v>
      </c>
      <c r="C669" s="87" t="s">
        <v>634</v>
      </c>
      <c r="D669" s="8">
        <v>3713</v>
      </c>
      <c r="E669" s="8"/>
      <c r="F669" s="8">
        <f t="shared" si="10"/>
        <v>215784</v>
      </c>
      <c r="G669" s="26"/>
    </row>
    <row r="670" spans="1:7" x14ac:dyDescent="0.25">
      <c r="A670" s="61">
        <v>42646</v>
      </c>
      <c r="B670" s="26" t="s">
        <v>128</v>
      </c>
      <c r="C670" s="87" t="s">
        <v>86</v>
      </c>
      <c r="D670" s="8">
        <v>1000</v>
      </c>
      <c r="E670" s="8"/>
      <c r="F670" s="8">
        <f t="shared" si="10"/>
        <v>214784</v>
      </c>
      <c r="G670" s="26"/>
    </row>
    <row r="671" spans="1:7" x14ac:dyDescent="0.25">
      <c r="A671" s="61">
        <v>42646</v>
      </c>
      <c r="B671" s="26" t="s">
        <v>283</v>
      </c>
      <c r="C671" s="87" t="s">
        <v>635</v>
      </c>
      <c r="D671" s="8">
        <v>11950</v>
      </c>
      <c r="E671" s="8"/>
      <c r="F671" s="8">
        <f t="shared" si="10"/>
        <v>202834</v>
      </c>
      <c r="G671" s="26"/>
    </row>
    <row r="672" spans="1:7" x14ac:dyDescent="0.25">
      <c r="A672" s="61">
        <v>42646</v>
      </c>
      <c r="B672" s="29" t="s">
        <v>123</v>
      </c>
      <c r="C672" s="89" t="s">
        <v>640</v>
      </c>
      <c r="D672" s="14">
        <v>15450</v>
      </c>
      <c r="E672" s="8"/>
      <c r="F672" s="8">
        <f t="shared" si="10"/>
        <v>187384</v>
      </c>
      <c r="G672" s="26"/>
    </row>
    <row r="673" spans="1:7" x14ac:dyDescent="0.25">
      <c r="A673" s="61">
        <v>42646</v>
      </c>
      <c r="B673" s="29" t="s">
        <v>231</v>
      </c>
      <c r="C673" s="89" t="s">
        <v>641</v>
      </c>
      <c r="D673" s="14">
        <v>100</v>
      </c>
      <c r="E673" s="14"/>
      <c r="F673" s="8">
        <f t="shared" si="10"/>
        <v>187284</v>
      </c>
      <c r="G673" s="26"/>
    </row>
    <row r="674" spans="1:7" ht="30" x14ac:dyDescent="0.25">
      <c r="A674" s="61">
        <v>42646</v>
      </c>
      <c r="B674" s="29" t="s">
        <v>26</v>
      </c>
      <c r="C674" s="89" t="s">
        <v>639</v>
      </c>
      <c r="D674" s="14">
        <v>1800</v>
      </c>
      <c r="E674" s="14"/>
      <c r="F674" s="8">
        <f t="shared" si="10"/>
        <v>185484</v>
      </c>
      <c r="G674" s="26"/>
    </row>
    <row r="675" spans="1:7" x14ac:dyDescent="0.25">
      <c r="A675" s="61">
        <v>42646</v>
      </c>
      <c r="B675" s="29" t="s">
        <v>43</v>
      </c>
      <c r="C675" s="89" t="s">
        <v>32</v>
      </c>
      <c r="D675" s="14">
        <v>1080</v>
      </c>
      <c r="E675" s="14"/>
      <c r="F675" s="8">
        <f t="shared" si="10"/>
        <v>184404</v>
      </c>
      <c r="G675" s="26"/>
    </row>
    <row r="676" spans="1:7" x14ac:dyDescent="0.25">
      <c r="A676" s="61">
        <v>42646</v>
      </c>
      <c r="B676" s="26" t="s">
        <v>121</v>
      </c>
      <c r="C676" s="87" t="s">
        <v>636</v>
      </c>
      <c r="D676" s="8">
        <v>50000</v>
      </c>
      <c r="E676" s="8"/>
      <c r="F676" s="8">
        <f t="shared" si="10"/>
        <v>134404</v>
      </c>
      <c r="G676" s="26"/>
    </row>
    <row r="677" spans="1:7" x14ac:dyDescent="0.25">
      <c r="A677" s="61">
        <v>42646</v>
      </c>
      <c r="B677" s="26" t="s">
        <v>38</v>
      </c>
      <c r="C677" s="87" t="s">
        <v>637</v>
      </c>
      <c r="D677" s="8">
        <v>1200</v>
      </c>
      <c r="E677" s="8"/>
      <c r="F677" s="8">
        <f t="shared" si="10"/>
        <v>133204</v>
      </c>
      <c r="G677" s="26"/>
    </row>
    <row r="678" spans="1:7" x14ac:dyDescent="0.25">
      <c r="A678" s="61">
        <v>42647</v>
      </c>
      <c r="B678" s="26" t="s">
        <v>396</v>
      </c>
      <c r="C678" s="87" t="s">
        <v>638</v>
      </c>
      <c r="D678" s="8">
        <v>100</v>
      </c>
      <c r="E678" s="8"/>
      <c r="F678" s="8">
        <f t="shared" si="10"/>
        <v>133104</v>
      </c>
      <c r="G678" s="26"/>
    </row>
    <row r="679" spans="1:7" x14ac:dyDescent="0.25">
      <c r="A679" s="61">
        <v>42647</v>
      </c>
      <c r="B679" s="26" t="s">
        <v>43</v>
      </c>
      <c r="C679" s="87" t="s">
        <v>475</v>
      </c>
      <c r="D679" s="8">
        <v>1500</v>
      </c>
      <c r="E679" s="8"/>
      <c r="F679" s="8">
        <f t="shared" si="10"/>
        <v>131604</v>
      </c>
      <c r="G679" s="26"/>
    </row>
    <row r="680" spans="1:7" x14ac:dyDescent="0.25">
      <c r="A680" s="61">
        <v>42647</v>
      </c>
      <c r="B680" s="26" t="s">
        <v>26</v>
      </c>
      <c r="C680" s="87" t="s">
        <v>63</v>
      </c>
      <c r="D680" s="8">
        <v>190</v>
      </c>
      <c r="E680" s="8"/>
      <c r="F680" s="8">
        <f t="shared" si="10"/>
        <v>131414</v>
      </c>
      <c r="G680" s="26"/>
    </row>
    <row r="681" spans="1:7" x14ac:dyDescent="0.25">
      <c r="A681" s="61">
        <v>42647</v>
      </c>
      <c r="B681" s="29" t="s">
        <v>10</v>
      </c>
      <c r="C681" s="89" t="s">
        <v>643</v>
      </c>
      <c r="D681" s="14">
        <v>830</v>
      </c>
      <c r="E681" s="8"/>
      <c r="F681" s="8">
        <f t="shared" si="10"/>
        <v>130584</v>
      </c>
      <c r="G681" s="26"/>
    </row>
    <row r="682" spans="1:7" x14ac:dyDescent="0.25">
      <c r="A682" s="61">
        <v>42648</v>
      </c>
      <c r="B682" s="26" t="s">
        <v>285</v>
      </c>
      <c r="C682" s="87" t="s">
        <v>644</v>
      </c>
      <c r="D682" s="8">
        <v>2000</v>
      </c>
      <c r="E682" s="8"/>
      <c r="F682" s="8">
        <f t="shared" si="10"/>
        <v>128584</v>
      </c>
      <c r="G682" s="26"/>
    </row>
    <row r="683" spans="1:7" x14ac:dyDescent="0.25">
      <c r="A683" s="61">
        <v>42648</v>
      </c>
      <c r="B683" s="26" t="s">
        <v>36</v>
      </c>
      <c r="C683" s="87" t="s">
        <v>645</v>
      </c>
      <c r="D683" s="8">
        <v>100</v>
      </c>
      <c r="E683" s="8"/>
      <c r="F683" s="8">
        <f t="shared" si="10"/>
        <v>128484</v>
      </c>
      <c r="G683" s="26"/>
    </row>
    <row r="684" spans="1:7" x14ac:dyDescent="0.25">
      <c r="A684" s="61">
        <v>42648</v>
      </c>
      <c r="B684" s="26" t="s">
        <v>396</v>
      </c>
      <c r="C684" s="87" t="s">
        <v>619</v>
      </c>
      <c r="D684" s="8">
        <v>100</v>
      </c>
      <c r="E684" s="8"/>
      <c r="F684" s="8">
        <f t="shared" si="10"/>
        <v>128384</v>
      </c>
      <c r="G684" s="26"/>
    </row>
    <row r="685" spans="1:7" x14ac:dyDescent="0.25">
      <c r="A685" s="61">
        <v>42648</v>
      </c>
      <c r="B685" s="26" t="s">
        <v>43</v>
      </c>
      <c r="C685" s="87" t="s">
        <v>647</v>
      </c>
      <c r="D685" s="8">
        <v>2000</v>
      </c>
      <c r="E685" s="8"/>
      <c r="F685" s="8">
        <f t="shared" si="10"/>
        <v>126384</v>
      </c>
      <c r="G685" s="26"/>
    </row>
    <row r="686" spans="1:7" ht="30" x14ac:dyDescent="0.25">
      <c r="A686" s="61">
        <v>42648</v>
      </c>
      <c r="B686" s="26" t="s">
        <v>588</v>
      </c>
      <c r="C686" s="87" t="s">
        <v>648</v>
      </c>
      <c r="D686" s="8">
        <v>1700</v>
      </c>
      <c r="E686" s="8"/>
      <c r="F686" s="8">
        <f t="shared" si="10"/>
        <v>124684</v>
      </c>
      <c r="G686" s="26"/>
    </row>
    <row r="687" spans="1:7" ht="30" x14ac:dyDescent="0.25">
      <c r="A687" s="61">
        <v>42648</v>
      </c>
      <c r="B687" s="29" t="s">
        <v>231</v>
      </c>
      <c r="C687" s="89" t="s">
        <v>659</v>
      </c>
      <c r="D687" s="14">
        <v>1200</v>
      </c>
      <c r="E687" s="14"/>
      <c r="F687" s="8">
        <f t="shared" si="10"/>
        <v>123484</v>
      </c>
      <c r="G687" s="26"/>
    </row>
    <row r="688" spans="1:7" x14ac:dyDescent="0.25">
      <c r="A688" s="61">
        <v>42648</v>
      </c>
      <c r="B688" s="26" t="s">
        <v>248</v>
      </c>
      <c r="C688" s="87" t="s">
        <v>649</v>
      </c>
      <c r="D688" s="8">
        <v>630</v>
      </c>
      <c r="E688" s="8"/>
      <c r="F688" s="8">
        <f t="shared" si="10"/>
        <v>122854</v>
      </c>
      <c r="G688" s="26"/>
    </row>
    <row r="689" spans="1:7" x14ac:dyDescent="0.25">
      <c r="A689" s="61">
        <v>42648</v>
      </c>
      <c r="B689" s="29" t="s">
        <v>248</v>
      </c>
      <c r="C689" s="89" t="s">
        <v>667</v>
      </c>
      <c r="D689" s="14">
        <v>560</v>
      </c>
      <c r="E689" s="8"/>
      <c r="F689" s="8">
        <f t="shared" si="10"/>
        <v>122294</v>
      </c>
      <c r="G689" s="26"/>
    </row>
    <row r="690" spans="1:7" x14ac:dyDescent="0.25">
      <c r="A690" s="61">
        <v>42648</v>
      </c>
      <c r="B690" s="26" t="s">
        <v>650</v>
      </c>
      <c r="C690" s="87" t="s">
        <v>651</v>
      </c>
      <c r="D690" s="8">
        <v>1400</v>
      </c>
      <c r="E690" s="8"/>
      <c r="F690" s="8">
        <f t="shared" si="10"/>
        <v>120894</v>
      </c>
      <c r="G690" s="26"/>
    </row>
    <row r="691" spans="1:7" x14ac:dyDescent="0.25">
      <c r="A691" s="61">
        <v>42648</v>
      </c>
      <c r="B691" s="26" t="s">
        <v>26</v>
      </c>
      <c r="C691" s="87" t="s">
        <v>652</v>
      </c>
      <c r="D691" s="8">
        <v>50</v>
      </c>
      <c r="E691" s="8"/>
      <c r="F691" s="8">
        <f t="shared" si="10"/>
        <v>120844</v>
      </c>
      <c r="G691" s="26"/>
    </row>
    <row r="692" spans="1:7" x14ac:dyDescent="0.25">
      <c r="A692" s="61">
        <v>42648</v>
      </c>
      <c r="B692" s="26" t="s">
        <v>521</v>
      </c>
      <c r="C692" s="87" t="s">
        <v>653</v>
      </c>
      <c r="D692" s="8">
        <v>10000</v>
      </c>
      <c r="E692" s="8"/>
      <c r="F692" s="8">
        <f t="shared" si="10"/>
        <v>110844</v>
      </c>
      <c r="G692" s="26"/>
    </row>
    <row r="693" spans="1:7" x14ac:dyDescent="0.25">
      <c r="A693" s="61">
        <v>42649</v>
      </c>
      <c r="B693" s="29" t="s">
        <v>38</v>
      </c>
      <c r="C693" s="89" t="s">
        <v>654</v>
      </c>
      <c r="D693" s="14">
        <v>22300</v>
      </c>
      <c r="E693" s="14"/>
      <c r="F693" s="8">
        <f t="shared" si="10"/>
        <v>88544</v>
      </c>
      <c r="G693" s="26"/>
    </row>
    <row r="694" spans="1:7" x14ac:dyDescent="0.25">
      <c r="A694" s="61">
        <v>42649</v>
      </c>
      <c r="B694" s="26" t="s">
        <v>128</v>
      </c>
      <c r="C694" s="87" t="s">
        <v>655</v>
      </c>
      <c r="D694" s="8">
        <v>260</v>
      </c>
      <c r="E694" s="8"/>
      <c r="F694" s="8">
        <f t="shared" si="10"/>
        <v>88284</v>
      </c>
      <c r="G694" s="26"/>
    </row>
    <row r="695" spans="1:7" ht="30" x14ac:dyDescent="0.25">
      <c r="A695" s="61">
        <v>42649</v>
      </c>
      <c r="B695" s="26" t="s">
        <v>40</v>
      </c>
      <c r="C695" s="87" t="s">
        <v>656</v>
      </c>
      <c r="D695" s="8">
        <v>100</v>
      </c>
      <c r="E695" s="8"/>
      <c r="F695" s="8">
        <f t="shared" si="10"/>
        <v>88184</v>
      </c>
      <c r="G695" s="26"/>
    </row>
    <row r="696" spans="1:7" ht="30" x14ac:dyDescent="0.25">
      <c r="A696" s="61">
        <v>42649</v>
      </c>
      <c r="B696" s="26" t="s">
        <v>40</v>
      </c>
      <c r="C696" s="87" t="s">
        <v>657</v>
      </c>
      <c r="D696" s="8">
        <v>6000</v>
      </c>
      <c r="E696" s="8"/>
      <c r="F696" s="8">
        <f t="shared" si="10"/>
        <v>82184</v>
      </c>
      <c r="G696" s="26"/>
    </row>
    <row r="697" spans="1:7" x14ac:dyDescent="0.25">
      <c r="A697" s="61">
        <v>42649</v>
      </c>
      <c r="B697" s="26" t="s">
        <v>26</v>
      </c>
      <c r="C697" s="87" t="s">
        <v>63</v>
      </c>
      <c r="D697" s="8">
        <v>70</v>
      </c>
      <c r="E697" s="8"/>
      <c r="F697" s="8">
        <f t="shared" si="10"/>
        <v>82114</v>
      </c>
      <c r="G697" s="26"/>
    </row>
    <row r="698" spans="1:7" x14ac:dyDescent="0.25">
      <c r="A698" s="61">
        <v>42649</v>
      </c>
      <c r="B698" s="26" t="s">
        <v>231</v>
      </c>
      <c r="C698" s="87" t="s">
        <v>78</v>
      </c>
      <c r="D698" s="8">
        <v>500</v>
      </c>
      <c r="E698" s="8"/>
      <c r="F698" s="8">
        <f t="shared" si="10"/>
        <v>81614</v>
      </c>
      <c r="G698" s="26"/>
    </row>
    <row r="699" spans="1:7" x14ac:dyDescent="0.25">
      <c r="A699" s="61">
        <v>42649</v>
      </c>
      <c r="B699" s="26" t="s">
        <v>157</v>
      </c>
      <c r="C699" s="87" t="s">
        <v>32</v>
      </c>
      <c r="D699" s="8">
        <v>3000</v>
      </c>
      <c r="E699" s="8"/>
      <c r="F699" s="8">
        <f t="shared" si="10"/>
        <v>78614</v>
      </c>
      <c r="G699" s="26"/>
    </row>
    <row r="700" spans="1:7" x14ac:dyDescent="0.25">
      <c r="A700" s="61">
        <v>42649</v>
      </c>
      <c r="B700" s="26" t="s">
        <v>128</v>
      </c>
      <c r="C700" s="87" t="s">
        <v>116</v>
      </c>
      <c r="D700" s="8">
        <v>4830</v>
      </c>
      <c r="E700" s="8"/>
      <c r="F700" s="8">
        <f t="shared" si="10"/>
        <v>73784</v>
      </c>
      <c r="G700" s="26"/>
    </row>
    <row r="701" spans="1:7" x14ac:dyDescent="0.25">
      <c r="A701" s="61">
        <v>42650</v>
      </c>
      <c r="B701" s="29" t="s">
        <v>17</v>
      </c>
      <c r="C701" s="89" t="s">
        <v>660</v>
      </c>
      <c r="D701" s="14">
        <v>6000</v>
      </c>
      <c r="E701" s="8"/>
      <c r="F701" s="8">
        <f t="shared" si="10"/>
        <v>67784</v>
      </c>
      <c r="G701" s="26"/>
    </row>
    <row r="702" spans="1:7" x14ac:dyDescent="0.25">
      <c r="A702" s="61">
        <v>42650</v>
      </c>
      <c r="B702" s="29" t="s">
        <v>10</v>
      </c>
      <c r="C702" s="89" t="s">
        <v>661</v>
      </c>
      <c r="D702" s="14">
        <v>2000</v>
      </c>
      <c r="E702" s="8"/>
      <c r="F702" s="8">
        <f t="shared" si="10"/>
        <v>65784</v>
      </c>
      <c r="G702" s="26"/>
    </row>
    <row r="703" spans="1:7" x14ac:dyDescent="0.25">
      <c r="A703" s="61">
        <v>42650</v>
      </c>
      <c r="B703" s="26" t="s">
        <v>26</v>
      </c>
      <c r="C703" s="87" t="s">
        <v>662</v>
      </c>
      <c r="D703" s="8">
        <v>860</v>
      </c>
      <c r="E703" s="8"/>
      <c r="F703" s="8">
        <f t="shared" si="10"/>
        <v>64924</v>
      </c>
      <c r="G703" s="26"/>
    </row>
    <row r="704" spans="1:7" x14ac:dyDescent="0.25">
      <c r="A704" s="61">
        <v>42650</v>
      </c>
      <c r="B704" s="26" t="s">
        <v>104</v>
      </c>
      <c r="C704" s="87" t="s">
        <v>731</v>
      </c>
      <c r="D704" s="8">
        <v>4300</v>
      </c>
      <c r="E704" s="8"/>
      <c r="F704" s="8">
        <f t="shared" si="10"/>
        <v>60624</v>
      </c>
      <c r="G704" s="26"/>
    </row>
    <row r="705" spans="1:7" x14ac:dyDescent="0.25">
      <c r="A705" s="61">
        <v>42651</v>
      </c>
      <c r="B705" s="26"/>
      <c r="C705" s="87"/>
      <c r="D705" s="8">
        <v>1000</v>
      </c>
      <c r="E705" s="8"/>
      <c r="F705" s="8">
        <f t="shared" si="10"/>
        <v>59624</v>
      </c>
      <c r="G705" s="26"/>
    </row>
    <row r="706" spans="1:7" x14ac:dyDescent="0.25">
      <c r="A706" s="61">
        <v>42651</v>
      </c>
      <c r="B706" s="26" t="s">
        <v>38</v>
      </c>
      <c r="C706" s="87" t="s">
        <v>78</v>
      </c>
      <c r="D706" s="8">
        <v>1000</v>
      </c>
      <c r="E706" s="8"/>
      <c r="F706" s="8">
        <f t="shared" si="10"/>
        <v>58624</v>
      </c>
      <c r="G706" s="26"/>
    </row>
    <row r="707" spans="1:7" x14ac:dyDescent="0.25">
      <c r="A707" s="61">
        <v>42651</v>
      </c>
      <c r="B707" s="26" t="s">
        <v>121</v>
      </c>
      <c r="C707" s="87" t="s">
        <v>32</v>
      </c>
      <c r="D707" s="8">
        <v>10000</v>
      </c>
      <c r="E707" s="8"/>
      <c r="F707" s="8">
        <f t="shared" ref="F707:F770" si="11">F706-D707+E707</f>
        <v>48624</v>
      </c>
      <c r="G707" s="26"/>
    </row>
    <row r="708" spans="1:7" x14ac:dyDescent="0.25">
      <c r="A708" s="61">
        <v>42651</v>
      </c>
      <c r="B708" s="26" t="s">
        <v>40</v>
      </c>
      <c r="C708" s="87" t="s">
        <v>663</v>
      </c>
      <c r="D708" s="8">
        <v>5000</v>
      </c>
      <c r="E708" s="8"/>
      <c r="F708" s="8">
        <f t="shared" si="11"/>
        <v>43624</v>
      </c>
      <c r="G708" s="26"/>
    </row>
    <row r="709" spans="1:7" x14ac:dyDescent="0.25">
      <c r="A709" s="61">
        <v>42651</v>
      </c>
      <c r="B709" s="18" t="s">
        <v>165</v>
      </c>
      <c r="C709" s="196" t="s">
        <v>32</v>
      </c>
      <c r="D709" s="8">
        <v>5000</v>
      </c>
      <c r="E709" s="8"/>
      <c r="F709" s="8">
        <f t="shared" si="11"/>
        <v>38624</v>
      </c>
      <c r="G709" s="26"/>
    </row>
    <row r="710" spans="1:7" x14ac:dyDescent="0.25">
      <c r="A710" s="55">
        <v>42651</v>
      </c>
      <c r="B710" s="462" t="s">
        <v>664</v>
      </c>
      <c r="C710" s="463"/>
      <c r="D710" s="71"/>
      <c r="E710" s="58">
        <v>50000</v>
      </c>
      <c r="F710" s="8">
        <f t="shared" si="11"/>
        <v>88624</v>
      </c>
      <c r="G710" s="26"/>
    </row>
    <row r="711" spans="1:7" x14ac:dyDescent="0.25">
      <c r="A711" s="61">
        <v>42651</v>
      </c>
      <c r="B711" s="29" t="s">
        <v>5</v>
      </c>
      <c r="C711" s="89" t="s">
        <v>683</v>
      </c>
      <c r="D711" s="14">
        <v>19795</v>
      </c>
      <c r="E711" s="8"/>
      <c r="F711" s="8">
        <f t="shared" si="11"/>
        <v>68829</v>
      </c>
      <c r="G711" s="26"/>
    </row>
    <row r="712" spans="1:7" ht="30" x14ac:dyDescent="0.25">
      <c r="A712" s="61">
        <v>42651</v>
      </c>
      <c r="B712" s="26" t="s">
        <v>588</v>
      </c>
      <c r="C712" s="87" t="s">
        <v>666</v>
      </c>
      <c r="D712" s="8">
        <f>32000+150+100</f>
        <v>32250</v>
      </c>
      <c r="E712" s="8"/>
      <c r="F712" s="8">
        <f t="shared" si="11"/>
        <v>36579</v>
      </c>
      <c r="G712" s="26"/>
    </row>
    <row r="713" spans="1:7" x14ac:dyDescent="0.25">
      <c r="A713" s="61">
        <v>42651</v>
      </c>
      <c r="B713" s="26" t="s">
        <v>26</v>
      </c>
      <c r="C713" s="87" t="s">
        <v>88</v>
      </c>
      <c r="D713" s="8">
        <v>170</v>
      </c>
      <c r="E713" s="8"/>
      <c r="F713" s="8">
        <f t="shared" si="11"/>
        <v>36409</v>
      </c>
      <c r="G713" s="26"/>
    </row>
    <row r="714" spans="1:7" x14ac:dyDescent="0.25">
      <c r="A714" s="61">
        <v>42651</v>
      </c>
      <c r="B714" s="26" t="s">
        <v>26</v>
      </c>
      <c r="C714" s="87" t="s">
        <v>665</v>
      </c>
      <c r="D714" s="8">
        <v>500</v>
      </c>
      <c r="E714" s="8"/>
      <c r="F714" s="8">
        <f t="shared" si="11"/>
        <v>35909</v>
      </c>
      <c r="G714" s="26"/>
    </row>
    <row r="715" spans="1:7" x14ac:dyDescent="0.25">
      <c r="A715" s="61">
        <v>42651</v>
      </c>
      <c r="B715" s="26" t="s">
        <v>26</v>
      </c>
      <c r="C715" s="87" t="s">
        <v>668</v>
      </c>
      <c r="D715" s="8">
        <v>95</v>
      </c>
      <c r="E715" s="8"/>
      <c r="F715" s="8">
        <f t="shared" si="11"/>
        <v>35814</v>
      </c>
      <c r="G715" s="26"/>
    </row>
    <row r="716" spans="1:7" x14ac:dyDescent="0.25">
      <c r="A716" s="61">
        <v>42651</v>
      </c>
      <c r="B716" s="26" t="s">
        <v>26</v>
      </c>
      <c r="C716" s="87" t="s">
        <v>52</v>
      </c>
      <c r="D716" s="8">
        <v>90</v>
      </c>
      <c r="E716" s="8"/>
      <c r="F716" s="8">
        <f t="shared" si="11"/>
        <v>35724</v>
      </c>
      <c r="G716" s="26"/>
    </row>
    <row r="717" spans="1:7" x14ac:dyDescent="0.25">
      <c r="A717" s="61">
        <v>42651</v>
      </c>
      <c r="B717" s="26" t="s">
        <v>26</v>
      </c>
      <c r="C717" s="87" t="s">
        <v>448</v>
      </c>
      <c r="D717" s="8">
        <v>330</v>
      </c>
      <c r="E717" s="8"/>
      <c r="F717" s="8">
        <f t="shared" si="11"/>
        <v>35394</v>
      </c>
      <c r="G717" s="26"/>
    </row>
    <row r="718" spans="1:7" x14ac:dyDescent="0.25">
      <c r="A718" s="61">
        <v>42651</v>
      </c>
      <c r="B718" s="26" t="s">
        <v>26</v>
      </c>
      <c r="C718" s="87" t="s">
        <v>669</v>
      </c>
      <c r="D718" s="8">
        <v>200</v>
      </c>
      <c r="E718" s="8"/>
      <c r="F718" s="8">
        <f t="shared" si="11"/>
        <v>35194</v>
      </c>
      <c r="G718" s="26"/>
    </row>
    <row r="719" spans="1:7" x14ac:dyDescent="0.25">
      <c r="A719" s="61">
        <v>42651</v>
      </c>
      <c r="B719" s="29" t="s">
        <v>117</v>
      </c>
      <c r="C719" s="89" t="s">
        <v>670</v>
      </c>
      <c r="D719" s="14">
        <v>15000</v>
      </c>
      <c r="E719" s="8"/>
      <c r="F719" s="8">
        <f t="shared" si="11"/>
        <v>20194</v>
      </c>
      <c r="G719" s="26"/>
    </row>
    <row r="720" spans="1:7" x14ac:dyDescent="0.25">
      <c r="A720" s="61">
        <v>42653</v>
      </c>
      <c r="B720" s="26" t="s">
        <v>396</v>
      </c>
      <c r="C720" s="87" t="s">
        <v>671</v>
      </c>
      <c r="D720" s="8">
        <v>100</v>
      </c>
      <c r="E720" s="8"/>
      <c r="F720" s="8">
        <f t="shared" si="11"/>
        <v>20094</v>
      </c>
      <c r="G720" s="26"/>
    </row>
    <row r="721" spans="1:7" x14ac:dyDescent="0.25">
      <c r="A721" s="61">
        <v>42653</v>
      </c>
      <c r="B721" s="26" t="s">
        <v>26</v>
      </c>
      <c r="C721" s="87" t="s">
        <v>470</v>
      </c>
      <c r="D721" s="8">
        <v>100</v>
      </c>
      <c r="E721" s="8"/>
      <c r="F721" s="8">
        <f t="shared" si="11"/>
        <v>19994</v>
      </c>
      <c r="G721" s="26"/>
    </row>
    <row r="722" spans="1:7" x14ac:dyDescent="0.25">
      <c r="A722" s="61">
        <v>42653</v>
      </c>
      <c r="B722" s="26" t="s">
        <v>43</v>
      </c>
      <c r="C722" s="87" t="s">
        <v>32</v>
      </c>
      <c r="D722" s="8">
        <v>2585</v>
      </c>
      <c r="E722" s="8"/>
      <c r="F722" s="8">
        <f t="shared" si="11"/>
        <v>17409</v>
      </c>
      <c r="G722" s="26"/>
    </row>
    <row r="723" spans="1:7" x14ac:dyDescent="0.25">
      <c r="A723" s="61">
        <v>42653</v>
      </c>
      <c r="B723" s="26" t="s">
        <v>121</v>
      </c>
      <c r="C723" s="87" t="s">
        <v>32</v>
      </c>
      <c r="D723" s="8">
        <v>2000</v>
      </c>
      <c r="E723" s="8"/>
      <c r="F723" s="8">
        <f t="shared" si="11"/>
        <v>15409</v>
      </c>
      <c r="G723" s="26"/>
    </row>
    <row r="724" spans="1:7" x14ac:dyDescent="0.25">
      <c r="A724" s="61">
        <v>42653</v>
      </c>
      <c r="B724" s="26" t="s">
        <v>26</v>
      </c>
      <c r="C724" s="87" t="s">
        <v>606</v>
      </c>
      <c r="D724" s="8">
        <v>40</v>
      </c>
      <c r="E724" s="8"/>
      <c r="F724" s="8">
        <f t="shared" si="11"/>
        <v>15369</v>
      </c>
      <c r="G724" s="26"/>
    </row>
    <row r="725" spans="1:7" x14ac:dyDescent="0.25">
      <c r="A725" s="61">
        <v>42653</v>
      </c>
      <c r="B725" s="26" t="s">
        <v>40</v>
      </c>
      <c r="C725" s="87" t="s">
        <v>672</v>
      </c>
      <c r="D725" s="8">
        <v>1000</v>
      </c>
      <c r="E725" s="8"/>
      <c r="F725" s="8">
        <f t="shared" si="11"/>
        <v>14369</v>
      </c>
      <c r="G725" s="26"/>
    </row>
    <row r="726" spans="1:7" x14ac:dyDescent="0.25">
      <c r="A726" s="61">
        <v>42653</v>
      </c>
      <c r="B726" s="26" t="s">
        <v>165</v>
      </c>
      <c r="C726" s="87" t="s">
        <v>672</v>
      </c>
      <c r="D726" s="8">
        <v>10000</v>
      </c>
      <c r="E726" s="8"/>
      <c r="F726" s="8">
        <f t="shared" si="11"/>
        <v>4369</v>
      </c>
      <c r="G726" s="26"/>
    </row>
    <row r="727" spans="1:7" x14ac:dyDescent="0.25">
      <c r="A727" s="55">
        <v>42656</v>
      </c>
      <c r="B727" s="462" t="s">
        <v>688</v>
      </c>
      <c r="C727" s="463"/>
      <c r="D727" s="71"/>
      <c r="E727" s="58">
        <v>50000</v>
      </c>
      <c r="F727" s="8">
        <f t="shared" si="11"/>
        <v>54369</v>
      </c>
      <c r="G727" s="26"/>
    </row>
    <row r="728" spans="1:7" x14ac:dyDescent="0.25">
      <c r="A728" s="61">
        <v>42656</v>
      </c>
      <c r="B728" s="26" t="s">
        <v>26</v>
      </c>
      <c r="C728" s="87" t="s">
        <v>673</v>
      </c>
      <c r="D728" s="8">
        <v>120</v>
      </c>
      <c r="E728" s="8"/>
      <c r="F728" s="8">
        <f t="shared" si="11"/>
        <v>54249</v>
      </c>
      <c r="G728" s="26"/>
    </row>
    <row r="729" spans="1:7" x14ac:dyDescent="0.25">
      <c r="A729" s="61">
        <v>42656</v>
      </c>
      <c r="B729" s="26" t="s">
        <v>428</v>
      </c>
      <c r="C729" s="87" t="s">
        <v>674</v>
      </c>
      <c r="D729" s="8">
        <v>20406</v>
      </c>
      <c r="E729" s="8"/>
      <c r="F729" s="8">
        <f t="shared" si="11"/>
        <v>33843</v>
      </c>
      <c r="G729" s="26"/>
    </row>
    <row r="730" spans="1:7" x14ac:dyDescent="0.25">
      <c r="A730" s="61">
        <v>42656</v>
      </c>
      <c r="B730" s="26"/>
      <c r="C730" s="87" t="s">
        <v>675</v>
      </c>
      <c r="D730" s="8">
        <v>1000</v>
      </c>
      <c r="E730" s="8"/>
      <c r="F730" s="8">
        <f t="shared" si="11"/>
        <v>32843</v>
      </c>
      <c r="G730" s="26"/>
    </row>
    <row r="731" spans="1:7" x14ac:dyDescent="0.25">
      <c r="A731" s="61">
        <v>42656</v>
      </c>
      <c r="B731" s="26" t="s">
        <v>26</v>
      </c>
      <c r="C731" s="87" t="s">
        <v>676</v>
      </c>
      <c r="D731" s="8">
        <v>100</v>
      </c>
      <c r="E731" s="8"/>
      <c r="F731" s="8">
        <f t="shared" si="11"/>
        <v>32743</v>
      </c>
      <c r="G731" s="26"/>
    </row>
    <row r="732" spans="1:7" x14ac:dyDescent="0.25">
      <c r="A732" s="61">
        <v>42656</v>
      </c>
      <c r="B732" s="26" t="s">
        <v>108</v>
      </c>
      <c r="C732" s="87" t="s">
        <v>677</v>
      </c>
      <c r="D732" s="8">
        <v>1450</v>
      </c>
      <c r="E732" s="8"/>
      <c r="F732" s="8">
        <f t="shared" si="11"/>
        <v>31293</v>
      </c>
      <c r="G732" s="26"/>
    </row>
    <row r="733" spans="1:7" x14ac:dyDescent="0.25">
      <c r="A733" s="61">
        <v>42656</v>
      </c>
      <c r="B733" s="26" t="s">
        <v>26</v>
      </c>
      <c r="C733" s="87" t="s">
        <v>678</v>
      </c>
      <c r="D733" s="8">
        <v>30</v>
      </c>
      <c r="E733" s="8"/>
      <c r="F733" s="8">
        <f t="shared" si="11"/>
        <v>31263</v>
      </c>
      <c r="G733" s="26"/>
    </row>
    <row r="734" spans="1:7" x14ac:dyDescent="0.25">
      <c r="A734" s="61">
        <v>42656</v>
      </c>
      <c r="B734" s="26" t="s">
        <v>108</v>
      </c>
      <c r="C734" s="87" t="s">
        <v>679</v>
      </c>
      <c r="D734" s="8">
        <v>100</v>
      </c>
      <c r="E734" s="8"/>
      <c r="F734" s="8">
        <f t="shared" si="11"/>
        <v>31163</v>
      </c>
      <c r="G734" s="26"/>
    </row>
    <row r="735" spans="1:7" x14ac:dyDescent="0.25">
      <c r="A735" s="61">
        <v>42656</v>
      </c>
      <c r="B735" s="26" t="s">
        <v>10</v>
      </c>
      <c r="C735" s="87" t="s">
        <v>78</v>
      </c>
      <c r="D735" s="8">
        <v>1000</v>
      </c>
      <c r="E735" s="8"/>
      <c r="F735" s="8">
        <f t="shared" si="11"/>
        <v>30163</v>
      </c>
      <c r="G735" s="26"/>
    </row>
    <row r="736" spans="1:7" x14ac:dyDescent="0.25">
      <c r="A736" s="61">
        <v>42656</v>
      </c>
      <c r="B736" s="26" t="s">
        <v>26</v>
      </c>
      <c r="C736" s="87" t="s">
        <v>680</v>
      </c>
      <c r="D736" s="8">
        <v>400</v>
      </c>
      <c r="E736" s="8"/>
      <c r="F736" s="8">
        <f t="shared" si="11"/>
        <v>29763</v>
      </c>
      <c r="G736" s="26"/>
    </row>
    <row r="737" spans="1:10" x14ac:dyDescent="0.25">
      <c r="A737" s="61">
        <v>42656</v>
      </c>
      <c r="B737" s="29" t="s">
        <v>23</v>
      </c>
      <c r="C737" s="89" t="s">
        <v>681</v>
      </c>
      <c r="D737" s="14">
        <v>3000</v>
      </c>
      <c r="E737" s="8"/>
      <c r="F737" s="8">
        <f t="shared" si="11"/>
        <v>26763</v>
      </c>
      <c r="G737" s="26"/>
    </row>
    <row r="738" spans="1:10" s="20" customFormat="1" x14ac:dyDescent="0.25">
      <c r="A738" s="61">
        <v>42656</v>
      </c>
      <c r="B738" s="29" t="s">
        <v>23</v>
      </c>
      <c r="C738" s="89" t="s">
        <v>682</v>
      </c>
      <c r="D738" s="14">
        <v>2000</v>
      </c>
      <c r="E738" s="8"/>
      <c r="F738" s="8">
        <f t="shared" si="11"/>
        <v>24763</v>
      </c>
      <c r="G738" s="26"/>
      <c r="H738" s="24"/>
      <c r="I738" s="10"/>
      <c r="J738" s="10"/>
    </row>
    <row r="739" spans="1:10" x14ac:dyDescent="0.25">
      <c r="A739" s="61">
        <v>42656</v>
      </c>
      <c r="B739" s="26" t="s">
        <v>684</v>
      </c>
      <c r="C739" s="87" t="s">
        <v>685</v>
      </c>
      <c r="D739" s="8">
        <v>1290</v>
      </c>
      <c r="E739" s="8"/>
      <c r="F739" s="8">
        <f t="shared" si="11"/>
        <v>23473</v>
      </c>
      <c r="G739" s="26"/>
    </row>
    <row r="740" spans="1:10" x14ac:dyDescent="0.25">
      <c r="A740" s="61">
        <v>42656</v>
      </c>
      <c r="B740" s="26" t="s">
        <v>5</v>
      </c>
      <c r="C740" s="87" t="s">
        <v>32</v>
      </c>
      <c r="D740" s="8">
        <v>200</v>
      </c>
      <c r="E740" s="8"/>
      <c r="F740" s="8">
        <f t="shared" si="11"/>
        <v>23273</v>
      </c>
      <c r="G740" s="26"/>
    </row>
    <row r="741" spans="1:10" x14ac:dyDescent="0.25">
      <c r="A741" s="61">
        <v>42656</v>
      </c>
      <c r="B741" s="26" t="s">
        <v>128</v>
      </c>
      <c r="C741" s="87" t="s">
        <v>112</v>
      </c>
      <c r="D741" s="8">
        <v>1685</v>
      </c>
      <c r="E741" s="8"/>
      <c r="F741" s="8">
        <f t="shared" si="11"/>
        <v>21588</v>
      </c>
      <c r="G741" s="26"/>
    </row>
    <row r="742" spans="1:10" x14ac:dyDescent="0.25">
      <c r="A742" s="61">
        <v>42656</v>
      </c>
      <c r="B742" s="29" t="s">
        <v>700</v>
      </c>
      <c r="C742" s="89" t="s">
        <v>701</v>
      </c>
      <c r="D742" s="8">
        <v>1000</v>
      </c>
      <c r="E742" s="8"/>
      <c r="F742" s="8">
        <f t="shared" si="11"/>
        <v>20588</v>
      </c>
      <c r="G742" s="26"/>
    </row>
    <row r="743" spans="1:10" x14ac:dyDescent="0.25">
      <c r="A743" s="61">
        <v>42656</v>
      </c>
      <c r="B743" s="26" t="s">
        <v>303</v>
      </c>
      <c r="C743" s="87" t="s">
        <v>686</v>
      </c>
      <c r="D743" s="8">
        <v>1000</v>
      </c>
      <c r="E743" s="8"/>
      <c r="F743" s="8">
        <f t="shared" si="11"/>
        <v>19588</v>
      </c>
      <c r="G743" s="26"/>
    </row>
    <row r="744" spans="1:10" x14ac:dyDescent="0.25">
      <c r="A744" s="61">
        <v>42656</v>
      </c>
      <c r="B744" s="26" t="s">
        <v>5</v>
      </c>
      <c r="C744" s="87" t="s">
        <v>32</v>
      </c>
      <c r="D744" s="8">
        <v>12000</v>
      </c>
      <c r="E744" s="8"/>
      <c r="F744" s="8">
        <f t="shared" si="11"/>
        <v>7588</v>
      </c>
      <c r="G744" s="26"/>
    </row>
    <row r="745" spans="1:10" x14ac:dyDescent="0.25">
      <c r="A745" s="61">
        <v>42656</v>
      </c>
      <c r="B745" s="26" t="s">
        <v>121</v>
      </c>
      <c r="C745" s="87" t="s">
        <v>32</v>
      </c>
      <c r="D745" s="8">
        <v>1000</v>
      </c>
      <c r="E745" s="8"/>
      <c r="F745" s="8">
        <f t="shared" si="11"/>
        <v>6588</v>
      </c>
      <c r="G745" s="26"/>
    </row>
    <row r="746" spans="1:10" x14ac:dyDescent="0.25">
      <c r="A746" s="61">
        <v>42657</v>
      </c>
      <c r="B746" s="26" t="s">
        <v>43</v>
      </c>
      <c r="C746" s="87" t="s">
        <v>475</v>
      </c>
      <c r="D746" s="8">
        <v>3000</v>
      </c>
      <c r="E746" s="8"/>
      <c r="F746" s="8">
        <f t="shared" si="11"/>
        <v>3588</v>
      </c>
      <c r="G746" s="26"/>
    </row>
    <row r="747" spans="1:10" x14ac:dyDescent="0.25">
      <c r="A747" s="61">
        <v>42657</v>
      </c>
      <c r="B747" s="26" t="s">
        <v>157</v>
      </c>
      <c r="C747" s="87" t="s">
        <v>32</v>
      </c>
      <c r="D747" s="8">
        <v>1000</v>
      </c>
      <c r="E747" s="8"/>
      <c r="F747" s="8">
        <f t="shared" si="11"/>
        <v>2588</v>
      </c>
      <c r="G747" s="26"/>
    </row>
    <row r="748" spans="1:10" x14ac:dyDescent="0.25">
      <c r="A748" s="55">
        <v>42657</v>
      </c>
      <c r="B748" s="462" t="s">
        <v>689</v>
      </c>
      <c r="C748" s="463"/>
      <c r="D748" s="71"/>
      <c r="E748" s="58">
        <v>50000</v>
      </c>
      <c r="F748" s="8">
        <f t="shared" si="11"/>
        <v>52588</v>
      </c>
      <c r="G748" s="26"/>
    </row>
    <row r="749" spans="1:10" x14ac:dyDescent="0.25">
      <c r="A749" s="61">
        <v>42657</v>
      </c>
      <c r="B749" s="26" t="s">
        <v>26</v>
      </c>
      <c r="C749" s="87" t="s">
        <v>470</v>
      </c>
      <c r="D749" s="8">
        <v>100</v>
      </c>
      <c r="E749" s="8"/>
      <c r="F749" s="8">
        <f t="shared" si="11"/>
        <v>52488</v>
      </c>
      <c r="G749" s="26"/>
    </row>
    <row r="750" spans="1:10" x14ac:dyDescent="0.25">
      <c r="A750" s="61">
        <v>42657</v>
      </c>
      <c r="B750" s="26" t="s">
        <v>121</v>
      </c>
      <c r="C750" s="87" t="s">
        <v>32</v>
      </c>
      <c r="D750" s="8">
        <v>5000</v>
      </c>
      <c r="E750" s="8"/>
      <c r="F750" s="8">
        <f t="shared" si="11"/>
        <v>47488</v>
      </c>
      <c r="G750" s="26"/>
    </row>
    <row r="751" spans="1:10" x14ac:dyDescent="0.25">
      <c r="A751" s="61">
        <v>42657</v>
      </c>
      <c r="B751" s="26" t="s">
        <v>165</v>
      </c>
      <c r="C751" s="87" t="s">
        <v>32</v>
      </c>
      <c r="D751" s="8">
        <v>10000</v>
      </c>
      <c r="E751" s="8"/>
      <c r="F751" s="8">
        <f t="shared" si="11"/>
        <v>37488</v>
      </c>
      <c r="G751" s="26"/>
    </row>
    <row r="752" spans="1:10" x14ac:dyDescent="0.25">
      <c r="A752" s="61">
        <v>42657</v>
      </c>
      <c r="B752" s="26" t="s">
        <v>4</v>
      </c>
      <c r="C752" s="87" t="s">
        <v>32</v>
      </c>
      <c r="D752" s="8">
        <v>2000</v>
      </c>
      <c r="E752" s="8"/>
      <c r="F752" s="8">
        <f t="shared" si="11"/>
        <v>35488</v>
      </c>
      <c r="G752" s="26"/>
    </row>
    <row r="753" spans="1:7" x14ac:dyDescent="0.25">
      <c r="A753" s="61">
        <v>42657</v>
      </c>
      <c r="B753" s="26" t="s">
        <v>161</v>
      </c>
      <c r="C753" s="87" t="s">
        <v>690</v>
      </c>
      <c r="D753" s="8">
        <v>10000</v>
      </c>
      <c r="E753" s="8"/>
      <c r="F753" s="8">
        <f t="shared" si="11"/>
        <v>25488</v>
      </c>
      <c r="G753" s="26"/>
    </row>
    <row r="754" spans="1:7" x14ac:dyDescent="0.25">
      <c r="A754" s="61">
        <v>42657</v>
      </c>
      <c r="B754" s="26" t="s">
        <v>161</v>
      </c>
      <c r="C754" s="87" t="s">
        <v>29</v>
      </c>
      <c r="D754" s="8">
        <v>5000</v>
      </c>
      <c r="E754" s="8"/>
      <c r="F754" s="8">
        <f t="shared" si="11"/>
        <v>20488</v>
      </c>
      <c r="G754" s="26"/>
    </row>
    <row r="755" spans="1:7" ht="30" x14ac:dyDescent="0.25">
      <c r="A755" s="61">
        <v>42657</v>
      </c>
      <c r="B755" s="29" t="s">
        <v>121</v>
      </c>
      <c r="C755" s="89" t="s">
        <v>698</v>
      </c>
      <c r="D755" s="14">
        <v>4210</v>
      </c>
      <c r="E755" s="8"/>
      <c r="F755" s="8">
        <f t="shared" si="11"/>
        <v>16278</v>
      </c>
      <c r="G755" s="26"/>
    </row>
    <row r="756" spans="1:7" x14ac:dyDescent="0.25">
      <c r="A756" s="61">
        <v>42657</v>
      </c>
      <c r="B756" s="26" t="s">
        <v>182</v>
      </c>
      <c r="C756" s="87" t="s">
        <v>691</v>
      </c>
      <c r="D756" s="8">
        <v>2000</v>
      </c>
      <c r="E756" s="8"/>
      <c r="F756" s="8">
        <f t="shared" si="11"/>
        <v>14278</v>
      </c>
      <c r="G756" s="26"/>
    </row>
    <row r="757" spans="1:7" x14ac:dyDescent="0.25">
      <c r="A757" s="61">
        <v>42657</v>
      </c>
      <c r="B757" s="26" t="s">
        <v>692</v>
      </c>
      <c r="C757" s="87" t="s">
        <v>693</v>
      </c>
      <c r="D757" s="8">
        <v>5120</v>
      </c>
      <c r="E757" s="8"/>
      <c r="F757" s="8">
        <f t="shared" si="11"/>
        <v>9158</v>
      </c>
      <c r="G757" s="26"/>
    </row>
    <row r="758" spans="1:7" x14ac:dyDescent="0.25">
      <c r="A758" s="61">
        <v>42657</v>
      </c>
      <c r="B758" s="29" t="s">
        <v>123</v>
      </c>
      <c r="C758" s="89" t="s">
        <v>703</v>
      </c>
      <c r="D758" s="14">
        <v>10500</v>
      </c>
      <c r="E758" s="8"/>
      <c r="F758" s="8">
        <f t="shared" si="11"/>
        <v>-1342</v>
      </c>
      <c r="G758" s="26"/>
    </row>
    <row r="759" spans="1:7" x14ac:dyDescent="0.25">
      <c r="A759" s="61">
        <v>42657</v>
      </c>
      <c r="B759" s="26" t="s">
        <v>694</v>
      </c>
      <c r="C759" s="87" t="s">
        <v>695</v>
      </c>
      <c r="D759" s="8">
        <v>164</v>
      </c>
      <c r="E759" s="8"/>
      <c r="F759" s="8">
        <f t="shared" si="11"/>
        <v>-1506</v>
      </c>
      <c r="G759" s="26"/>
    </row>
    <row r="760" spans="1:7" x14ac:dyDescent="0.25">
      <c r="A760" s="61">
        <v>42660</v>
      </c>
      <c r="B760" s="462" t="s">
        <v>725</v>
      </c>
      <c r="C760" s="463"/>
      <c r="D760" s="71"/>
      <c r="E760" s="58">
        <v>50000</v>
      </c>
      <c r="F760" s="8">
        <f t="shared" si="11"/>
        <v>48494</v>
      </c>
      <c r="G760" s="26"/>
    </row>
    <row r="761" spans="1:7" x14ac:dyDescent="0.25">
      <c r="A761" s="61">
        <v>42657</v>
      </c>
      <c r="B761" s="26" t="s">
        <v>696</v>
      </c>
      <c r="C761" s="87" t="s">
        <v>697</v>
      </c>
      <c r="D761" s="8">
        <v>7500</v>
      </c>
      <c r="E761" s="8"/>
      <c r="F761" s="8">
        <f t="shared" si="11"/>
        <v>40994</v>
      </c>
      <c r="G761" s="26"/>
    </row>
    <row r="762" spans="1:7" x14ac:dyDescent="0.25">
      <c r="A762" s="61">
        <v>42658</v>
      </c>
      <c r="B762" s="26" t="s">
        <v>303</v>
      </c>
      <c r="C762" s="87" t="s">
        <v>699</v>
      </c>
      <c r="D762" s="8">
        <v>600</v>
      </c>
      <c r="E762" s="8"/>
      <c r="F762" s="8">
        <f t="shared" si="11"/>
        <v>40394</v>
      </c>
      <c r="G762" s="26"/>
    </row>
    <row r="763" spans="1:7" x14ac:dyDescent="0.25">
      <c r="A763" s="61">
        <v>42658</v>
      </c>
      <c r="B763" s="26" t="s">
        <v>4</v>
      </c>
      <c r="C763" s="87" t="s">
        <v>295</v>
      </c>
      <c r="D763" s="8">
        <v>1000</v>
      </c>
      <c r="E763" s="8"/>
      <c r="F763" s="8">
        <f t="shared" si="11"/>
        <v>39394</v>
      </c>
      <c r="G763" s="26"/>
    </row>
    <row r="764" spans="1:7" x14ac:dyDescent="0.25">
      <c r="A764" s="61">
        <v>42658</v>
      </c>
      <c r="B764" s="26" t="s">
        <v>5</v>
      </c>
      <c r="C764" s="87" t="s">
        <v>32</v>
      </c>
      <c r="D764" s="8">
        <v>3000</v>
      </c>
      <c r="E764" s="8"/>
      <c r="F764" s="8">
        <f t="shared" si="11"/>
        <v>36394</v>
      </c>
      <c r="G764" s="26"/>
    </row>
    <row r="765" spans="1:7" x14ac:dyDescent="0.25">
      <c r="A765" s="61">
        <v>42658</v>
      </c>
      <c r="B765" s="26" t="s">
        <v>128</v>
      </c>
      <c r="C765" s="87" t="s">
        <v>702</v>
      </c>
      <c r="D765" s="8">
        <v>1000</v>
      </c>
      <c r="E765" s="8"/>
      <c r="F765" s="8">
        <f t="shared" si="11"/>
        <v>35394</v>
      </c>
      <c r="G765" s="26"/>
    </row>
    <row r="766" spans="1:7" x14ac:dyDescent="0.25">
      <c r="A766" s="61">
        <v>42658</v>
      </c>
      <c r="B766" s="26" t="s">
        <v>26</v>
      </c>
      <c r="C766" s="87" t="s">
        <v>705</v>
      </c>
      <c r="D766" s="8">
        <v>230</v>
      </c>
      <c r="E766" s="8"/>
      <c r="F766" s="8">
        <f t="shared" si="11"/>
        <v>35164</v>
      </c>
      <c r="G766" s="26"/>
    </row>
    <row r="767" spans="1:7" ht="30" x14ac:dyDescent="0.25">
      <c r="A767" s="61">
        <v>42658</v>
      </c>
      <c r="B767" s="26" t="s">
        <v>17</v>
      </c>
      <c r="C767" s="87" t="s">
        <v>704</v>
      </c>
      <c r="D767" s="8">
        <v>1000</v>
      </c>
      <c r="E767" s="8"/>
      <c r="F767" s="8">
        <f t="shared" si="11"/>
        <v>34164</v>
      </c>
      <c r="G767" s="26"/>
    </row>
    <row r="768" spans="1:7" x14ac:dyDescent="0.25">
      <c r="A768" s="61">
        <v>42658</v>
      </c>
      <c r="B768" s="26" t="s">
        <v>396</v>
      </c>
      <c r="C768" s="87" t="s">
        <v>706</v>
      </c>
      <c r="D768" s="8">
        <v>100</v>
      </c>
      <c r="E768" s="8"/>
      <c r="F768" s="8">
        <f t="shared" si="11"/>
        <v>34064</v>
      </c>
      <c r="G768" s="26"/>
    </row>
    <row r="769" spans="1:7" x14ac:dyDescent="0.25">
      <c r="A769" s="61">
        <v>42660</v>
      </c>
      <c r="B769" s="29" t="s">
        <v>17</v>
      </c>
      <c r="C769" s="89" t="s">
        <v>32</v>
      </c>
      <c r="D769" s="14">
        <v>150</v>
      </c>
      <c r="E769" s="14"/>
      <c r="F769" s="8">
        <f t="shared" si="11"/>
        <v>33914</v>
      </c>
      <c r="G769" s="26"/>
    </row>
    <row r="770" spans="1:7" x14ac:dyDescent="0.25">
      <c r="A770" s="61">
        <v>42660</v>
      </c>
      <c r="B770" s="26" t="s">
        <v>26</v>
      </c>
      <c r="C770" s="87" t="s">
        <v>707</v>
      </c>
      <c r="D770" s="8">
        <v>200</v>
      </c>
      <c r="E770" s="8"/>
      <c r="F770" s="8">
        <f t="shared" si="11"/>
        <v>33714</v>
      </c>
      <c r="G770" s="26"/>
    </row>
    <row r="771" spans="1:7" x14ac:dyDescent="0.25">
      <c r="A771" s="61">
        <v>42660</v>
      </c>
      <c r="B771" s="26" t="s">
        <v>5</v>
      </c>
      <c r="C771" s="87" t="s">
        <v>502</v>
      </c>
      <c r="D771" s="8">
        <v>2000</v>
      </c>
      <c r="E771" s="8"/>
      <c r="F771" s="8">
        <f t="shared" ref="F771:F834" si="12">F770-D771+E771</f>
        <v>31714</v>
      </c>
      <c r="G771" s="26"/>
    </row>
    <row r="772" spans="1:7" x14ac:dyDescent="0.25">
      <c r="A772" s="61">
        <v>42660</v>
      </c>
      <c r="B772" s="26" t="s">
        <v>10</v>
      </c>
      <c r="C772" s="87" t="s">
        <v>32</v>
      </c>
      <c r="D772" s="8">
        <v>500</v>
      </c>
      <c r="E772" s="8"/>
      <c r="F772" s="8">
        <f t="shared" si="12"/>
        <v>31214</v>
      </c>
      <c r="G772" s="26"/>
    </row>
    <row r="773" spans="1:7" x14ac:dyDescent="0.25">
      <c r="A773" s="61">
        <v>42660</v>
      </c>
      <c r="B773" s="26" t="s">
        <v>121</v>
      </c>
      <c r="C773" s="87" t="s">
        <v>32</v>
      </c>
      <c r="D773" s="8">
        <v>500</v>
      </c>
      <c r="E773" s="8"/>
      <c r="F773" s="8">
        <f t="shared" si="12"/>
        <v>30714</v>
      </c>
      <c r="G773" s="26"/>
    </row>
    <row r="774" spans="1:7" x14ac:dyDescent="0.25">
      <c r="A774" s="61">
        <v>42660</v>
      </c>
      <c r="B774" s="26" t="s">
        <v>231</v>
      </c>
      <c r="C774" s="87" t="s">
        <v>32</v>
      </c>
      <c r="D774" s="8">
        <v>500</v>
      </c>
      <c r="E774" s="8"/>
      <c r="F774" s="8">
        <f t="shared" si="12"/>
        <v>30214</v>
      </c>
      <c r="G774" s="26"/>
    </row>
    <row r="775" spans="1:7" x14ac:dyDescent="0.25">
      <c r="A775" s="61">
        <v>42660</v>
      </c>
      <c r="B775" s="26" t="s">
        <v>26</v>
      </c>
      <c r="C775" s="87" t="s">
        <v>708</v>
      </c>
      <c r="D775" s="8">
        <f>180+100+200</f>
        <v>480</v>
      </c>
      <c r="E775" s="8"/>
      <c r="F775" s="8">
        <f t="shared" si="12"/>
        <v>29734</v>
      </c>
      <c r="G775" s="26"/>
    </row>
    <row r="776" spans="1:7" x14ac:dyDescent="0.25">
      <c r="A776" s="61">
        <v>42660</v>
      </c>
      <c r="B776" s="26" t="s">
        <v>684</v>
      </c>
      <c r="C776" s="87" t="s">
        <v>709</v>
      </c>
      <c r="D776" s="8">
        <v>250</v>
      </c>
      <c r="E776" s="8"/>
      <c r="F776" s="8">
        <f t="shared" si="12"/>
        <v>29484</v>
      </c>
      <c r="G776" s="26"/>
    </row>
    <row r="777" spans="1:7" x14ac:dyDescent="0.25">
      <c r="A777" s="61">
        <v>42660</v>
      </c>
      <c r="B777" s="26" t="s">
        <v>5</v>
      </c>
      <c r="C777" s="87" t="s">
        <v>45</v>
      </c>
      <c r="D777" s="8">
        <v>8000</v>
      </c>
      <c r="E777" s="8"/>
      <c r="F777" s="8">
        <f t="shared" si="12"/>
        <v>21484</v>
      </c>
      <c r="G777" s="26"/>
    </row>
    <row r="778" spans="1:7" x14ac:dyDescent="0.25">
      <c r="A778" s="61">
        <v>42660</v>
      </c>
      <c r="B778" s="26" t="s">
        <v>121</v>
      </c>
      <c r="C778" s="87" t="s">
        <v>710</v>
      </c>
      <c r="D778" s="8">
        <v>6000</v>
      </c>
      <c r="E778" s="8"/>
      <c r="F778" s="8">
        <f t="shared" si="12"/>
        <v>15484</v>
      </c>
      <c r="G778" s="26"/>
    </row>
    <row r="779" spans="1:7" x14ac:dyDescent="0.25">
      <c r="A779" s="61">
        <v>42660</v>
      </c>
      <c r="B779" s="26" t="s">
        <v>26</v>
      </c>
      <c r="C779" s="87" t="s">
        <v>712</v>
      </c>
      <c r="D779" s="8">
        <v>120</v>
      </c>
      <c r="E779" s="8"/>
      <c r="F779" s="8">
        <f t="shared" si="12"/>
        <v>15364</v>
      </c>
      <c r="G779" s="26"/>
    </row>
    <row r="780" spans="1:7" ht="30" x14ac:dyDescent="0.25">
      <c r="A780" s="61">
        <v>42660</v>
      </c>
      <c r="B780" s="29" t="s">
        <v>684</v>
      </c>
      <c r="C780" s="89" t="s">
        <v>741</v>
      </c>
      <c r="D780" s="14">
        <v>4800</v>
      </c>
      <c r="E780" s="8"/>
      <c r="F780" s="8">
        <f t="shared" si="12"/>
        <v>10564</v>
      </c>
      <c r="G780" s="26"/>
    </row>
    <row r="781" spans="1:7" x14ac:dyDescent="0.25">
      <c r="A781" s="61">
        <v>42661</v>
      </c>
      <c r="B781" s="26" t="s">
        <v>26</v>
      </c>
      <c r="C781" s="87" t="s">
        <v>713</v>
      </c>
      <c r="D781" s="8">
        <v>710</v>
      </c>
      <c r="E781" s="8"/>
      <c r="F781" s="8">
        <f t="shared" si="12"/>
        <v>9854</v>
      </c>
      <c r="G781" s="26"/>
    </row>
    <row r="782" spans="1:7" x14ac:dyDescent="0.25">
      <c r="A782" s="61">
        <v>42661</v>
      </c>
      <c r="B782" s="26" t="s">
        <v>155</v>
      </c>
      <c r="C782" s="87" t="s">
        <v>295</v>
      </c>
      <c r="D782" s="8">
        <v>2000</v>
      </c>
      <c r="E782" s="8"/>
      <c r="F782" s="8">
        <f t="shared" si="12"/>
        <v>7854</v>
      </c>
      <c r="G782" s="26"/>
    </row>
    <row r="783" spans="1:7" x14ac:dyDescent="0.25">
      <c r="A783" s="61">
        <v>42661</v>
      </c>
      <c r="B783" s="26" t="s">
        <v>26</v>
      </c>
      <c r="C783" s="87" t="s">
        <v>714</v>
      </c>
      <c r="D783" s="8">
        <v>15</v>
      </c>
      <c r="E783" s="8"/>
      <c r="F783" s="8">
        <f t="shared" si="12"/>
        <v>7839</v>
      </c>
      <c r="G783" s="26"/>
    </row>
    <row r="784" spans="1:7" ht="30" x14ac:dyDescent="0.25">
      <c r="A784" s="61">
        <v>42661</v>
      </c>
      <c r="B784" s="26" t="s">
        <v>500</v>
      </c>
      <c r="C784" s="87" t="s">
        <v>715</v>
      </c>
      <c r="D784" s="8">
        <v>350</v>
      </c>
      <c r="E784" s="8"/>
      <c r="F784" s="8">
        <f t="shared" si="12"/>
        <v>7489</v>
      </c>
      <c r="G784" s="26"/>
    </row>
    <row r="785" spans="1:7" x14ac:dyDescent="0.25">
      <c r="A785" s="61">
        <v>42661</v>
      </c>
      <c r="B785" s="26" t="s">
        <v>17</v>
      </c>
      <c r="C785" s="87" t="s">
        <v>78</v>
      </c>
      <c r="D785" s="8">
        <v>7000</v>
      </c>
      <c r="E785" s="8"/>
      <c r="F785" s="8">
        <f t="shared" si="12"/>
        <v>489</v>
      </c>
      <c r="G785" s="26"/>
    </row>
    <row r="786" spans="1:7" x14ac:dyDescent="0.25">
      <c r="A786" s="61">
        <v>42661</v>
      </c>
      <c r="B786" s="462" t="s">
        <v>724</v>
      </c>
      <c r="C786" s="463"/>
      <c r="D786" s="71"/>
      <c r="E786" s="58">
        <v>50000</v>
      </c>
      <c r="F786" s="8">
        <f t="shared" si="12"/>
        <v>50489</v>
      </c>
      <c r="G786" s="26"/>
    </row>
    <row r="787" spans="1:7" x14ac:dyDescent="0.25">
      <c r="A787" s="61">
        <v>42661</v>
      </c>
      <c r="B787" s="26" t="s">
        <v>123</v>
      </c>
      <c r="C787" s="87" t="s">
        <v>719</v>
      </c>
      <c r="D787" s="8">
        <v>10000</v>
      </c>
      <c r="E787" s="8"/>
      <c r="F787" s="8">
        <f t="shared" si="12"/>
        <v>40489</v>
      </c>
      <c r="G787" s="26"/>
    </row>
    <row r="788" spans="1:7" x14ac:dyDescent="0.25">
      <c r="A788" s="61">
        <v>42661</v>
      </c>
      <c r="B788" s="26" t="s">
        <v>720</v>
      </c>
      <c r="C788" s="87" t="s">
        <v>726</v>
      </c>
      <c r="D788" s="8">
        <v>5000</v>
      </c>
      <c r="E788" s="8"/>
      <c r="F788" s="8">
        <f t="shared" si="12"/>
        <v>35489</v>
      </c>
      <c r="G788" s="26"/>
    </row>
    <row r="789" spans="1:7" x14ac:dyDescent="0.25">
      <c r="A789" s="61">
        <v>42661</v>
      </c>
      <c r="B789" s="26" t="s">
        <v>720</v>
      </c>
      <c r="C789" s="87" t="s">
        <v>727</v>
      </c>
      <c r="D789" s="8">
        <v>4000</v>
      </c>
      <c r="E789" s="8"/>
      <c r="F789" s="8">
        <f t="shared" si="12"/>
        <v>31489</v>
      </c>
      <c r="G789" s="26"/>
    </row>
    <row r="790" spans="1:7" x14ac:dyDescent="0.25">
      <c r="A790" s="61">
        <v>42661</v>
      </c>
      <c r="B790" s="26" t="s">
        <v>4</v>
      </c>
      <c r="C790" s="87" t="s">
        <v>32</v>
      </c>
      <c r="D790" s="8">
        <v>5000</v>
      </c>
      <c r="E790" s="8"/>
      <c r="F790" s="8">
        <f t="shared" si="12"/>
        <v>26489</v>
      </c>
      <c r="G790" s="26"/>
    </row>
    <row r="791" spans="1:7" x14ac:dyDescent="0.25">
      <c r="A791" s="61">
        <v>42661</v>
      </c>
      <c r="B791" s="29" t="s">
        <v>38</v>
      </c>
      <c r="C791" s="89" t="s">
        <v>716</v>
      </c>
      <c r="D791" s="14">
        <v>230</v>
      </c>
      <c r="E791" s="8"/>
      <c r="F791" s="8">
        <f t="shared" si="12"/>
        <v>26259</v>
      </c>
      <c r="G791" s="26"/>
    </row>
    <row r="792" spans="1:7" x14ac:dyDescent="0.25">
      <c r="A792" s="61">
        <v>42661</v>
      </c>
      <c r="B792" s="26" t="s">
        <v>161</v>
      </c>
      <c r="C792" s="87" t="s">
        <v>717</v>
      </c>
      <c r="D792" s="8">
        <v>1000</v>
      </c>
      <c r="E792" s="8"/>
      <c r="F792" s="8">
        <f t="shared" si="12"/>
        <v>25259</v>
      </c>
      <c r="G792" s="26"/>
    </row>
    <row r="793" spans="1:7" x14ac:dyDescent="0.25">
      <c r="A793" s="61">
        <v>42661</v>
      </c>
      <c r="B793" s="26" t="s">
        <v>121</v>
      </c>
      <c r="C793" s="87" t="s">
        <v>34</v>
      </c>
      <c r="D793" s="8">
        <v>2500</v>
      </c>
      <c r="E793" s="8"/>
      <c r="F793" s="8">
        <f t="shared" si="12"/>
        <v>22759</v>
      </c>
      <c r="G793" s="26"/>
    </row>
    <row r="794" spans="1:7" x14ac:dyDescent="0.25">
      <c r="A794" s="61">
        <v>42661</v>
      </c>
      <c r="B794" s="26" t="s">
        <v>26</v>
      </c>
      <c r="C794" s="87" t="s">
        <v>718</v>
      </c>
      <c r="D794" s="8">
        <v>100</v>
      </c>
      <c r="E794" s="8"/>
      <c r="F794" s="8">
        <f t="shared" si="12"/>
        <v>22659</v>
      </c>
      <c r="G794" s="26"/>
    </row>
    <row r="795" spans="1:7" x14ac:dyDescent="0.25">
      <c r="A795" s="61">
        <v>42662</v>
      </c>
      <c r="B795" s="26" t="s">
        <v>121</v>
      </c>
      <c r="C795" s="87" t="s">
        <v>97</v>
      </c>
      <c r="D795" s="8">
        <v>3000</v>
      </c>
      <c r="E795" s="8"/>
      <c r="F795" s="8">
        <f t="shared" si="12"/>
        <v>19659</v>
      </c>
      <c r="G795" s="26"/>
    </row>
    <row r="796" spans="1:7" x14ac:dyDescent="0.25">
      <c r="A796" s="61">
        <v>42662</v>
      </c>
      <c r="B796" s="26" t="s">
        <v>117</v>
      </c>
      <c r="C796" s="87" t="s">
        <v>721</v>
      </c>
      <c r="D796" s="8">
        <v>2000</v>
      </c>
      <c r="E796" s="8"/>
      <c r="F796" s="8">
        <f t="shared" si="12"/>
        <v>17659</v>
      </c>
      <c r="G796" s="26"/>
    </row>
    <row r="797" spans="1:7" x14ac:dyDescent="0.25">
      <c r="A797" s="61">
        <v>42662</v>
      </c>
      <c r="B797" s="26" t="s">
        <v>396</v>
      </c>
      <c r="C797" s="87" t="s">
        <v>619</v>
      </c>
      <c r="D797" s="8">
        <v>100</v>
      </c>
      <c r="E797" s="8"/>
      <c r="F797" s="8">
        <f t="shared" si="12"/>
        <v>17559</v>
      </c>
      <c r="G797" s="26"/>
    </row>
    <row r="798" spans="1:7" x14ac:dyDescent="0.25">
      <c r="A798" s="61">
        <v>42662</v>
      </c>
      <c r="B798" s="29" t="s">
        <v>500</v>
      </c>
      <c r="C798" s="89" t="s">
        <v>722</v>
      </c>
      <c r="D798" s="14">
        <v>560</v>
      </c>
      <c r="E798" s="14"/>
      <c r="F798" s="8">
        <f t="shared" si="12"/>
        <v>16999</v>
      </c>
      <c r="G798" s="26"/>
    </row>
    <row r="799" spans="1:7" x14ac:dyDescent="0.25">
      <c r="A799" s="61">
        <v>42662</v>
      </c>
      <c r="B799" s="26" t="s">
        <v>26</v>
      </c>
      <c r="C799" s="87" t="s">
        <v>723</v>
      </c>
      <c r="D799" s="8">
        <v>60</v>
      </c>
      <c r="E799" s="8"/>
      <c r="F799" s="8">
        <f t="shared" si="12"/>
        <v>16939</v>
      </c>
      <c r="G799" s="26"/>
    </row>
    <row r="800" spans="1:7" x14ac:dyDescent="0.25">
      <c r="A800" s="61">
        <v>42662</v>
      </c>
      <c r="B800" s="26" t="s">
        <v>10</v>
      </c>
      <c r="C800" s="87" t="s">
        <v>236</v>
      </c>
      <c r="D800" s="8">
        <v>1500</v>
      </c>
      <c r="E800" s="8"/>
      <c r="F800" s="8">
        <f t="shared" si="12"/>
        <v>15439</v>
      </c>
      <c r="G800" s="26"/>
    </row>
    <row r="801" spans="1:7" x14ac:dyDescent="0.25">
      <c r="A801" s="61">
        <v>42662</v>
      </c>
      <c r="B801" s="26" t="s">
        <v>26</v>
      </c>
      <c r="C801" s="87" t="s">
        <v>728</v>
      </c>
      <c r="D801" s="8">
        <v>120</v>
      </c>
      <c r="E801" s="8"/>
      <c r="F801" s="8">
        <f t="shared" si="12"/>
        <v>15319</v>
      </c>
      <c r="G801" s="26"/>
    </row>
    <row r="802" spans="1:7" x14ac:dyDescent="0.25">
      <c r="A802" s="61">
        <v>42662</v>
      </c>
      <c r="B802" s="26" t="s">
        <v>542</v>
      </c>
      <c r="C802" s="87" t="s">
        <v>729</v>
      </c>
      <c r="D802" s="8">
        <v>2500</v>
      </c>
      <c r="E802" s="8"/>
      <c r="F802" s="8">
        <f t="shared" si="12"/>
        <v>12819</v>
      </c>
      <c r="G802" s="26"/>
    </row>
    <row r="803" spans="1:7" x14ac:dyDescent="0.25">
      <c r="A803" s="61">
        <v>42662</v>
      </c>
      <c r="B803" s="26" t="s">
        <v>542</v>
      </c>
      <c r="C803" s="87" t="s">
        <v>730</v>
      </c>
      <c r="D803" s="8">
        <v>2500</v>
      </c>
      <c r="E803" s="8"/>
      <c r="F803" s="8">
        <f t="shared" si="12"/>
        <v>10319</v>
      </c>
      <c r="G803" s="26"/>
    </row>
    <row r="804" spans="1:7" x14ac:dyDescent="0.25">
      <c r="A804" s="191">
        <v>42663</v>
      </c>
      <c r="B804" s="40" t="s">
        <v>396</v>
      </c>
      <c r="C804" s="76" t="s">
        <v>732</v>
      </c>
      <c r="D804" s="41">
        <v>50</v>
      </c>
      <c r="E804" s="8"/>
      <c r="F804" s="8">
        <f t="shared" si="12"/>
        <v>10269</v>
      </c>
      <c r="G804" s="26"/>
    </row>
    <row r="805" spans="1:7" x14ac:dyDescent="0.25">
      <c r="A805" s="61">
        <v>42663</v>
      </c>
      <c r="B805" s="26" t="s">
        <v>26</v>
      </c>
      <c r="C805" s="87" t="s">
        <v>733</v>
      </c>
      <c r="D805" s="8">
        <v>120</v>
      </c>
      <c r="E805" s="8"/>
      <c r="F805" s="8">
        <f t="shared" si="12"/>
        <v>10149</v>
      </c>
      <c r="G805" s="26"/>
    </row>
    <row r="806" spans="1:7" x14ac:dyDescent="0.25">
      <c r="A806" s="61">
        <v>42663</v>
      </c>
      <c r="B806" s="26" t="s">
        <v>165</v>
      </c>
      <c r="C806" s="87" t="s">
        <v>734</v>
      </c>
      <c r="D806" s="8">
        <v>1000</v>
      </c>
      <c r="E806" s="8"/>
      <c r="F806" s="8">
        <f t="shared" si="12"/>
        <v>9149</v>
      </c>
      <c r="G806" s="26"/>
    </row>
    <row r="807" spans="1:7" x14ac:dyDescent="0.25">
      <c r="A807" s="61">
        <v>42663</v>
      </c>
      <c r="B807" s="40" t="s">
        <v>248</v>
      </c>
      <c r="C807" s="79" t="s">
        <v>767</v>
      </c>
      <c r="D807" s="41">
        <v>625</v>
      </c>
      <c r="E807" s="8"/>
      <c r="F807" s="8">
        <f t="shared" si="12"/>
        <v>8524</v>
      </c>
      <c r="G807" s="26"/>
    </row>
    <row r="808" spans="1:7" ht="30" x14ac:dyDescent="0.25">
      <c r="A808" s="61">
        <v>42663</v>
      </c>
      <c r="B808" s="29" t="s">
        <v>231</v>
      </c>
      <c r="C808" s="89" t="s">
        <v>740</v>
      </c>
      <c r="D808" s="14">
        <v>800</v>
      </c>
      <c r="E808" s="8"/>
      <c r="F808" s="8">
        <f t="shared" si="12"/>
        <v>7724</v>
      </c>
      <c r="G808" s="26"/>
    </row>
    <row r="809" spans="1:7" x14ac:dyDescent="0.25">
      <c r="A809" s="61">
        <v>42663</v>
      </c>
      <c r="B809" s="26" t="s">
        <v>26</v>
      </c>
      <c r="C809" s="87" t="s">
        <v>525</v>
      </c>
      <c r="D809" s="8">
        <v>1400</v>
      </c>
      <c r="E809" s="8"/>
      <c r="F809" s="8">
        <f t="shared" si="12"/>
        <v>6324</v>
      </c>
      <c r="G809" s="26"/>
    </row>
    <row r="810" spans="1:7" x14ac:dyDescent="0.25">
      <c r="A810" s="61">
        <v>42663</v>
      </c>
      <c r="B810" s="26" t="s">
        <v>26</v>
      </c>
      <c r="C810" s="87" t="s">
        <v>735</v>
      </c>
      <c r="D810" s="8">
        <v>150</v>
      </c>
      <c r="E810" s="8"/>
      <c r="F810" s="8">
        <f t="shared" si="12"/>
        <v>6174</v>
      </c>
      <c r="G810" s="26"/>
    </row>
    <row r="811" spans="1:7" x14ac:dyDescent="0.25">
      <c r="A811" s="61">
        <v>42663</v>
      </c>
      <c r="B811" s="26" t="s">
        <v>161</v>
      </c>
      <c r="C811" s="87" t="s">
        <v>736</v>
      </c>
      <c r="D811" s="8">
        <v>3000</v>
      </c>
      <c r="E811" s="8"/>
      <c r="F811" s="8">
        <f t="shared" si="12"/>
        <v>3174</v>
      </c>
      <c r="G811" s="26"/>
    </row>
    <row r="812" spans="1:7" x14ac:dyDescent="0.25">
      <c r="A812" s="61">
        <v>42663</v>
      </c>
      <c r="B812" s="26" t="s">
        <v>161</v>
      </c>
      <c r="C812" s="87" t="s">
        <v>737</v>
      </c>
      <c r="D812" s="8">
        <v>3000</v>
      </c>
      <c r="E812" s="8"/>
      <c r="F812" s="8">
        <f t="shared" si="12"/>
        <v>174</v>
      </c>
      <c r="G812" s="26"/>
    </row>
    <row r="813" spans="1:7" x14ac:dyDescent="0.25">
      <c r="A813" s="61">
        <v>42664</v>
      </c>
      <c r="B813" s="26" t="s">
        <v>26</v>
      </c>
      <c r="C813" s="87" t="s">
        <v>110</v>
      </c>
      <c r="D813" s="8">
        <v>70</v>
      </c>
      <c r="E813" s="8"/>
      <c r="F813" s="8">
        <f t="shared" si="12"/>
        <v>104</v>
      </c>
      <c r="G813" s="26"/>
    </row>
    <row r="814" spans="1:7" x14ac:dyDescent="0.25">
      <c r="A814" s="61">
        <v>42664</v>
      </c>
      <c r="B814" s="26" t="s">
        <v>157</v>
      </c>
      <c r="C814" s="87" t="s">
        <v>32</v>
      </c>
      <c r="D814" s="8">
        <v>1000</v>
      </c>
      <c r="E814" s="8"/>
      <c r="F814" s="8">
        <f t="shared" si="12"/>
        <v>-896</v>
      </c>
      <c r="G814" s="26"/>
    </row>
    <row r="815" spans="1:7" x14ac:dyDescent="0.25">
      <c r="A815" s="61">
        <v>42664</v>
      </c>
      <c r="B815" s="77" t="s">
        <v>28</v>
      </c>
      <c r="C815" s="78" t="s">
        <v>748</v>
      </c>
      <c r="D815" s="44"/>
      <c r="E815" s="44">
        <v>20000</v>
      </c>
      <c r="F815" s="8">
        <f t="shared" si="12"/>
        <v>19104</v>
      </c>
      <c r="G815" s="26"/>
    </row>
    <row r="816" spans="1:7" x14ac:dyDescent="0.25">
      <c r="A816" s="61">
        <v>42664</v>
      </c>
      <c r="B816" s="26" t="s">
        <v>5</v>
      </c>
      <c r="C816" s="87" t="s">
        <v>32</v>
      </c>
      <c r="D816" s="8">
        <v>2000</v>
      </c>
      <c r="E816" s="8"/>
      <c r="F816" s="8">
        <f t="shared" si="12"/>
        <v>17104</v>
      </c>
      <c r="G816" s="26"/>
    </row>
    <row r="817" spans="1:10" x14ac:dyDescent="0.25">
      <c r="A817" s="61">
        <v>42664</v>
      </c>
      <c r="B817" s="26" t="s">
        <v>43</v>
      </c>
      <c r="C817" s="87" t="s">
        <v>32</v>
      </c>
      <c r="D817" s="8">
        <v>2000</v>
      </c>
      <c r="E817" s="8"/>
      <c r="F817" s="8">
        <f t="shared" si="12"/>
        <v>15104</v>
      </c>
      <c r="G817" s="26"/>
    </row>
    <row r="818" spans="1:10" x14ac:dyDescent="0.25">
      <c r="A818" s="61">
        <v>42665</v>
      </c>
      <c r="B818" s="462" t="s">
        <v>753</v>
      </c>
      <c r="C818" s="463"/>
      <c r="D818" s="71"/>
      <c r="E818" s="58">
        <v>50000</v>
      </c>
      <c r="F818" s="8">
        <f t="shared" si="12"/>
        <v>65104</v>
      </c>
      <c r="G818" s="26"/>
    </row>
    <row r="819" spans="1:10" ht="30" x14ac:dyDescent="0.25">
      <c r="A819" s="61">
        <v>42665</v>
      </c>
      <c r="B819" s="26" t="s">
        <v>231</v>
      </c>
      <c r="C819" s="87" t="s">
        <v>738</v>
      </c>
      <c r="D819" s="8">
        <v>4800</v>
      </c>
      <c r="E819" s="8"/>
      <c r="F819" s="8">
        <f t="shared" si="12"/>
        <v>60304</v>
      </c>
      <c r="G819" s="26"/>
    </row>
    <row r="820" spans="1:10" x14ac:dyDescent="0.25">
      <c r="A820" s="61">
        <v>42665</v>
      </c>
      <c r="B820" s="29" t="s">
        <v>231</v>
      </c>
      <c r="C820" s="89" t="s">
        <v>739</v>
      </c>
      <c r="D820" s="14">
        <v>10500</v>
      </c>
      <c r="E820" s="8"/>
      <c r="F820" s="8">
        <f t="shared" si="12"/>
        <v>49804</v>
      </c>
      <c r="G820" s="26"/>
    </row>
    <row r="821" spans="1:10" x14ac:dyDescent="0.25">
      <c r="A821" s="61">
        <v>42665</v>
      </c>
      <c r="B821" s="26" t="s">
        <v>720</v>
      </c>
      <c r="C821" s="87" t="s">
        <v>727</v>
      </c>
      <c r="D821" s="8">
        <v>4000</v>
      </c>
      <c r="E821" s="8"/>
      <c r="F821" s="8">
        <f t="shared" si="12"/>
        <v>45804</v>
      </c>
      <c r="G821" s="26"/>
    </row>
    <row r="822" spans="1:10" x14ac:dyDescent="0.25">
      <c r="A822" s="61">
        <v>42665</v>
      </c>
      <c r="B822" s="26" t="s">
        <v>231</v>
      </c>
      <c r="C822" s="87" t="s">
        <v>32</v>
      </c>
      <c r="D822" s="8">
        <v>1000</v>
      </c>
      <c r="E822" s="8"/>
      <c r="F822" s="8">
        <f t="shared" si="12"/>
        <v>44804</v>
      </c>
      <c r="G822" s="26"/>
    </row>
    <row r="823" spans="1:10" x14ac:dyDescent="0.25">
      <c r="A823" s="61">
        <v>42665</v>
      </c>
      <c r="B823" s="26" t="s">
        <v>5</v>
      </c>
      <c r="C823" s="87" t="s">
        <v>32</v>
      </c>
      <c r="D823" s="8">
        <v>7500</v>
      </c>
      <c r="E823" s="8"/>
      <c r="F823" s="8">
        <f t="shared" si="12"/>
        <v>37304</v>
      </c>
      <c r="G823" s="26"/>
    </row>
    <row r="824" spans="1:10" x14ac:dyDescent="0.25">
      <c r="A824" s="61">
        <v>42665</v>
      </c>
      <c r="B824" s="26" t="s">
        <v>26</v>
      </c>
      <c r="C824" s="87" t="s">
        <v>735</v>
      </c>
      <c r="D824" s="8">
        <v>120</v>
      </c>
      <c r="E824" s="8"/>
      <c r="F824" s="8">
        <f t="shared" si="12"/>
        <v>37184</v>
      </c>
      <c r="G824" s="26"/>
      <c r="I824" s="24"/>
      <c r="J824" s="24"/>
    </row>
    <row r="825" spans="1:10" x14ac:dyDescent="0.25">
      <c r="A825" s="61">
        <v>42665</v>
      </c>
      <c r="B825" s="29" t="s">
        <v>62</v>
      </c>
      <c r="C825" s="89"/>
      <c r="D825" s="14">
        <v>100</v>
      </c>
      <c r="E825" s="8"/>
      <c r="F825" s="8">
        <f t="shared" si="12"/>
        <v>37084</v>
      </c>
      <c r="G825" s="26"/>
    </row>
    <row r="826" spans="1:10" x14ac:dyDescent="0.25">
      <c r="A826" s="61">
        <v>42665</v>
      </c>
      <c r="B826" s="26" t="s">
        <v>71</v>
      </c>
      <c r="C826" s="87" t="s">
        <v>742</v>
      </c>
      <c r="D826" s="8">
        <v>1290</v>
      </c>
      <c r="E826" s="8"/>
      <c r="F826" s="8">
        <f t="shared" si="12"/>
        <v>35794</v>
      </c>
      <c r="G826" s="26"/>
    </row>
    <row r="827" spans="1:10" x14ac:dyDescent="0.25">
      <c r="A827" s="61">
        <v>42665</v>
      </c>
      <c r="B827" s="26" t="s">
        <v>5</v>
      </c>
      <c r="C827" s="87" t="s">
        <v>32</v>
      </c>
      <c r="D827" s="8">
        <v>3500</v>
      </c>
      <c r="E827" s="8"/>
      <c r="F827" s="8">
        <f t="shared" si="12"/>
        <v>32294</v>
      </c>
      <c r="G827" s="26"/>
    </row>
    <row r="828" spans="1:10" x14ac:dyDescent="0.25">
      <c r="A828" s="61">
        <v>42665</v>
      </c>
      <c r="B828" s="26" t="s">
        <v>165</v>
      </c>
      <c r="C828" s="87" t="s">
        <v>749</v>
      </c>
      <c r="D828" s="8">
        <v>5000</v>
      </c>
      <c r="E828" s="8"/>
      <c r="F828" s="8">
        <f t="shared" si="12"/>
        <v>27294</v>
      </c>
      <c r="G828" s="26"/>
    </row>
    <row r="829" spans="1:10" x14ac:dyDescent="0.25">
      <c r="A829" s="61">
        <v>42665</v>
      </c>
      <c r="B829" s="26" t="s">
        <v>26</v>
      </c>
      <c r="C829" s="87" t="s">
        <v>745</v>
      </c>
      <c r="D829" s="8">
        <f>350+50</f>
        <v>400</v>
      </c>
      <c r="E829" s="8"/>
      <c r="F829" s="8">
        <f t="shared" si="12"/>
        <v>26894</v>
      </c>
      <c r="G829" s="26"/>
    </row>
    <row r="830" spans="1:10" x14ac:dyDescent="0.25">
      <c r="A830" s="61">
        <v>42665</v>
      </c>
      <c r="B830" s="26" t="s">
        <v>123</v>
      </c>
      <c r="C830" s="87" t="s">
        <v>6</v>
      </c>
      <c r="D830" s="8">
        <v>3180</v>
      </c>
      <c r="E830" s="8"/>
      <c r="F830" s="8">
        <f t="shared" si="12"/>
        <v>23714</v>
      </c>
      <c r="G830" s="26"/>
    </row>
    <row r="831" spans="1:10" x14ac:dyDescent="0.25">
      <c r="A831" s="61">
        <v>42665</v>
      </c>
      <c r="B831" s="26" t="s">
        <v>161</v>
      </c>
      <c r="C831" s="87" t="s">
        <v>743</v>
      </c>
      <c r="D831" s="8">
        <v>3000</v>
      </c>
      <c r="E831" s="8"/>
      <c r="F831" s="8">
        <f t="shared" si="12"/>
        <v>20714</v>
      </c>
      <c r="G831" s="26"/>
    </row>
    <row r="832" spans="1:10" x14ac:dyDescent="0.25">
      <c r="A832" s="61">
        <v>42665</v>
      </c>
      <c r="B832" s="26" t="s">
        <v>61</v>
      </c>
      <c r="C832" s="87" t="s">
        <v>744</v>
      </c>
      <c r="D832" s="8">
        <v>1000</v>
      </c>
      <c r="E832" s="8"/>
      <c r="F832" s="8">
        <f t="shared" si="12"/>
        <v>19714</v>
      </c>
      <c r="G832" s="26"/>
    </row>
    <row r="833" spans="1:7" x14ac:dyDescent="0.25">
      <c r="A833" s="61">
        <v>42665</v>
      </c>
      <c r="B833" s="29" t="s">
        <v>121</v>
      </c>
      <c r="C833" s="89" t="s">
        <v>32</v>
      </c>
      <c r="D833" s="14">
        <v>5000</v>
      </c>
      <c r="E833" s="8"/>
      <c r="F833" s="8">
        <f t="shared" si="12"/>
        <v>14714</v>
      </c>
      <c r="G833" s="26"/>
    </row>
    <row r="834" spans="1:7" x14ac:dyDescent="0.25">
      <c r="A834" s="61">
        <v>42665</v>
      </c>
      <c r="B834" s="29" t="s">
        <v>128</v>
      </c>
      <c r="C834" s="89" t="s">
        <v>257</v>
      </c>
      <c r="D834" s="14">
        <v>2000</v>
      </c>
      <c r="E834" s="8"/>
      <c r="F834" s="8">
        <f t="shared" si="12"/>
        <v>12714</v>
      </c>
      <c r="G834" s="26"/>
    </row>
    <row r="835" spans="1:7" x14ac:dyDescent="0.25">
      <c r="A835" s="61">
        <v>42665</v>
      </c>
      <c r="B835" s="40" t="s">
        <v>248</v>
      </c>
      <c r="C835" s="76" t="s">
        <v>772</v>
      </c>
      <c r="D835" s="41">
        <v>365</v>
      </c>
      <c r="E835" s="8"/>
      <c r="F835" s="8">
        <f t="shared" ref="F835:F898" si="13">F834-D835+E835</f>
        <v>12349</v>
      </c>
      <c r="G835" s="26"/>
    </row>
    <row r="836" spans="1:7" x14ac:dyDescent="0.25">
      <c r="A836" s="61">
        <v>42665</v>
      </c>
      <c r="B836" s="40" t="s">
        <v>248</v>
      </c>
      <c r="C836" s="76" t="s">
        <v>771</v>
      </c>
      <c r="D836" s="41">
        <v>165</v>
      </c>
      <c r="E836" s="8"/>
      <c r="F836" s="8">
        <f t="shared" si="13"/>
        <v>12184</v>
      </c>
      <c r="G836" s="26"/>
    </row>
    <row r="837" spans="1:7" x14ac:dyDescent="0.25">
      <c r="A837" s="61">
        <v>42665</v>
      </c>
      <c r="B837" s="29" t="s">
        <v>542</v>
      </c>
      <c r="C837" s="89" t="s">
        <v>755</v>
      </c>
      <c r="D837" s="14">
        <v>8000</v>
      </c>
      <c r="E837" s="8"/>
      <c r="F837" s="8">
        <f t="shared" si="13"/>
        <v>4184</v>
      </c>
      <c r="G837" s="26"/>
    </row>
    <row r="838" spans="1:7" x14ac:dyDescent="0.25">
      <c r="A838" s="61">
        <v>42665</v>
      </c>
      <c r="B838" s="26" t="s">
        <v>542</v>
      </c>
      <c r="C838" s="87" t="s">
        <v>754</v>
      </c>
      <c r="D838" s="8">
        <v>200</v>
      </c>
      <c r="E838" s="8"/>
      <c r="F838" s="8">
        <f t="shared" si="13"/>
        <v>3984</v>
      </c>
      <c r="G838" s="26"/>
    </row>
    <row r="839" spans="1:7" x14ac:dyDescent="0.25">
      <c r="A839" s="61">
        <v>42667</v>
      </c>
      <c r="B839" s="26" t="s">
        <v>38</v>
      </c>
      <c r="C839" s="87" t="s">
        <v>746</v>
      </c>
      <c r="D839" s="8">
        <v>300</v>
      </c>
      <c r="E839" s="8"/>
      <c r="F839" s="8">
        <f t="shared" si="13"/>
        <v>3684</v>
      </c>
      <c r="G839" s="26"/>
    </row>
    <row r="840" spans="1:7" x14ac:dyDescent="0.25">
      <c r="A840" s="61">
        <v>42667</v>
      </c>
      <c r="B840" s="26" t="s">
        <v>38</v>
      </c>
      <c r="C840" s="87" t="s">
        <v>32</v>
      </c>
      <c r="D840" s="8">
        <v>200</v>
      </c>
      <c r="E840" s="8"/>
      <c r="F840" s="8">
        <f t="shared" si="13"/>
        <v>3484</v>
      </c>
      <c r="G840" s="26"/>
    </row>
    <row r="841" spans="1:7" x14ac:dyDescent="0.25">
      <c r="A841" s="61">
        <v>42667</v>
      </c>
      <c r="B841" s="26" t="s">
        <v>43</v>
      </c>
      <c r="C841" s="87" t="s">
        <v>32</v>
      </c>
      <c r="D841" s="8">
        <v>2000</v>
      </c>
      <c r="E841" s="8"/>
      <c r="F841" s="8">
        <f t="shared" si="13"/>
        <v>1484</v>
      </c>
      <c r="G841" s="26"/>
    </row>
    <row r="842" spans="1:7" x14ac:dyDescent="0.25">
      <c r="A842" s="61">
        <v>42667</v>
      </c>
      <c r="B842" s="26" t="s">
        <v>121</v>
      </c>
      <c r="C842" s="87" t="s">
        <v>32</v>
      </c>
      <c r="D842" s="8">
        <v>2000</v>
      </c>
      <c r="E842" s="8"/>
      <c r="F842" s="8">
        <f t="shared" si="13"/>
        <v>-516</v>
      </c>
      <c r="G842" s="26"/>
    </row>
    <row r="843" spans="1:7" x14ac:dyDescent="0.25">
      <c r="A843" s="61">
        <v>42667</v>
      </c>
      <c r="B843" s="26" t="s">
        <v>26</v>
      </c>
      <c r="C843" s="87" t="s">
        <v>747</v>
      </c>
      <c r="D843" s="8">
        <v>100</v>
      </c>
      <c r="E843" s="8"/>
      <c r="F843" s="8">
        <f t="shared" si="13"/>
        <v>-616</v>
      </c>
      <c r="G843" s="26"/>
    </row>
    <row r="844" spans="1:7" x14ac:dyDescent="0.25">
      <c r="A844" s="61">
        <v>42667</v>
      </c>
      <c r="B844" s="462" t="s">
        <v>752</v>
      </c>
      <c r="C844" s="463"/>
      <c r="D844" s="71"/>
      <c r="E844" s="58">
        <v>50000</v>
      </c>
      <c r="F844" s="8">
        <f t="shared" si="13"/>
        <v>49384</v>
      </c>
      <c r="G844" s="26"/>
    </row>
    <row r="845" spans="1:7" x14ac:dyDescent="0.25">
      <c r="A845" s="61">
        <v>42667</v>
      </c>
      <c r="B845" s="26" t="s">
        <v>40</v>
      </c>
      <c r="C845" s="87" t="s">
        <v>751</v>
      </c>
      <c r="D845" s="8">
        <v>15000</v>
      </c>
      <c r="E845" s="8"/>
      <c r="F845" s="8">
        <f t="shared" si="13"/>
        <v>34384</v>
      </c>
      <c r="G845" s="26"/>
    </row>
    <row r="846" spans="1:7" x14ac:dyDescent="0.25">
      <c r="A846" s="61">
        <v>42667</v>
      </c>
      <c r="B846" s="26" t="s">
        <v>165</v>
      </c>
      <c r="C846" s="87" t="s">
        <v>750</v>
      </c>
      <c r="D846" s="8">
        <v>20000</v>
      </c>
      <c r="E846" s="8"/>
      <c r="F846" s="8">
        <f t="shared" si="13"/>
        <v>14384</v>
      </c>
      <c r="G846" s="26"/>
    </row>
    <row r="847" spans="1:7" x14ac:dyDescent="0.25">
      <c r="A847" s="61">
        <v>42667</v>
      </c>
      <c r="B847" s="26" t="s">
        <v>5</v>
      </c>
      <c r="C847" s="87" t="s">
        <v>32</v>
      </c>
      <c r="D847" s="8">
        <v>2000</v>
      </c>
      <c r="E847" s="8"/>
      <c r="F847" s="8">
        <f t="shared" si="13"/>
        <v>12384</v>
      </c>
      <c r="G847" s="26"/>
    </row>
    <row r="848" spans="1:7" x14ac:dyDescent="0.25">
      <c r="A848" s="61">
        <v>42667</v>
      </c>
      <c r="B848" s="26" t="s">
        <v>17</v>
      </c>
      <c r="C848" s="87" t="s">
        <v>32</v>
      </c>
      <c r="D848" s="8">
        <v>1000</v>
      </c>
      <c r="E848" s="8"/>
      <c r="F848" s="8">
        <f t="shared" si="13"/>
        <v>11384</v>
      </c>
      <c r="G848" s="26"/>
    </row>
    <row r="849" spans="1:7" x14ac:dyDescent="0.25">
      <c r="A849" s="61">
        <v>42667</v>
      </c>
      <c r="B849" s="26" t="s">
        <v>4</v>
      </c>
      <c r="C849" s="87" t="s">
        <v>541</v>
      </c>
      <c r="D849" s="8">
        <v>5000</v>
      </c>
      <c r="E849" s="8"/>
      <c r="F849" s="8">
        <f t="shared" si="13"/>
        <v>6384</v>
      </c>
      <c r="G849" s="26"/>
    </row>
    <row r="850" spans="1:7" x14ac:dyDescent="0.25">
      <c r="A850" s="61">
        <v>42667</v>
      </c>
      <c r="B850" s="26" t="s">
        <v>58</v>
      </c>
      <c r="C850" s="87" t="s">
        <v>757</v>
      </c>
      <c r="D850" s="8">
        <v>1000</v>
      </c>
      <c r="E850" s="8"/>
      <c r="F850" s="8">
        <f t="shared" si="13"/>
        <v>5384</v>
      </c>
      <c r="G850" s="26"/>
    </row>
    <row r="851" spans="1:7" x14ac:dyDescent="0.25">
      <c r="A851" s="61">
        <v>42668</v>
      </c>
      <c r="B851" s="462" t="s">
        <v>756</v>
      </c>
      <c r="C851" s="463"/>
      <c r="D851" s="71"/>
      <c r="E851" s="58">
        <v>5000</v>
      </c>
      <c r="F851" s="8">
        <f t="shared" si="13"/>
        <v>10384</v>
      </c>
      <c r="G851" s="26"/>
    </row>
    <row r="852" spans="1:7" x14ac:dyDescent="0.25">
      <c r="A852" s="61">
        <v>42668</v>
      </c>
      <c r="B852" s="26" t="s">
        <v>38</v>
      </c>
      <c r="C852" s="87" t="s">
        <v>13</v>
      </c>
      <c r="D852" s="8">
        <v>1000</v>
      </c>
      <c r="E852" s="8"/>
      <c r="F852" s="8">
        <f t="shared" si="13"/>
        <v>9384</v>
      </c>
      <c r="G852" s="26"/>
    </row>
    <row r="853" spans="1:7" x14ac:dyDescent="0.25">
      <c r="A853" s="61">
        <v>42668</v>
      </c>
      <c r="B853" s="26" t="s">
        <v>43</v>
      </c>
      <c r="C853" s="87" t="s">
        <v>32</v>
      </c>
      <c r="D853" s="8">
        <v>3000</v>
      </c>
      <c r="E853" s="8"/>
      <c r="F853" s="8">
        <f t="shared" si="13"/>
        <v>6384</v>
      </c>
      <c r="G853" s="26"/>
    </row>
    <row r="854" spans="1:7" x14ac:dyDescent="0.25">
      <c r="A854" s="61">
        <v>42668</v>
      </c>
      <c r="B854" s="26" t="s">
        <v>87</v>
      </c>
      <c r="C854" s="87" t="s">
        <v>758</v>
      </c>
      <c r="D854" s="8">
        <v>300</v>
      </c>
      <c r="E854" s="8"/>
      <c r="F854" s="8">
        <f t="shared" si="13"/>
        <v>6084</v>
      </c>
      <c r="G854" s="26"/>
    </row>
    <row r="855" spans="1:7" x14ac:dyDescent="0.25">
      <c r="A855" s="61">
        <v>42668</v>
      </c>
      <c r="B855" s="26" t="s">
        <v>117</v>
      </c>
      <c r="C855" s="87" t="s">
        <v>759</v>
      </c>
      <c r="D855" s="8">
        <v>3000</v>
      </c>
      <c r="E855" s="8"/>
      <c r="F855" s="8">
        <f t="shared" si="13"/>
        <v>3084</v>
      </c>
      <c r="G855" s="26"/>
    </row>
    <row r="856" spans="1:7" x14ac:dyDescent="0.25">
      <c r="A856" s="61">
        <v>42668</v>
      </c>
      <c r="B856" s="26" t="s">
        <v>117</v>
      </c>
      <c r="C856" s="87" t="s">
        <v>759</v>
      </c>
      <c r="D856" s="8">
        <v>3000</v>
      </c>
      <c r="E856" s="8"/>
      <c r="F856" s="8">
        <f t="shared" si="13"/>
        <v>84</v>
      </c>
      <c r="G856" s="26"/>
    </row>
    <row r="857" spans="1:7" x14ac:dyDescent="0.25">
      <c r="A857" s="61">
        <v>42668</v>
      </c>
      <c r="B857" s="26" t="s">
        <v>5</v>
      </c>
      <c r="C857" s="87" t="s">
        <v>760</v>
      </c>
      <c r="D857" s="8">
        <v>4000</v>
      </c>
      <c r="E857" s="8"/>
      <c r="F857" s="8">
        <f t="shared" si="13"/>
        <v>-3916</v>
      </c>
      <c r="G857" s="26"/>
    </row>
    <row r="858" spans="1:7" x14ac:dyDescent="0.25">
      <c r="A858" s="61">
        <v>42668</v>
      </c>
      <c r="B858" s="26" t="s">
        <v>396</v>
      </c>
      <c r="C858" s="87" t="s">
        <v>31</v>
      </c>
      <c r="D858" s="8">
        <v>50</v>
      </c>
      <c r="E858" s="8"/>
      <c r="F858" s="8">
        <f t="shared" si="13"/>
        <v>-3966</v>
      </c>
      <c r="G858" s="26"/>
    </row>
    <row r="859" spans="1:7" x14ac:dyDescent="0.25">
      <c r="A859" s="61">
        <v>42669</v>
      </c>
      <c r="B859" s="26" t="s">
        <v>26</v>
      </c>
      <c r="C859" s="87" t="s">
        <v>761</v>
      </c>
      <c r="D859" s="8">
        <v>30</v>
      </c>
      <c r="E859" s="8"/>
      <c r="F859" s="8">
        <f t="shared" si="13"/>
        <v>-3996</v>
      </c>
      <c r="G859" s="26"/>
    </row>
    <row r="860" spans="1:7" x14ac:dyDescent="0.25">
      <c r="A860" s="61">
        <v>42669</v>
      </c>
      <c r="B860" s="462" t="s">
        <v>779</v>
      </c>
      <c r="C860" s="463"/>
      <c r="D860" s="71"/>
      <c r="E860" s="58">
        <v>50000</v>
      </c>
      <c r="F860" s="8">
        <f t="shared" si="13"/>
        <v>46004</v>
      </c>
      <c r="G860" s="26"/>
    </row>
    <row r="861" spans="1:7" x14ac:dyDescent="0.25">
      <c r="A861" s="61">
        <v>42669</v>
      </c>
      <c r="B861" s="26" t="s">
        <v>117</v>
      </c>
      <c r="C861" s="87" t="s">
        <v>762</v>
      </c>
      <c r="D861" s="8">
        <v>1000</v>
      </c>
      <c r="E861" s="8"/>
      <c r="F861" s="8">
        <f t="shared" si="13"/>
        <v>45004</v>
      </c>
      <c r="G861" s="26"/>
    </row>
    <row r="862" spans="1:7" x14ac:dyDescent="0.25">
      <c r="A862" s="61">
        <v>42669</v>
      </c>
      <c r="B862" s="26" t="s">
        <v>43</v>
      </c>
      <c r="C862" s="87" t="s">
        <v>763</v>
      </c>
      <c r="D862" s="8">
        <v>3000</v>
      </c>
      <c r="E862" s="8"/>
      <c r="F862" s="8">
        <f t="shared" si="13"/>
        <v>42004</v>
      </c>
      <c r="G862" s="26"/>
    </row>
    <row r="863" spans="1:7" x14ac:dyDescent="0.25">
      <c r="A863" s="61">
        <v>42669</v>
      </c>
      <c r="B863" s="26" t="s">
        <v>5</v>
      </c>
      <c r="C863" s="87" t="s">
        <v>32</v>
      </c>
      <c r="D863" s="8">
        <v>3000</v>
      </c>
      <c r="E863" s="8"/>
      <c r="F863" s="8">
        <f t="shared" si="13"/>
        <v>39004</v>
      </c>
      <c r="G863" s="26"/>
    </row>
    <row r="864" spans="1:7" x14ac:dyDescent="0.25">
      <c r="A864" s="61">
        <v>42669</v>
      </c>
      <c r="B864" s="29" t="s">
        <v>5</v>
      </c>
      <c r="C864" s="89" t="s">
        <v>764</v>
      </c>
      <c r="D864" s="14">
        <v>1530</v>
      </c>
      <c r="E864" s="8"/>
      <c r="F864" s="8">
        <f t="shared" si="13"/>
        <v>37474</v>
      </c>
      <c r="G864" s="26"/>
    </row>
    <row r="865" spans="1:7" x14ac:dyDescent="0.25">
      <c r="A865" s="61">
        <v>42669</v>
      </c>
      <c r="B865" s="26" t="s">
        <v>165</v>
      </c>
      <c r="C865" s="87" t="s">
        <v>32</v>
      </c>
      <c r="D865" s="8">
        <v>20000</v>
      </c>
      <c r="E865" s="8"/>
      <c r="F865" s="8">
        <f t="shared" si="13"/>
        <v>17474</v>
      </c>
      <c r="G865" s="26"/>
    </row>
    <row r="866" spans="1:7" x14ac:dyDescent="0.25">
      <c r="A866" s="61">
        <v>42669</v>
      </c>
      <c r="B866" s="26" t="s">
        <v>35</v>
      </c>
      <c r="C866" s="87" t="s">
        <v>765</v>
      </c>
      <c r="D866" s="8">
        <v>380</v>
      </c>
      <c r="E866" s="8"/>
      <c r="F866" s="8">
        <f t="shared" si="13"/>
        <v>17094</v>
      </c>
      <c r="G866" s="26"/>
    </row>
    <row r="867" spans="1:7" x14ac:dyDescent="0.25">
      <c r="A867" s="61">
        <v>42669</v>
      </c>
      <c r="B867" s="26" t="s">
        <v>26</v>
      </c>
      <c r="C867" s="87" t="s">
        <v>766</v>
      </c>
      <c r="D867" s="8">
        <v>96</v>
      </c>
      <c r="E867" s="8"/>
      <c r="F867" s="8">
        <f t="shared" si="13"/>
        <v>16998</v>
      </c>
      <c r="G867" s="26"/>
    </row>
    <row r="868" spans="1:7" x14ac:dyDescent="0.25">
      <c r="A868" s="61">
        <v>42670</v>
      </c>
      <c r="B868" s="26" t="s">
        <v>43</v>
      </c>
      <c r="C868" s="87" t="s">
        <v>768</v>
      </c>
      <c r="D868" s="8">
        <v>1000</v>
      </c>
      <c r="E868" s="8"/>
      <c r="F868" s="8">
        <f t="shared" si="13"/>
        <v>15998</v>
      </c>
      <c r="G868" s="26"/>
    </row>
    <row r="869" spans="1:7" x14ac:dyDescent="0.25">
      <c r="A869" s="61">
        <v>42670</v>
      </c>
      <c r="B869" s="29" t="s">
        <v>35</v>
      </c>
      <c r="C869" s="89" t="s">
        <v>32</v>
      </c>
      <c r="D869" s="14">
        <v>380</v>
      </c>
      <c r="E869" s="8"/>
      <c r="F869" s="8">
        <f t="shared" si="13"/>
        <v>15618</v>
      </c>
      <c r="G869" s="26"/>
    </row>
    <row r="870" spans="1:7" x14ac:dyDescent="0.25">
      <c r="A870" s="61">
        <v>42670</v>
      </c>
      <c r="B870" s="26" t="s">
        <v>5</v>
      </c>
      <c r="C870" s="87" t="s">
        <v>502</v>
      </c>
      <c r="D870" s="8">
        <v>2000</v>
      </c>
      <c r="E870" s="8"/>
      <c r="F870" s="8">
        <f t="shared" si="13"/>
        <v>13618</v>
      </c>
      <c r="G870" s="26"/>
    </row>
    <row r="871" spans="1:7" x14ac:dyDescent="0.25">
      <c r="A871" s="61">
        <v>42670</v>
      </c>
      <c r="B871" s="29" t="s">
        <v>828</v>
      </c>
      <c r="C871" s="89" t="s">
        <v>827</v>
      </c>
      <c r="D871" s="14">
        <v>11500</v>
      </c>
      <c r="E871" s="14"/>
      <c r="F871" s="8">
        <f t="shared" si="13"/>
        <v>2118</v>
      </c>
      <c r="G871" s="26"/>
    </row>
    <row r="872" spans="1:7" ht="30" x14ac:dyDescent="0.25">
      <c r="A872" s="61">
        <v>42670</v>
      </c>
      <c r="B872" s="26" t="s">
        <v>182</v>
      </c>
      <c r="C872" s="87" t="s">
        <v>770</v>
      </c>
      <c r="D872" s="8">
        <v>700</v>
      </c>
      <c r="E872" s="8"/>
      <c r="F872" s="8">
        <f t="shared" si="13"/>
        <v>1418</v>
      </c>
      <c r="G872" s="26"/>
    </row>
    <row r="873" spans="1:7" x14ac:dyDescent="0.25">
      <c r="A873" s="61">
        <v>42670</v>
      </c>
      <c r="B873" s="26" t="s">
        <v>17</v>
      </c>
      <c r="C873" s="87" t="s">
        <v>32</v>
      </c>
      <c r="D873" s="8">
        <v>150</v>
      </c>
      <c r="E873" s="8"/>
      <c r="F873" s="8">
        <f t="shared" si="13"/>
        <v>1268</v>
      </c>
      <c r="G873" s="26"/>
    </row>
    <row r="874" spans="1:7" x14ac:dyDescent="0.25">
      <c r="A874" s="61">
        <v>42670</v>
      </c>
      <c r="B874" s="29" t="s">
        <v>248</v>
      </c>
      <c r="C874" s="89" t="s">
        <v>32</v>
      </c>
      <c r="D874" s="14">
        <v>2050</v>
      </c>
      <c r="E874" s="8"/>
      <c r="F874" s="8">
        <f t="shared" si="13"/>
        <v>-782</v>
      </c>
      <c r="G874" s="26"/>
    </row>
    <row r="875" spans="1:7" x14ac:dyDescent="0.25">
      <c r="A875" s="61">
        <v>42670</v>
      </c>
      <c r="B875" s="26" t="s">
        <v>17</v>
      </c>
      <c r="C875" s="87" t="s">
        <v>32</v>
      </c>
      <c r="D875" s="8">
        <v>100</v>
      </c>
      <c r="E875" s="8"/>
      <c r="F875" s="8">
        <f t="shared" si="13"/>
        <v>-882</v>
      </c>
      <c r="G875" s="26"/>
    </row>
    <row r="876" spans="1:7" x14ac:dyDescent="0.25">
      <c r="A876" s="61">
        <v>42670</v>
      </c>
      <c r="B876" s="26" t="s">
        <v>231</v>
      </c>
      <c r="C876" s="87" t="s">
        <v>775</v>
      </c>
      <c r="D876" s="8">
        <v>300</v>
      </c>
      <c r="E876" s="8"/>
      <c r="F876" s="8">
        <f t="shared" si="13"/>
        <v>-1182</v>
      </c>
      <c r="G876" s="26"/>
    </row>
    <row r="877" spans="1:7" x14ac:dyDescent="0.25">
      <c r="A877" s="61">
        <v>42670</v>
      </c>
      <c r="B877" s="26" t="s">
        <v>26</v>
      </c>
      <c r="C877" s="87" t="s">
        <v>773</v>
      </c>
      <c r="D877" s="8">
        <v>300</v>
      </c>
      <c r="E877" s="8"/>
      <c r="F877" s="8">
        <f t="shared" si="13"/>
        <v>-1482</v>
      </c>
      <c r="G877" s="26"/>
    </row>
    <row r="878" spans="1:7" x14ac:dyDescent="0.25">
      <c r="A878" s="61">
        <v>42671</v>
      </c>
      <c r="B878" s="26" t="s">
        <v>38</v>
      </c>
      <c r="C878" s="87" t="s">
        <v>32</v>
      </c>
      <c r="D878" s="8">
        <v>500</v>
      </c>
      <c r="E878" s="8"/>
      <c r="F878" s="8">
        <f t="shared" si="13"/>
        <v>-1982</v>
      </c>
      <c r="G878" s="26"/>
    </row>
    <row r="879" spans="1:7" x14ac:dyDescent="0.25">
      <c r="A879" s="61">
        <v>42671</v>
      </c>
      <c r="B879" s="26" t="s">
        <v>40</v>
      </c>
      <c r="C879" s="87" t="s">
        <v>32</v>
      </c>
      <c r="D879" s="8">
        <v>500</v>
      </c>
      <c r="E879" s="8"/>
      <c r="F879" s="8">
        <f t="shared" si="13"/>
        <v>-2482</v>
      </c>
      <c r="G879" s="26"/>
    </row>
    <row r="880" spans="1:7" x14ac:dyDescent="0.25">
      <c r="A880" s="61">
        <v>42671</v>
      </c>
      <c r="B880" s="462" t="s">
        <v>780</v>
      </c>
      <c r="C880" s="463"/>
      <c r="D880" s="71"/>
      <c r="E880" s="58">
        <v>50000</v>
      </c>
      <c r="F880" s="8">
        <f t="shared" si="13"/>
        <v>47518</v>
      </c>
      <c r="G880" s="26"/>
    </row>
    <row r="881" spans="1:7" x14ac:dyDescent="0.25">
      <c r="A881" s="61">
        <v>42671</v>
      </c>
      <c r="B881" s="26" t="s">
        <v>117</v>
      </c>
      <c r="C881" s="87" t="s">
        <v>774</v>
      </c>
      <c r="D881" s="8">
        <v>10000</v>
      </c>
      <c r="E881" s="8"/>
      <c r="F881" s="8">
        <f t="shared" si="13"/>
        <v>37518</v>
      </c>
      <c r="G881" s="26"/>
    </row>
    <row r="882" spans="1:7" x14ac:dyDescent="0.25">
      <c r="A882" s="61">
        <v>42671</v>
      </c>
      <c r="B882" s="26" t="s">
        <v>165</v>
      </c>
      <c r="C882" s="87" t="s">
        <v>295</v>
      </c>
      <c r="D882" s="8">
        <v>20000</v>
      </c>
      <c r="E882" s="8"/>
      <c r="F882" s="8">
        <f t="shared" si="13"/>
        <v>17518</v>
      </c>
      <c r="G882" s="26"/>
    </row>
    <row r="883" spans="1:7" x14ac:dyDescent="0.25">
      <c r="A883" s="61">
        <v>42671</v>
      </c>
      <c r="B883" s="26" t="s">
        <v>26</v>
      </c>
      <c r="C883" s="87"/>
      <c r="D883" s="8">
        <v>70</v>
      </c>
      <c r="E883" s="8"/>
      <c r="F883" s="8">
        <f t="shared" si="13"/>
        <v>17448</v>
      </c>
      <c r="G883" s="26"/>
    </row>
    <row r="884" spans="1:7" x14ac:dyDescent="0.25">
      <c r="A884" s="61">
        <v>42671</v>
      </c>
      <c r="B884" s="26" t="s">
        <v>26</v>
      </c>
      <c r="C884" s="87"/>
      <c r="D884" s="8">
        <v>80</v>
      </c>
      <c r="E884" s="8"/>
      <c r="F884" s="8">
        <f t="shared" si="13"/>
        <v>17368</v>
      </c>
      <c r="G884" s="26"/>
    </row>
    <row r="885" spans="1:7" ht="30" x14ac:dyDescent="0.25">
      <c r="A885" s="61">
        <v>42671</v>
      </c>
      <c r="B885" s="26" t="s">
        <v>26</v>
      </c>
      <c r="C885" s="87" t="s">
        <v>776</v>
      </c>
      <c r="D885" s="8">
        <v>350</v>
      </c>
      <c r="E885" s="8"/>
      <c r="F885" s="8">
        <f t="shared" si="13"/>
        <v>17018</v>
      </c>
      <c r="G885" s="26"/>
    </row>
    <row r="886" spans="1:7" x14ac:dyDescent="0.25">
      <c r="A886" s="61">
        <v>42672</v>
      </c>
      <c r="B886" s="26" t="s">
        <v>17</v>
      </c>
      <c r="C886" s="87" t="s">
        <v>32</v>
      </c>
      <c r="D886" s="8">
        <v>1500</v>
      </c>
      <c r="E886" s="8"/>
      <c r="F886" s="8">
        <f t="shared" si="13"/>
        <v>15518</v>
      </c>
      <c r="G886" s="26"/>
    </row>
    <row r="887" spans="1:7" x14ac:dyDescent="0.25">
      <c r="A887" s="61">
        <v>42672</v>
      </c>
      <c r="B887" s="26" t="s">
        <v>43</v>
      </c>
      <c r="C887" s="87" t="s">
        <v>32</v>
      </c>
      <c r="D887" s="8">
        <v>3000</v>
      </c>
      <c r="E887" s="8"/>
      <c r="F887" s="8">
        <f t="shared" si="13"/>
        <v>12518</v>
      </c>
      <c r="G887" s="26"/>
    </row>
    <row r="888" spans="1:7" x14ac:dyDescent="0.25">
      <c r="A888" s="61">
        <v>42672</v>
      </c>
      <c r="B888" s="26" t="s">
        <v>26</v>
      </c>
      <c r="C888" s="87" t="s">
        <v>777</v>
      </c>
      <c r="D888" s="8">
        <v>895</v>
      </c>
      <c r="E888" s="8"/>
      <c r="F888" s="8">
        <f t="shared" si="13"/>
        <v>11623</v>
      </c>
      <c r="G888" s="26"/>
    </row>
    <row r="889" spans="1:7" x14ac:dyDescent="0.25">
      <c r="A889" s="61">
        <v>42672</v>
      </c>
      <c r="B889" s="26" t="s">
        <v>28</v>
      </c>
      <c r="C889" s="87" t="s">
        <v>32</v>
      </c>
      <c r="D889" s="8">
        <v>12000</v>
      </c>
      <c r="E889" s="8"/>
      <c r="F889" s="8">
        <f t="shared" si="13"/>
        <v>-377</v>
      </c>
      <c r="G889" s="26"/>
    </row>
    <row r="890" spans="1:7" x14ac:dyDescent="0.25">
      <c r="A890" s="61">
        <v>42672</v>
      </c>
      <c r="B890" s="26" t="s">
        <v>778</v>
      </c>
      <c r="C890" s="87" t="s">
        <v>295</v>
      </c>
      <c r="D890" s="8">
        <v>1500</v>
      </c>
      <c r="E890" s="8"/>
      <c r="F890" s="8">
        <f t="shared" si="13"/>
        <v>-1877</v>
      </c>
      <c r="G890" s="26"/>
    </row>
    <row r="891" spans="1:7" x14ac:dyDescent="0.25">
      <c r="A891" s="61">
        <v>42675</v>
      </c>
      <c r="B891" s="26" t="s">
        <v>285</v>
      </c>
      <c r="C891" s="87" t="s">
        <v>32</v>
      </c>
      <c r="D891" s="8">
        <v>500</v>
      </c>
      <c r="E891" s="8"/>
      <c r="F891" s="8">
        <f t="shared" si="13"/>
        <v>-2377</v>
      </c>
      <c r="G891" s="26"/>
    </row>
    <row r="892" spans="1:7" x14ac:dyDescent="0.25">
      <c r="A892" s="61"/>
      <c r="B892" s="462" t="s">
        <v>780</v>
      </c>
      <c r="C892" s="463"/>
      <c r="D892" s="71"/>
      <c r="E892" s="58">
        <v>50000</v>
      </c>
      <c r="F892" s="8">
        <f t="shared" si="13"/>
        <v>47623</v>
      </c>
      <c r="G892" s="26"/>
    </row>
    <row r="893" spans="1:7" x14ac:dyDescent="0.25">
      <c r="A893" s="61">
        <v>42675</v>
      </c>
      <c r="B893" s="26" t="s">
        <v>43</v>
      </c>
      <c r="C893" s="87" t="s">
        <v>32</v>
      </c>
      <c r="D893" s="8">
        <v>5000</v>
      </c>
      <c r="E893" s="8"/>
      <c r="F893" s="8">
        <f t="shared" si="13"/>
        <v>42623</v>
      </c>
      <c r="G893" s="26"/>
    </row>
    <row r="894" spans="1:7" x14ac:dyDescent="0.25">
      <c r="A894" s="61">
        <v>42675</v>
      </c>
      <c r="B894" s="29" t="s">
        <v>121</v>
      </c>
      <c r="C894" s="89" t="s">
        <v>809</v>
      </c>
      <c r="D894" s="14">
        <v>10000</v>
      </c>
      <c r="E894" s="8"/>
      <c r="F894" s="8">
        <f t="shared" si="13"/>
        <v>32623</v>
      </c>
      <c r="G894" s="26"/>
    </row>
    <row r="895" spans="1:7" x14ac:dyDescent="0.25">
      <c r="A895" s="61">
        <v>42675</v>
      </c>
      <c r="B895" s="26" t="s">
        <v>428</v>
      </c>
      <c r="C895" s="87" t="s">
        <v>32</v>
      </c>
      <c r="D895" s="8">
        <v>10000</v>
      </c>
      <c r="E895" s="8"/>
      <c r="F895" s="8">
        <f t="shared" si="13"/>
        <v>22623</v>
      </c>
      <c r="G895" s="26"/>
    </row>
    <row r="896" spans="1:7" x14ac:dyDescent="0.25">
      <c r="A896" s="61">
        <v>42675</v>
      </c>
      <c r="B896" s="26" t="s">
        <v>43</v>
      </c>
      <c r="C896" s="87" t="s">
        <v>781</v>
      </c>
      <c r="D896" s="8">
        <v>5000</v>
      </c>
      <c r="E896" s="8"/>
      <c r="F896" s="8">
        <f t="shared" si="13"/>
        <v>17623</v>
      </c>
      <c r="G896" s="26"/>
    </row>
    <row r="897" spans="1:11" x14ac:dyDescent="0.25">
      <c r="A897" s="61">
        <v>42675</v>
      </c>
      <c r="B897" s="26" t="s">
        <v>28</v>
      </c>
      <c r="C897" s="87" t="s">
        <v>32</v>
      </c>
      <c r="D897" s="8">
        <v>4000</v>
      </c>
      <c r="E897" s="8"/>
      <c r="F897" s="8">
        <f t="shared" si="13"/>
        <v>13623</v>
      </c>
      <c r="G897" s="26"/>
    </row>
    <row r="898" spans="1:11" x14ac:dyDescent="0.25">
      <c r="A898" s="61">
        <v>42675</v>
      </c>
      <c r="B898" s="29" t="s">
        <v>231</v>
      </c>
      <c r="C898" s="89" t="s">
        <v>32</v>
      </c>
      <c r="D898" s="14">
        <v>2000</v>
      </c>
      <c r="E898" s="8"/>
      <c r="F898" s="8">
        <f t="shared" si="13"/>
        <v>11623</v>
      </c>
      <c r="G898" s="26"/>
    </row>
    <row r="899" spans="1:11" x14ac:dyDescent="0.25">
      <c r="A899" s="61">
        <v>42675</v>
      </c>
      <c r="B899" s="26" t="s">
        <v>161</v>
      </c>
      <c r="C899" s="87" t="s">
        <v>782</v>
      </c>
      <c r="D899" s="8">
        <v>1000</v>
      </c>
      <c r="E899" s="8"/>
      <c r="F899" s="8">
        <f t="shared" ref="F899:F962" si="14">F898-D899+E899</f>
        <v>10623</v>
      </c>
      <c r="G899" s="26"/>
    </row>
    <row r="900" spans="1:11" x14ac:dyDescent="0.25">
      <c r="A900" s="61">
        <v>42675</v>
      </c>
      <c r="B900" s="26" t="s">
        <v>26</v>
      </c>
      <c r="C900" s="87" t="s">
        <v>784</v>
      </c>
      <c r="D900" s="8">
        <v>280</v>
      </c>
      <c r="E900" s="8"/>
      <c r="F900" s="8">
        <f t="shared" si="14"/>
        <v>10343</v>
      </c>
      <c r="G900" s="26"/>
    </row>
    <row r="901" spans="1:11" x14ac:dyDescent="0.25">
      <c r="A901" s="61">
        <v>42676</v>
      </c>
      <c r="B901" s="26" t="s">
        <v>121</v>
      </c>
      <c r="C901" s="87" t="s">
        <v>783</v>
      </c>
      <c r="D901" s="8">
        <v>1000</v>
      </c>
      <c r="E901" s="8"/>
      <c r="F901" s="8">
        <f t="shared" si="14"/>
        <v>9343</v>
      </c>
      <c r="G901" s="26"/>
    </row>
    <row r="902" spans="1:11" x14ac:dyDescent="0.25">
      <c r="A902" s="61">
        <v>42676</v>
      </c>
      <c r="B902" s="26" t="s">
        <v>43</v>
      </c>
      <c r="C902" s="87" t="s">
        <v>32</v>
      </c>
      <c r="D902" s="8">
        <v>4000</v>
      </c>
      <c r="E902" s="8"/>
      <c r="F902" s="8">
        <f t="shared" si="14"/>
        <v>5343</v>
      </c>
      <c r="G902" s="26"/>
      <c r="K902" s="10"/>
    </row>
    <row r="903" spans="1:11" x14ac:dyDescent="0.25">
      <c r="A903" s="61">
        <v>42676</v>
      </c>
      <c r="B903" s="26" t="s">
        <v>121</v>
      </c>
      <c r="C903" s="87" t="s">
        <v>130</v>
      </c>
      <c r="D903" s="8">
        <v>1400</v>
      </c>
      <c r="E903" s="8"/>
      <c r="F903" s="8">
        <f t="shared" si="14"/>
        <v>3943</v>
      </c>
      <c r="G903" s="26"/>
    </row>
    <row r="904" spans="1:11" x14ac:dyDescent="0.25">
      <c r="A904" s="61">
        <v>42676</v>
      </c>
      <c r="B904" s="26" t="s">
        <v>26</v>
      </c>
      <c r="C904" s="87" t="s">
        <v>785</v>
      </c>
      <c r="D904" s="8">
        <v>30</v>
      </c>
      <c r="E904" s="8"/>
      <c r="F904" s="8">
        <f t="shared" si="14"/>
        <v>3913</v>
      </c>
      <c r="G904" s="26"/>
      <c r="K904" s="10"/>
    </row>
    <row r="905" spans="1:11" x14ac:dyDescent="0.25">
      <c r="A905" s="61">
        <v>42676</v>
      </c>
      <c r="B905" s="26" t="s">
        <v>26</v>
      </c>
      <c r="C905" s="87" t="s">
        <v>786</v>
      </c>
      <c r="D905" s="8">
        <v>200</v>
      </c>
      <c r="E905" s="8"/>
      <c r="F905" s="8">
        <f t="shared" si="14"/>
        <v>3713</v>
      </c>
      <c r="G905" s="26"/>
      <c r="K905" s="10"/>
    </row>
    <row r="906" spans="1:11" x14ac:dyDescent="0.25">
      <c r="A906" s="61">
        <v>42676</v>
      </c>
      <c r="B906" s="26" t="s">
        <v>26</v>
      </c>
      <c r="C906" s="87" t="s">
        <v>787</v>
      </c>
      <c r="D906" s="8">
        <v>190</v>
      </c>
      <c r="E906" s="8"/>
      <c r="F906" s="8">
        <f t="shared" si="14"/>
        <v>3523</v>
      </c>
      <c r="G906" s="26"/>
      <c r="K906" s="10"/>
    </row>
    <row r="907" spans="1:11" x14ac:dyDescent="0.25">
      <c r="A907" s="61">
        <v>42676</v>
      </c>
      <c r="B907" s="26" t="s">
        <v>17</v>
      </c>
      <c r="C907" s="87" t="s">
        <v>32</v>
      </c>
      <c r="D907" s="8">
        <v>500</v>
      </c>
      <c r="E907" s="8"/>
      <c r="F907" s="8">
        <f t="shared" si="14"/>
        <v>3023</v>
      </c>
      <c r="G907" s="26"/>
      <c r="K907" s="10"/>
    </row>
    <row r="908" spans="1:11" x14ac:dyDescent="0.25">
      <c r="A908" s="61">
        <v>42676</v>
      </c>
      <c r="B908" s="26" t="s">
        <v>26</v>
      </c>
      <c r="C908" s="87" t="s">
        <v>52</v>
      </c>
      <c r="D908" s="8">
        <v>130</v>
      </c>
      <c r="E908" s="8"/>
      <c r="F908" s="8">
        <f t="shared" si="14"/>
        <v>2893</v>
      </c>
      <c r="G908" s="26"/>
      <c r="K908" s="25"/>
    </row>
    <row r="909" spans="1:11" x14ac:dyDescent="0.25">
      <c r="A909" s="61">
        <v>42676</v>
      </c>
      <c r="B909" s="26" t="s">
        <v>62</v>
      </c>
      <c r="C909" s="87" t="s">
        <v>257</v>
      </c>
      <c r="D909" s="8">
        <v>100</v>
      </c>
      <c r="E909" s="8"/>
      <c r="F909" s="8">
        <f t="shared" si="14"/>
        <v>2793</v>
      </c>
      <c r="G909" s="26"/>
    </row>
    <row r="910" spans="1:11" x14ac:dyDescent="0.25">
      <c r="A910" s="61">
        <v>42676</v>
      </c>
      <c r="B910" s="26" t="s">
        <v>28</v>
      </c>
      <c r="C910" s="87" t="s">
        <v>32</v>
      </c>
      <c r="D910" s="8">
        <v>3000</v>
      </c>
      <c r="E910" s="8"/>
      <c r="F910" s="8">
        <f t="shared" si="14"/>
        <v>-207</v>
      </c>
      <c r="G910" s="26"/>
    </row>
    <row r="911" spans="1:11" x14ac:dyDescent="0.25">
      <c r="A911" s="61">
        <v>42676</v>
      </c>
      <c r="B911" s="197" t="s">
        <v>163</v>
      </c>
      <c r="C911" s="198" t="s">
        <v>788</v>
      </c>
      <c r="D911" s="75">
        <v>2500</v>
      </c>
      <c r="E911" s="8"/>
      <c r="F911" s="8">
        <f t="shared" si="14"/>
        <v>-2707</v>
      </c>
      <c r="G911" s="26"/>
    </row>
    <row r="912" spans="1:11" x14ac:dyDescent="0.25">
      <c r="A912" s="61">
        <v>42677</v>
      </c>
      <c r="B912" s="462" t="s">
        <v>789</v>
      </c>
      <c r="C912" s="463"/>
      <c r="D912" s="71"/>
      <c r="E912" s="58">
        <v>50000</v>
      </c>
      <c r="F912" s="8">
        <f t="shared" si="14"/>
        <v>47293</v>
      </c>
      <c r="G912" s="26"/>
    </row>
    <row r="913" spans="1:7" x14ac:dyDescent="0.25">
      <c r="A913" s="61">
        <v>42677</v>
      </c>
      <c r="B913" s="26" t="s">
        <v>121</v>
      </c>
      <c r="C913" s="87" t="s">
        <v>97</v>
      </c>
      <c r="D913" s="8">
        <v>7000</v>
      </c>
      <c r="E913" s="8"/>
      <c r="F913" s="8">
        <f t="shared" si="14"/>
        <v>40293</v>
      </c>
      <c r="G913" s="26"/>
    </row>
    <row r="914" spans="1:7" x14ac:dyDescent="0.25">
      <c r="A914" s="61">
        <v>42677</v>
      </c>
      <c r="B914" s="26" t="s">
        <v>5</v>
      </c>
      <c r="C914" s="87" t="s">
        <v>32</v>
      </c>
      <c r="D914" s="8">
        <v>4000</v>
      </c>
      <c r="E914" s="8"/>
      <c r="F914" s="8">
        <f t="shared" si="14"/>
        <v>36293</v>
      </c>
      <c r="G914" s="26"/>
    </row>
    <row r="915" spans="1:7" x14ac:dyDescent="0.25">
      <c r="A915" s="61">
        <v>42677</v>
      </c>
      <c r="B915" s="29" t="s">
        <v>123</v>
      </c>
      <c r="C915" s="89" t="s">
        <v>790</v>
      </c>
      <c r="D915" s="14">
        <v>3000</v>
      </c>
      <c r="E915" s="14"/>
      <c r="F915" s="8">
        <f t="shared" si="14"/>
        <v>33293</v>
      </c>
      <c r="G915" s="26"/>
    </row>
    <row r="916" spans="1:7" x14ac:dyDescent="0.25">
      <c r="A916" s="61">
        <v>42677</v>
      </c>
      <c r="B916" s="199" t="s">
        <v>778</v>
      </c>
      <c r="C916" s="87" t="s">
        <v>791</v>
      </c>
      <c r="D916" s="8">
        <v>2000</v>
      </c>
      <c r="E916" s="8"/>
      <c r="F916" s="8">
        <f t="shared" si="14"/>
        <v>31293</v>
      </c>
      <c r="G916" s="26"/>
    </row>
    <row r="917" spans="1:7" x14ac:dyDescent="0.25">
      <c r="A917" s="61">
        <v>42677</v>
      </c>
      <c r="B917" s="26" t="s">
        <v>692</v>
      </c>
      <c r="C917" s="87" t="s">
        <v>793</v>
      </c>
      <c r="D917" s="8">
        <v>280</v>
      </c>
      <c r="E917" s="8"/>
      <c r="F917" s="8">
        <f t="shared" si="14"/>
        <v>31013</v>
      </c>
      <c r="G917" s="26"/>
    </row>
    <row r="918" spans="1:7" x14ac:dyDescent="0.25">
      <c r="A918" s="61">
        <v>42677</v>
      </c>
      <c r="B918" s="26" t="s">
        <v>792</v>
      </c>
      <c r="C918" s="87" t="s">
        <v>793</v>
      </c>
      <c r="D918" s="8">
        <v>125</v>
      </c>
      <c r="E918" s="8"/>
      <c r="F918" s="8">
        <f t="shared" si="14"/>
        <v>30888</v>
      </c>
      <c r="G918" s="26"/>
    </row>
    <row r="919" spans="1:7" x14ac:dyDescent="0.25">
      <c r="A919" s="61">
        <v>42677</v>
      </c>
      <c r="B919" s="26" t="s">
        <v>26</v>
      </c>
      <c r="C919" s="87" t="s">
        <v>794</v>
      </c>
      <c r="D919" s="8">
        <f>80+150</f>
        <v>230</v>
      </c>
      <c r="E919" s="8"/>
      <c r="F919" s="8">
        <f t="shared" si="14"/>
        <v>30658</v>
      </c>
      <c r="G919" s="26"/>
    </row>
    <row r="920" spans="1:7" x14ac:dyDescent="0.25">
      <c r="A920" s="61">
        <v>42677</v>
      </c>
      <c r="B920" s="26" t="s">
        <v>121</v>
      </c>
      <c r="C920" s="87" t="s">
        <v>32</v>
      </c>
      <c r="D920" s="8">
        <v>100</v>
      </c>
      <c r="E920" s="8"/>
      <c r="F920" s="8">
        <f t="shared" si="14"/>
        <v>30558</v>
      </c>
      <c r="G920" s="26"/>
    </row>
    <row r="921" spans="1:7" x14ac:dyDescent="0.25">
      <c r="A921" s="61">
        <v>42677</v>
      </c>
      <c r="B921" s="26" t="s">
        <v>692</v>
      </c>
      <c r="C921" s="87" t="s">
        <v>814</v>
      </c>
      <c r="D921" s="8">
        <v>140</v>
      </c>
      <c r="E921" s="8"/>
      <c r="F921" s="8">
        <f t="shared" si="14"/>
        <v>30418</v>
      </c>
      <c r="G921" s="26"/>
    </row>
    <row r="922" spans="1:7" x14ac:dyDescent="0.25">
      <c r="A922" s="61">
        <v>42678</v>
      </c>
      <c r="B922" s="26" t="s">
        <v>117</v>
      </c>
      <c r="C922" s="87" t="s">
        <v>795</v>
      </c>
      <c r="D922" s="8">
        <v>8000</v>
      </c>
      <c r="E922" s="8"/>
      <c r="F922" s="8">
        <f t="shared" si="14"/>
        <v>22418</v>
      </c>
      <c r="G922" s="26"/>
    </row>
    <row r="923" spans="1:7" x14ac:dyDescent="0.25">
      <c r="A923" s="61">
        <v>42678</v>
      </c>
      <c r="B923" s="29" t="s">
        <v>26</v>
      </c>
      <c r="C923" s="89" t="s">
        <v>797</v>
      </c>
      <c r="D923" s="14">
        <v>200</v>
      </c>
      <c r="E923" s="8"/>
      <c r="F923" s="8">
        <f t="shared" si="14"/>
        <v>22218</v>
      </c>
      <c r="G923" s="26"/>
    </row>
    <row r="924" spans="1:7" x14ac:dyDescent="0.25">
      <c r="A924" s="61">
        <v>42678</v>
      </c>
      <c r="B924" s="29" t="s">
        <v>231</v>
      </c>
      <c r="C924" s="89" t="s">
        <v>796</v>
      </c>
      <c r="D924" s="14">
        <v>1600</v>
      </c>
      <c r="E924" s="8"/>
      <c r="F924" s="8">
        <f t="shared" si="14"/>
        <v>20618</v>
      </c>
      <c r="G924" s="26"/>
    </row>
    <row r="925" spans="1:7" x14ac:dyDescent="0.25">
      <c r="A925" s="61">
        <v>42678</v>
      </c>
      <c r="B925" s="26" t="s">
        <v>5</v>
      </c>
      <c r="C925" s="87" t="s">
        <v>32</v>
      </c>
      <c r="D925" s="8">
        <v>5000</v>
      </c>
      <c r="E925" s="8"/>
      <c r="F925" s="8">
        <f t="shared" si="14"/>
        <v>15618</v>
      </c>
      <c r="G925" s="26"/>
    </row>
    <row r="926" spans="1:7" x14ac:dyDescent="0.25">
      <c r="A926" s="61">
        <v>42678</v>
      </c>
      <c r="B926" s="26" t="s">
        <v>26</v>
      </c>
      <c r="C926" s="87" t="s">
        <v>798</v>
      </c>
      <c r="D926" s="8">
        <v>720</v>
      </c>
      <c r="E926" s="8"/>
      <c r="F926" s="8">
        <f t="shared" si="14"/>
        <v>14898</v>
      </c>
      <c r="G926" s="26"/>
    </row>
    <row r="927" spans="1:7" x14ac:dyDescent="0.25">
      <c r="A927" s="61">
        <v>42678</v>
      </c>
      <c r="B927" s="26" t="s">
        <v>157</v>
      </c>
      <c r="C927" s="87" t="s">
        <v>236</v>
      </c>
      <c r="D927" s="8">
        <v>1500</v>
      </c>
      <c r="E927" s="8"/>
      <c r="F927" s="8">
        <f t="shared" si="14"/>
        <v>13398</v>
      </c>
      <c r="G927" s="26"/>
    </row>
    <row r="928" spans="1:7" x14ac:dyDescent="0.25">
      <c r="A928" s="61">
        <v>42679</v>
      </c>
      <c r="B928" s="26" t="s">
        <v>117</v>
      </c>
      <c r="C928" s="87" t="s">
        <v>799</v>
      </c>
      <c r="D928" s="8">
        <v>1000</v>
      </c>
      <c r="E928" s="8"/>
      <c r="F928" s="8">
        <f t="shared" si="14"/>
        <v>12398</v>
      </c>
      <c r="G928" s="26"/>
    </row>
    <row r="929" spans="1:10" x14ac:dyDescent="0.25">
      <c r="A929" s="61">
        <v>42679</v>
      </c>
      <c r="B929" s="26" t="s">
        <v>26</v>
      </c>
      <c r="C929" s="87" t="s">
        <v>800</v>
      </c>
      <c r="D929" s="8">
        <v>475</v>
      </c>
      <c r="E929" s="8"/>
      <c r="F929" s="8">
        <f t="shared" si="14"/>
        <v>11923</v>
      </c>
      <c r="G929" s="26"/>
    </row>
    <row r="930" spans="1:10" x14ac:dyDescent="0.25">
      <c r="A930" s="61">
        <v>42679</v>
      </c>
      <c r="B930" s="26" t="s">
        <v>26</v>
      </c>
      <c r="C930" s="87" t="s">
        <v>801</v>
      </c>
      <c r="D930" s="8">
        <v>400</v>
      </c>
      <c r="E930" s="8"/>
      <c r="F930" s="8">
        <f t="shared" si="14"/>
        <v>11523</v>
      </c>
      <c r="G930" s="26"/>
    </row>
    <row r="931" spans="1:10" x14ac:dyDescent="0.25">
      <c r="A931" s="61">
        <v>42679</v>
      </c>
      <c r="B931" s="26" t="s">
        <v>26</v>
      </c>
      <c r="C931" s="87" t="s">
        <v>802</v>
      </c>
      <c r="D931" s="8">
        <v>2500</v>
      </c>
      <c r="E931" s="8"/>
      <c r="F931" s="8">
        <f t="shared" si="14"/>
        <v>9023</v>
      </c>
      <c r="G931" s="26"/>
    </row>
    <row r="932" spans="1:10" x14ac:dyDescent="0.25">
      <c r="A932" s="61">
        <v>42679</v>
      </c>
      <c r="B932" s="26" t="s">
        <v>803</v>
      </c>
      <c r="C932" s="87" t="s">
        <v>804</v>
      </c>
      <c r="D932" s="8">
        <v>2500</v>
      </c>
      <c r="E932" s="8"/>
      <c r="F932" s="8">
        <f t="shared" si="14"/>
        <v>6523</v>
      </c>
      <c r="G932" s="26"/>
    </row>
    <row r="933" spans="1:10" x14ac:dyDescent="0.25">
      <c r="A933" s="61">
        <v>42679</v>
      </c>
      <c r="B933" s="26" t="s">
        <v>123</v>
      </c>
      <c r="C933" s="87" t="s">
        <v>805</v>
      </c>
      <c r="D933" s="8">
        <v>5240</v>
      </c>
      <c r="E933" s="8"/>
      <c r="F933" s="8">
        <f t="shared" si="14"/>
        <v>1283</v>
      </c>
      <c r="G933" s="26"/>
    </row>
    <row r="934" spans="1:10" x14ac:dyDescent="0.25">
      <c r="A934" s="61">
        <v>42681</v>
      </c>
      <c r="B934" s="26" t="s">
        <v>26</v>
      </c>
      <c r="C934" s="87" t="s">
        <v>806</v>
      </c>
      <c r="D934" s="8">
        <v>375</v>
      </c>
      <c r="E934" s="8"/>
      <c r="F934" s="8">
        <f t="shared" si="14"/>
        <v>908</v>
      </c>
      <c r="G934" s="26"/>
    </row>
    <row r="935" spans="1:10" x14ac:dyDescent="0.25">
      <c r="A935" s="61">
        <v>42681</v>
      </c>
      <c r="B935" s="26" t="s">
        <v>26</v>
      </c>
      <c r="C935" s="87" t="s">
        <v>807</v>
      </c>
      <c r="D935" s="8">
        <v>500</v>
      </c>
      <c r="E935" s="8"/>
      <c r="F935" s="8">
        <f t="shared" si="14"/>
        <v>408</v>
      </c>
      <c r="G935" s="26"/>
    </row>
    <row r="936" spans="1:10" x14ac:dyDescent="0.25">
      <c r="A936" s="61">
        <v>42681</v>
      </c>
      <c r="B936" s="29" t="s">
        <v>182</v>
      </c>
      <c r="C936" s="89" t="s">
        <v>808</v>
      </c>
      <c r="D936" s="14">
        <v>1000</v>
      </c>
      <c r="E936" s="8"/>
      <c r="F936" s="8">
        <f t="shared" si="14"/>
        <v>-592</v>
      </c>
      <c r="G936" s="26"/>
    </row>
    <row r="937" spans="1:10" s="20" customFormat="1" x14ac:dyDescent="0.25">
      <c r="A937" s="61">
        <v>42682</v>
      </c>
      <c r="B937" s="29" t="s">
        <v>26</v>
      </c>
      <c r="C937" s="89" t="s">
        <v>813</v>
      </c>
      <c r="D937" s="14">
        <v>100</v>
      </c>
      <c r="E937" s="8"/>
      <c r="F937" s="8">
        <f t="shared" si="14"/>
        <v>-692</v>
      </c>
      <c r="G937" s="26"/>
      <c r="H937" s="24"/>
      <c r="I937" s="24"/>
      <c r="J937" s="24"/>
    </row>
    <row r="938" spans="1:10" x14ac:dyDescent="0.25">
      <c r="A938" s="61">
        <v>42683</v>
      </c>
      <c r="B938" s="29" t="s">
        <v>26</v>
      </c>
      <c r="C938" s="89" t="s">
        <v>812</v>
      </c>
      <c r="D938" s="14">
        <v>100</v>
      </c>
      <c r="E938" s="14"/>
      <c r="F938" s="8">
        <f t="shared" si="14"/>
        <v>-792</v>
      </c>
      <c r="G938" s="29"/>
    </row>
    <row r="939" spans="1:10" x14ac:dyDescent="0.25">
      <c r="A939" s="61">
        <v>42684</v>
      </c>
      <c r="B939" s="26" t="s">
        <v>26</v>
      </c>
      <c r="C939" s="87" t="s">
        <v>810</v>
      </c>
      <c r="D939" s="8">
        <v>420</v>
      </c>
      <c r="E939" s="8"/>
      <c r="F939" s="8">
        <f t="shared" si="14"/>
        <v>-1212</v>
      </c>
      <c r="G939" s="26"/>
    </row>
    <row r="940" spans="1:10" x14ac:dyDescent="0.25">
      <c r="A940" s="61">
        <v>42684</v>
      </c>
      <c r="B940" s="26" t="s">
        <v>26</v>
      </c>
      <c r="C940" s="87" t="s">
        <v>811</v>
      </c>
      <c r="D940" s="8">
        <v>480</v>
      </c>
      <c r="E940" s="8"/>
      <c r="F940" s="8">
        <f t="shared" si="14"/>
        <v>-1692</v>
      </c>
      <c r="G940" s="26"/>
    </row>
    <row r="941" spans="1:10" x14ac:dyDescent="0.25">
      <c r="A941" s="61">
        <v>42684</v>
      </c>
      <c r="B941" s="26" t="s">
        <v>26</v>
      </c>
      <c r="C941" s="87" t="s">
        <v>815</v>
      </c>
      <c r="D941" s="8">
        <v>40</v>
      </c>
      <c r="E941" s="8"/>
      <c r="F941" s="8">
        <f t="shared" si="14"/>
        <v>-1732</v>
      </c>
      <c r="G941" s="26"/>
    </row>
    <row r="942" spans="1:10" x14ac:dyDescent="0.25">
      <c r="A942" s="61">
        <v>42684</v>
      </c>
      <c r="B942" s="462" t="s">
        <v>819</v>
      </c>
      <c r="C942" s="463"/>
      <c r="D942" s="71"/>
      <c r="E942" s="58">
        <v>25000</v>
      </c>
      <c r="F942" s="8">
        <f t="shared" si="14"/>
        <v>23268</v>
      </c>
      <c r="G942" s="26"/>
    </row>
    <row r="943" spans="1:10" x14ac:dyDescent="0.25">
      <c r="A943" s="61">
        <v>42684</v>
      </c>
      <c r="B943" s="26" t="s">
        <v>720</v>
      </c>
      <c r="C943" s="87" t="s">
        <v>540</v>
      </c>
      <c r="D943" s="8">
        <v>15000</v>
      </c>
      <c r="E943" s="8"/>
      <c r="F943" s="8">
        <f t="shared" si="14"/>
        <v>8268</v>
      </c>
      <c r="G943" s="26"/>
    </row>
    <row r="944" spans="1:10" x14ac:dyDescent="0.25">
      <c r="A944" s="61">
        <v>42684</v>
      </c>
      <c r="B944" s="462" t="s">
        <v>821</v>
      </c>
      <c r="C944" s="463"/>
      <c r="D944" s="71"/>
      <c r="E944" s="58">
        <v>35000</v>
      </c>
      <c r="F944" s="8">
        <f t="shared" si="14"/>
        <v>43268</v>
      </c>
      <c r="G944" s="26"/>
    </row>
    <row r="945" spans="1:10" x14ac:dyDescent="0.25">
      <c r="A945" s="61">
        <v>42684</v>
      </c>
      <c r="B945" s="26" t="s">
        <v>123</v>
      </c>
      <c r="C945" s="87" t="s">
        <v>816</v>
      </c>
      <c r="D945" s="8">
        <v>5000</v>
      </c>
      <c r="E945" s="8"/>
      <c r="F945" s="8">
        <f t="shared" si="14"/>
        <v>38268</v>
      </c>
      <c r="G945" s="26"/>
    </row>
    <row r="946" spans="1:10" x14ac:dyDescent="0.25">
      <c r="A946" s="61">
        <v>42684</v>
      </c>
      <c r="B946" s="26" t="s">
        <v>817</v>
      </c>
      <c r="C946" s="87" t="s">
        <v>818</v>
      </c>
      <c r="D946" s="8">
        <v>4500</v>
      </c>
      <c r="E946" s="8"/>
      <c r="F946" s="8">
        <f t="shared" si="14"/>
        <v>33768</v>
      </c>
      <c r="G946" s="26"/>
    </row>
    <row r="947" spans="1:10" x14ac:dyDescent="0.25">
      <c r="A947" s="61">
        <v>42684</v>
      </c>
      <c r="B947" s="26" t="s">
        <v>26</v>
      </c>
      <c r="C947" s="87" t="s">
        <v>735</v>
      </c>
      <c r="D947" s="8">
        <v>50</v>
      </c>
      <c r="E947" s="8"/>
      <c r="F947" s="8">
        <f t="shared" si="14"/>
        <v>33718</v>
      </c>
      <c r="G947" s="26"/>
    </row>
    <row r="948" spans="1:10" x14ac:dyDescent="0.25">
      <c r="A948" s="61">
        <v>42682</v>
      </c>
      <c r="B948" s="26" t="s">
        <v>396</v>
      </c>
      <c r="C948" s="87" t="s">
        <v>34</v>
      </c>
      <c r="D948" s="8">
        <v>100</v>
      </c>
      <c r="E948" s="8"/>
      <c r="F948" s="8">
        <f t="shared" si="14"/>
        <v>33618</v>
      </c>
      <c r="G948" s="26"/>
    </row>
    <row r="949" spans="1:10" x14ac:dyDescent="0.25">
      <c r="A949" s="61">
        <v>42684</v>
      </c>
      <c r="B949" s="29" t="s">
        <v>396</v>
      </c>
      <c r="C949" s="89" t="s">
        <v>34</v>
      </c>
      <c r="D949" s="14">
        <v>100</v>
      </c>
      <c r="E949" s="8"/>
      <c r="F949" s="8">
        <f t="shared" si="14"/>
        <v>33518</v>
      </c>
      <c r="G949" s="26"/>
    </row>
    <row r="950" spans="1:10" x14ac:dyDescent="0.25">
      <c r="A950" s="61">
        <v>42684</v>
      </c>
      <c r="B950" s="26" t="s">
        <v>248</v>
      </c>
      <c r="C950" s="87" t="s">
        <v>820</v>
      </c>
      <c r="D950" s="8">
        <v>240</v>
      </c>
      <c r="E950" s="8"/>
      <c r="F950" s="8">
        <f t="shared" si="14"/>
        <v>33278</v>
      </c>
      <c r="G950" s="26"/>
    </row>
    <row r="951" spans="1:10" x14ac:dyDescent="0.25">
      <c r="A951" s="61">
        <v>42684</v>
      </c>
      <c r="B951" s="26" t="s">
        <v>5</v>
      </c>
      <c r="C951" s="87" t="s">
        <v>32</v>
      </c>
      <c r="D951" s="8">
        <v>18213</v>
      </c>
      <c r="E951" s="8"/>
      <c r="F951" s="8">
        <f t="shared" si="14"/>
        <v>15065</v>
      </c>
      <c r="G951" s="26"/>
    </row>
    <row r="952" spans="1:10" x14ac:dyDescent="0.25">
      <c r="A952" s="61">
        <v>42684</v>
      </c>
      <c r="B952" s="26" t="s">
        <v>117</v>
      </c>
      <c r="C952" s="87" t="s">
        <v>822</v>
      </c>
      <c r="D952" s="8">
        <v>1000</v>
      </c>
      <c r="E952" s="8"/>
      <c r="F952" s="8">
        <f t="shared" si="14"/>
        <v>14065</v>
      </c>
      <c r="G952" s="26"/>
    </row>
    <row r="953" spans="1:10" ht="30" x14ac:dyDescent="0.25">
      <c r="A953" s="61">
        <v>42684</v>
      </c>
      <c r="B953" s="26" t="s">
        <v>231</v>
      </c>
      <c r="C953" s="87" t="s">
        <v>823</v>
      </c>
      <c r="D953" s="8">
        <v>1000</v>
      </c>
      <c r="E953" s="8"/>
      <c r="F953" s="8">
        <f t="shared" si="14"/>
        <v>13065</v>
      </c>
      <c r="G953" s="26"/>
    </row>
    <row r="954" spans="1:10" x14ac:dyDescent="0.25">
      <c r="A954" s="61">
        <v>42684</v>
      </c>
      <c r="B954" s="26" t="s">
        <v>323</v>
      </c>
      <c r="C954" s="87" t="s">
        <v>824</v>
      </c>
      <c r="D954" s="8">
        <v>15827</v>
      </c>
      <c r="E954" s="8"/>
      <c r="F954" s="8">
        <f t="shared" si="14"/>
        <v>-2762</v>
      </c>
      <c r="G954" s="26"/>
    </row>
    <row r="955" spans="1:10" x14ac:dyDescent="0.25">
      <c r="A955" s="61">
        <v>42685</v>
      </c>
      <c r="B955" s="26" t="s">
        <v>26</v>
      </c>
      <c r="C955" s="87" t="s">
        <v>825</v>
      </c>
      <c r="D955" s="8">
        <v>30</v>
      </c>
      <c r="E955" s="8"/>
      <c r="F955" s="8">
        <f t="shared" si="14"/>
        <v>-2792</v>
      </c>
      <c r="G955" s="26"/>
    </row>
    <row r="956" spans="1:10" x14ac:dyDescent="0.25">
      <c r="A956" s="61">
        <v>42685</v>
      </c>
      <c r="B956" s="26" t="s">
        <v>17</v>
      </c>
      <c r="C956" s="87" t="s">
        <v>32</v>
      </c>
      <c r="D956" s="8">
        <v>1000</v>
      </c>
      <c r="E956" s="8"/>
      <c r="F956" s="8">
        <f t="shared" si="14"/>
        <v>-3792</v>
      </c>
      <c r="G956" s="26"/>
    </row>
    <row r="957" spans="1:10" x14ac:dyDescent="0.25">
      <c r="A957" s="61">
        <v>42685</v>
      </c>
      <c r="B957" s="462" t="s">
        <v>842</v>
      </c>
      <c r="C957" s="463"/>
      <c r="D957" s="71"/>
      <c r="E957" s="58">
        <v>50000</v>
      </c>
      <c r="F957" s="8">
        <f t="shared" si="14"/>
        <v>46208</v>
      </c>
      <c r="G957" s="26"/>
    </row>
    <row r="958" spans="1:10" s="49" customFormat="1" ht="30" x14ac:dyDescent="0.25">
      <c r="A958" s="61">
        <v>42685</v>
      </c>
      <c r="B958" s="80" t="s">
        <v>231</v>
      </c>
      <c r="C958" s="82" t="s">
        <v>829</v>
      </c>
      <c r="D958" s="81">
        <v>10000</v>
      </c>
      <c r="E958" s="62"/>
      <c r="F958" s="8">
        <f t="shared" si="14"/>
        <v>36208</v>
      </c>
      <c r="G958" s="40"/>
      <c r="H958" s="116"/>
      <c r="I958" s="116"/>
      <c r="J958" s="116"/>
    </row>
    <row r="959" spans="1:10" x14ac:dyDescent="0.25">
      <c r="A959" s="61">
        <v>42685</v>
      </c>
      <c r="B959" s="26" t="s">
        <v>26</v>
      </c>
      <c r="C959" s="87" t="s">
        <v>826</v>
      </c>
      <c r="D959" s="8">
        <v>800</v>
      </c>
      <c r="E959" s="8"/>
      <c r="F959" s="8">
        <f t="shared" si="14"/>
        <v>35408</v>
      </c>
      <c r="G959" s="26"/>
    </row>
    <row r="960" spans="1:10" x14ac:dyDescent="0.25">
      <c r="A960" s="61">
        <v>42686</v>
      </c>
      <c r="B960" s="26" t="s">
        <v>157</v>
      </c>
      <c r="C960" s="87" t="s">
        <v>32</v>
      </c>
      <c r="D960" s="8">
        <v>1000</v>
      </c>
      <c r="E960" s="8"/>
      <c r="F960" s="8">
        <f t="shared" si="14"/>
        <v>34408</v>
      </c>
      <c r="G960" s="26"/>
    </row>
    <row r="961" spans="1:10" x14ac:dyDescent="0.25">
      <c r="A961" s="61">
        <v>42686</v>
      </c>
      <c r="B961" s="26" t="s">
        <v>17</v>
      </c>
      <c r="C961" s="87" t="s">
        <v>32</v>
      </c>
      <c r="D961" s="8">
        <v>1000</v>
      </c>
      <c r="E961" s="8"/>
      <c r="F961" s="8">
        <f t="shared" si="14"/>
        <v>33408</v>
      </c>
      <c r="G961" s="26"/>
    </row>
    <row r="962" spans="1:10" x14ac:dyDescent="0.25">
      <c r="A962" s="61">
        <v>42686</v>
      </c>
      <c r="B962" s="29" t="s">
        <v>121</v>
      </c>
      <c r="C962" s="89" t="s">
        <v>843</v>
      </c>
      <c r="D962" s="14">
        <v>35000</v>
      </c>
      <c r="E962" s="8"/>
      <c r="F962" s="8">
        <f t="shared" si="14"/>
        <v>-1592</v>
      </c>
      <c r="G962" s="26"/>
    </row>
    <row r="963" spans="1:10" x14ac:dyDescent="0.25">
      <c r="A963" s="61">
        <v>42686</v>
      </c>
      <c r="B963" s="26" t="s">
        <v>26</v>
      </c>
      <c r="C963" s="87" t="s">
        <v>830</v>
      </c>
      <c r="D963" s="8">
        <v>100</v>
      </c>
      <c r="E963" s="8"/>
      <c r="F963" s="8">
        <f t="shared" ref="F963:F1026" si="15">F962-D963+E963</f>
        <v>-1692</v>
      </c>
      <c r="G963" s="26"/>
    </row>
    <row r="964" spans="1:10" x14ac:dyDescent="0.25">
      <c r="A964" s="61">
        <v>42688</v>
      </c>
      <c r="B964" s="462" t="s">
        <v>831</v>
      </c>
      <c r="C964" s="463"/>
      <c r="D964" s="71"/>
      <c r="E964" s="58">
        <v>25000</v>
      </c>
      <c r="F964" s="8">
        <f t="shared" si="15"/>
        <v>23308</v>
      </c>
      <c r="G964" s="26"/>
    </row>
    <row r="965" spans="1:10" x14ac:dyDescent="0.25">
      <c r="A965" s="61">
        <v>42688</v>
      </c>
      <c r="B965" s="26" t="s">
        <v>17</v>
      </c>
      <c r="C965" s="87" t="s">
        <v>832</v>
      </c>
      <c r="D965" s="8">
        <v>21150</v>
      </c>
      <c r="E965" s="8"/>
      <c r="F965" s="8">
        <f t="shared" si="15"/>
        <v>2158</v>
      </c>
      <c r="G965" s="26"/>
    </row>
    <row r="966" spans="1:10" x14ac:dyDescent="0.25">
      <c r="A966" s="61">
        <v>42688</v>
      </c>
      <c r="B966" s="26" t="s">
        <v>62</v>
      </c>
      <c r="C966" s="87" t="s">
        <v>833</v>
      </c>
      <c r="D966" s="8">
        <v>100</v>
      </c>
      <c r="E966" s="8"/>
      <c r="F966" s="8">
        <f t="shared" si="15"/>
        <v>2058</v>
      </c>
      <c r="G966" s="26"/>
    </row>
    <row r="967" spans="1:10" x14ac:dyDescent="0.25">
      <c r="A967" s="61">
        <v>42688</v>
      </c>
      <c r="B967" s="26" t="s">
        <v>231</v>
      </c>
      <c r="C967" s="87" t="s">
        <v>834</v>
      </c>
      <c r="D967" s="8">
        <v>700</v>
      </c>
      <c r="E967" s="8"/>
      <c r="F967" s="8">
        <f t="shared" si="15"/>
        <v>1358</v>
      </c>
      <c r="G967" s="26"/>
    </row>
    <row r="968" spans="1:10" x14ac:dyDescent="0.25">
      <c r="A968" s="61">
        <v>42688</v>
      </c>
      <c r="B968" s="29" t="s">
        <v>62</v>
      </c>
      <c r="C968" s="89" t="s">
        <v>34</v>
      </c>
      <c r="D968" s="14">
        <v>70</v>
      </c>
      <c r="E968" s="8"/>
      <c r="F968" s="8">
        <f t="shared" si="15"/>
        <v>1288</v>
      </c>
      <c r="G968" s="26"/>
    </row>
    <row r="969" spans="1:10" x14ac:dyDescent="0.25">
      <c r="A969" s="61">
        <v>42688</v>
      </c>
      <c r="B969" s="29" t="s">
        <v>231</v>
      </c>
      <c r="C969" s="89" t="s">
        <v>835</v>
      </c>
      <c r="D969" s="14">
        <v>350</v>
      </c>
      <c r="E969" s="8"/>
      <c r="F969" s="8">
        <f t="shared" si="15"/>
        <v>938</v>
      </c>
      <c r="G969" s="26"/>
    </row>
    <row r="970" spans="1:10" x14ac:dyDescent="0.25">
      <c r="A970" s="61">
        <v>42688</v>
      </c>
      <c r="B970" s="29" t="s">
        <v>35</v>
      </c>
      <c r="C970" s="89" t="s">
        <v>838</v>
      </c>
      <c r="D970" s="14">
        <v>1900</v>
      </c>
      <c r="E970" s="8"/>
      <c r="F970" s="8">
        <f t="shared" si="15"/>
        <v>-962</v>
      </c>
      <c r="G970" s="26"/>
    </row>
    <row r="971" spans="1:10" x14ac:dyDescent="0.25">
      <c r="A971" s="61">
        <v>42688</v>
      </c>
      <c r="B971" s="26" t="s">
        <v>248</v>
      </c>
      <c r="C971" s="87" t="s">
        <v>836</v>
      </c>
      <c r="D971" s="8">
        <v>440</v>
      </c>
      <c r="E971" s="8"/>
      <c r="F971" s="8">
        <f t="shared" si="15"/>
        <v>-1402</v>
      </c>
      <c r="G971" s="26"/>
    </row>
    <row r="972" spans="1:10" x14ac:dyDescent="0.25">
      <c r="A972" s="61">
        <v>42688</v>
      </c>
      <c r="B972" s="26" t="s">
        <v>26</v>
      </c>
      <c r="C972" s="87" t="s">
        <v>837</v>
      </c>
      <c r="D972" s="8">
        <v>90</v>
      </c>
      <c r="E972" s="8"/>
      <c r="F972" s="8">
        <f t="shared" si="15"/>
        <v>-1492</v>
      </c>
      <c r="G972" s="26"/>
    </row>
    <row r="973" spans="1:10" x14ac:dyDescent="0.25">
      <c r="A973" s="61">
        <v>42688</v>
      </c>
      <c r="B973" s="26" t="s">
        <v>26</v>
      </c>
      <c r="C973" s="87" t="s">
        <v>848</v>
      </c>
      <c r="D973" s="8">
        <v>60</v>
      </c>
      <c r="E973" s="8"/>
      <c r="F973" s="8">
        <f t="shared" si="15"/>
        <v>-1552</v>
      </c>
      <c r="G973" s="26"/>
    </row>
    <row r="974" spans="1:10" ht="30" x14ac:dyDescent="0.25">
      <c r="A974" s="61">
        <v>42689</v>
      </c>
      <c r="B974" s="29" t="s">
        <v>231</v>
      </c>
      <c r="C974" s="89" t="s">
        <v>893</v>
      </c>
      <c r="D974" s="14">
        <v>2000</v>
      </c>
      <c r="E974" s="8"/>
      <c r="F974" s="8">
        <f t="shared" si="15"/>
        <v>-3552</v>
      </c>
      <c r="G974" s="26"/>
    </row>
    <row r="975" spans="1:10" x14ac:dyDescent="0.25">
      <c r="A975" s="61">
        <v>42689</v>
      </c>
      <c r="B975" s="462" t="s">
        <v>839</v>
      </c>
      <c r="C975" s="463"/>
      <c r="D975" s="71"/>
      <c r="E975" s="58">
        <v>50000</v>
      </c>
      <c r="F975" s="8">
        <f t="shared" si="15"/>
        <v>46448</v>
      </c>
      <c r="G975" s="26"/>
    </row>
    <row r="976" spans="1:10" x14ac:dyDescent="0.25">
      <c r="A976" s="61">
        <v>42689</v>
      </c>
      <c r="B976" s="26" t="s">
        <v>840</v>
      </c>
      <c r="C976" s="87" t="s">
        <v>841</v>
      </c>
      <c r="D976" s="8">
        <v>13800</v>
      </c>
      <c r="E976" s="8"/>
      <c r="F976" s="8">
        <f t="shared" si="15"/>
        <v>32648</v>
      </c>
      <c r="G976" s="26"/>
      <c r="I976" s="24"/>
      <c r="J976" s="24"/>
    </row>
    <row r="977" spans="1:10" x14ac:dyDescent="0.25">
      <c r="A977" s="61">
        <v>42689</v>
      </c>
      <c r="B977" s="26" t="s">
        <v>26</v>
      </c>
      <c r="C977" s="87" t="s">
        <v>735</v>
      </c>
      <c r="D977" s="8">
        <v>70</v>
      </c>
      <c r="E977" s="8"/>
      <c r="F977" s="8">
        <f t="shared" si="15"/>
        <v>32578</v>
      </c>
      <c r="G977" s="26"/>
      <c r="I977" s="24"/>
      <c r="J977" s="24"/>
    </row>
    <row r="978" spans="1:10" x14ac:dyDescent="0.25">
      <c r="A978" s="61">
        <v>42689</v>
      </c>
      <c r="B978" s="29" t="s">
        <v>231</v>
      </c>
      <c r="C978" s="89" t="s">
        <v>863</v>
      </c>
      <c r="D978" s="14">
        <v>33480</v>
      </c>
      <c r="E978" s="8"/>
      <c r="F978" s="8">
        <f t="shared" si="15"/>
        <v>-902</v>
      </c>
      <c r="G978" s="26"/>
      <c r="I978" s="24"/>
      <c r="J978" s="24"/>
    </row>
    <row r="979" spans="1:10" x14ac:dyDescent="0.25">
      <c r="A979" s="61">
        <v>42689</v>
      </c>
      <c r="B979" s="26" t="s">
        <v>692</v>
      </c>
      <c r="C979" s="196" t="s">
        <v>854</v>
      </c>
      <c r="D979" s="8">
        <v>6300</v>
      </c>
      <c r="E979" s="8"/>
      <c r="F979" s="8">
        <f t="shared" si="15"/>
        <v>-7202</v>
      </c>
      <c r="G979" s="26"/>
    </row>
    <row r="980" spans="1:10" x14ac:dyDescent="0.25">
      <c r="A980" s="61">
        <v>42690</v>
      </c>
      <c r="B980" s="26" t="s">
        <v>28</v>
      </c>
      <c r="C980" s="196" t="s">
        <v>32</v>
      </c>
      <c r="D980" s="8">
        <v>500</v>
      </c>
      <c r="E980" s="8"/>
      <c r="F980" s="8">
        <f t="shared" si="15"/>
        <v>-7702</v>
      </c>
      <c r="G980" s="26"/>
    </row>
    <row r="981" spans="1:10" x14ac:dyDescent="0.25">
      <c r="A981" s="61">
        <v>42690</v>
      </c>
      <c r="B981" s="26" t="s">
        <v>26</v>
      </c>
      <c r="C981" s="196" t="s">
        <v>850</v>
      </c>
      <c r="D981" s="8">
        <v>180</v>
      </c>
      <c r="E981" s="8"/>
      <c r="F981" s="8">
        <f t="shared" si="15"/>
        <v>-7882</v>
      </c>
      <c r="G981" s="26"/>
    </row>
    <row r="982" spans="1:10" x14ac:dyDescent="0.25">
      <c r="A982" s="61">
        <v>42690</v>
      </c>
      <c r="B982" s="26" t="s">
        <v>26</v>
      </c>
      <c r="C982" s="196" t="s">
        <v>847</v>
      </c>
      <c r="D982" s="8">
        <v>50</v>
      </c>
      <c r="E982" s="8"/>
      <c r="F982" s="8">
        <f t="shared" si="15"/>
        <v>-7932</v>
      </c>
      <c r="G982" s="26"/>
    </row>
    <row r="983" spans="1:10" x14ac:dyDescent="0.25">
      <c r="A983" s="61">
        <v>42690</v>
      </c>
      <c r="B983" s="26" t="s">
        <v>117</v>
      </c>
      <c r="C983" s="196" t="s">
        <v>845</v>
      </c>
      <c r="D983" s="8">
        <v>1000</v>
      </c>
      <c r="E983" s="8"/>
      <c r="F983" s="8">
        <f t="shared" si="15"/>
        <v>-8932</v>
      </c>
      <c r="G983" s="26"/>
    </row>
    <row r="984" spans="1:10" x14ac:dyDescent="0.25">
      <c r="A984" s="61">
        <v>42691</v>
      </c>
      <c r="B984" s="462" t="s">
        <v>842</v>
      </c>
      <c r="C984" s="463"/>
      <c r="D984" s="71"/>
      <c r="E984" s="58">
        <v>50000</v>
      </c>
      <c r="F984" s="8">
        <f t="shared" si="15"/>
        <v>41068</v>
      </c>
      <c r="G984" s="26"/>
    </row>
    <row r="985" spans="1:10" x14ac:dyDescent="0.25">
      <c r="A985" s="61">
        <v>42691</v>
      </c>
      <c r="B985" s="26" t="s">
        <v>4</v>
      </c>
      <c r="C985" s="87" t="s">
        <v>32</v>
      </c>
      <c r="D985" s="8">
        <v>3000</v>
      </c>
      <c r="E985" s="8"/>
      <c r="F985" s="8">
        <f t="shared" si="15"/>
        <v>38068</v>
      </c>
      <c r="G985" s="26"/>
    </row>
    <row r="986" spans="1:10" x14ac:dyDescent="0.25">
      <c r="A986" s="61">
        <v>42691</v>
      </c>
      <c r="B986" s="26" t="s">
        <v>161</v>
      </c>
      <c r="C986" s="87" t="s">
        <v>846</v>
      </c>
      <c r="D986" s="8">
        <v>3500</v>
      </c>
      <c r="E986" s="8"/>
      <c r="F986" s="8">
        <f t="shared" si="15"/>
        <v>34568</v>
      </c>
      <c r="G986" s="26"/>
    </row>
    <row r="987" spans="1:10" x14ac:dyDescent="0.25">
      <c r="A987" s="61">
        <v>42691</v>
      </c>
      <c r="B987" s="26" t="s">
        <v>694</v>
      </c>
      <c r="C987" s="87" t="s">
        <v>402</v>
      </c>
      <c r="D987" s="8">
        <v>450</v>
      </c>
      <c r="E987" s="8"/>
      <c r="F987" s="8">
        <f t="shared" si="15"/>
        <v>34118</v>
      </c>
      <c r="G987" s="26"/>
    </row>
    <row r="988" spans="1:10" x14ac:dyDescent="0.25">
      <c r="A988" s="61">
        <v>42691</v>
      </c>
      <c r="B988" s="26" t="s">
        <v>43</v>
      </c>
      <c r="C988" s="87" t="s">
        <v>32</v>
      </c>
      <c r="D988" s="8">
        <v>3000</v>
      </c>
      <c r="E988" s="8"/>
      <c r="F988" s="8">
        <f t="shared" si="15"/>
        <v>31118</v>
      </c>
      <c r="G988" s="26"/>
    </row>
    <row r="989" spans="1:10" x14ac:dyDescent="0.25">
      <c r="A989" s="61">
        <v>42691</v>
      </c>
      <c r="B989" s="26" t="s">
        <v>105</v>
      </c>
      <c r="C989" s="87" t="s">
        <v>32</v>
      </c>
      <c r="D989" s="8">
        <v>1000</v>
      </c>
      <c r="E989" s="8"/>
      <c r="F989" s="8">
        <f t="shared" si="15"/>
        <v>30118</v>
      </c>
      <c r="G989" s="26"/>
    </row>
    <row r="990" spans="1:10" x14ac:dyDescent="0.25">
      <c r="A990" s="61">
        <v>42691</v>
      </c>
      <c r="B990" s="26" t="s">
        <v>26</v>
      </c>
      <c r="C990" s="87" t="s">
        <v>849</v>
      </c>
      <c r="D990" s="8">
        <v>720</v>
      </c>
      <c r="E990" s="8"/>
      <c r="F990" s="8">
        <f t="shared" si="15"/>
        <v>29398</v>
      </c>
      <c r="G990" s="26"/>
    </row>
    <row r="991" spans="1:10" x14ac:dyDescent="0.25">
      <c r="A991" s="61">
        <v>42691</v>
      </c>
      <c r="B991" s="26" t="s">
        <v>28</v>
      </c>
      <c r="C991" s="87" t="s">
        <v>32</v>
      </c>
      <c r="D991" s="8">
        <v>8000</v>
      </c>
      <c r="E991" s="8"/>
      <c r="F991" s="8">
        <f t="shared" si="15"/>
        <v>21398</v>
      </c>
      <c r="G991" s="26"/>
    </row>
    <row r="992" spans="1:10" x14ac:dyDescent="0.25">
      <c r="A992" s="61">
        <v>42691</v>
      </c>
      <c r="B992" s="26" t="s">
        <v>121</v>
      </c>
      <c r="C992" s="87" t="s">
        <v>851</v>
      </c>
      <c r="D992" s="8">
        <v>750</v>
      </c>
      <c r="E992" s="8"/>
      <c r="F992" s="8">
        <f t="shared" si="15"/>
        <v>20648</v>
      </c>
      <c r="G992" s="26"/>
    </row>
    <row r="993" spans="1:10" x14ac:dyDescent="0.25">
      <c r="A993" s="61">
        <v>42691</v>
      </c>
      <c r="B993" s="26" t="s">
        <v>121</v>
      </c>
      <c r="C993" s="87" t="s">
        <v>32</v>
      </c>
      <c r="D993" s="8">
        <v>50</v>
      </c>
      <c r="E993" s="8"/>
      <c r="F993" s="8">
        <f t="shared" si="15"/>
        <v>20598</v>
      </c>
      <c r="G993" s="26"/>
    </row>
    <row r="994" spans="1:10" x14ac:dyDescent="0.25">
      <c r="A994" s="61">
        <v>42691</v>
      </c>
      <c r="B994" s="26" t="s">
        <v>26</v>
      </c>
      <c r="C994" s="87" t="s">
        <v>852</v>
      </c>
      <c r="D994" s="8">
        <v>1000</v>
      </c>
      <c r="E994" s="8"/>
      <c r="F994" s="8">
        <f t="shared" si="15"/>
        <v>19598</v>
      </c>
      <c r="G994" s="26"/>
    </row>
    <row r="995" spans="1:10" x14ac:dyDescent="0.25">
      <c r="A995" s="61">
        <v>42691</v>
      </c>
      <c r="B995" s="26" t="s">
        <v>165</v>
      </c>
      <c r="C995" s="87" t="s">
        <v>734</v>
      </c>
      <c r="D995" s="8">
        <v>1000</v>
      </c>
      <c r="E995" s="8"/>
      <c r="F995" s="8">
        <f t="shared" si="15"/>
        <v>18598</v>
      </c>
      <c r="G995" s="26"/>
    </row>
    <row r="996" spans="1:10" x14ac:dyDescent="0.25">
      <c r="A996" s="61">
        <v>42691</v>
      </c>
      <c r="B996" s="29" t="s">
        <v>694</v>
      </c>
      <c r="C996" s="89" t="s">
        <v>853</v>
      </c>
      <c r="D996" s="14">
        <v>70</v>
      </c>
      <c r="E996" s="8"/>
      <c r="F996" s="8">
        <f t="shared" si="15"/>
        <v>18528</v>
      </c>
      <c r="G996" s="26"/>
    </row>
    <row r="997" spans="1:10" x14ac:dyDescent="0.25">
      <c r="A997" s="61">
        <v>42691</v>
      </c>
      <c r="B997" s="26" t="s">
        <v>28</v>
      </c>
      <c r="C997" s="87" t="s">
        <v>32</v>
      </c>
      <c r="D997" s="8">
        <v>2000</v>
      </c>
      <c r="E997" s="8"/>
      <c r="F997" s="8">
        <f t="shared" si="15"/>
        <v>16528</v>
      </c>
      <c r="G997" s="26"/>
    </row>
    <row r="998" spans="1:10" x14ac:dyDescent="0.25">
      <c r="A998" s="61">
        <v>42691</v>
      </c>
      <c r="B998" s="200" t="s">
        <v>778</v>
      </c>
      <c r="C998" s="87" t="s">
        <v>32</v>
      </c>
      <c r="D998" s="8">
        <v>1500</v>
      </c>
      <c r="E998" s="8"/>
      <c r="F998" s="8">
        <f t="shared" si="15"/>
        <v>15028</v>
      </c>
      <c r="G998" s="26"/>
    </row>
    <row r="999" spans="1:10" x14ac:dyDescent="0.25">
      <c r="A999" s="61">
        <v>42691</v>
      </c>
      <c r="B999" s="29" t="s">
        <v>117</v>
      </c>
      <c r="C999" s="89" t="s">
        <v>540</v>
      </c>
      <c r="D999" s="14">
        <v>2475</v>
      </c>
      <c r="E999" s="8"/>
      <c r="F999" s="8">
        <f t="shared" si="15"/>
        <v>12553</v>
      </c>
      <c r="G999" s="26"/>
    </row>
    <row r="1000" spans="1:10" x14ac:dyDescent="0.25">
      <c r="A1000" s="61">
        <v>42691</v>
      </c>
      <c r="B1000" s="26" t="s">
        <v>26</v>
      </c>
      <c r="C1000" s="87" t="s">
        <v>747</v>
      </c>
      <c r="D1000" s="8">
        <v>80</v>
      </c>
      <c r="E1000" s="8"/>
      <c r="F1000" s="8">
        <f t="shared" si="15"/>
        <v>12473</v>
      </c>
      <c r="G1000" s="26"/>
    </row>
    <row r="1001" spans="1:10" x14ac:dyDescent="0.25">
      <c r="A1001" s="61">
        <v>42691</v>
      </c>
      <c r="B1001" s="462" t="s">
        <v>1000</v>
      </c>
      <c r="C1001" s="463"/>
      <c r="D1001" s="71"/>
      <c r="E1001" s="58">
        <v>15000</v>
      </c>
      <c r="F1001" s="8">
        <f t="shared" si="15"/>
        <v>27473</v>
      </c>
      <c r="G1001" s="26"/>
    </row>
    <row r="1002" spans="1:10" x14ac:dyDescent="0.25">
      <c r="A1002" s="61">
        <v>42691</v>
      </c>
      <c r="B1002" s="26" t="s">
        <v>26</v>
      </c>
      <c r="C1002" s="87" t="s">
        <v>855</v>
      </c>
      <c r="D1002" s="8">
        <v>80</v>
      </c>
      <c r="E1002" s="8"/>
      <c r="F1002" s="8">
        <f t="shared" si="15"/>
        <v>27393</v>
      </c>
      <c r="G1002" s="26"/>
    </row>
    <row r="1003" spans="1:10" x14ac:dyDescent="0.25">
      <c r="A1003" s="61">
        <v>42692</v>
      </c>
      <c r="B1003" s="26" t="s">
        <v>155</v>
      </c>
      <c r="C1003" s="87" t="s">
        <v>32</v>
      </c>
      <c r="D1003" s="8">
        <v>5000</v>
      </c>
      <c r="E1003" s="8"/>
      <c r="F1003" s="8">
        <f t="shared" si="15"/>
        <v>22393</v>
      </c>
      <c r="G1003" s="26"/>
    </row>
    <row r="1004" spans="1:10" x14ac:dyDescent="0.25">
      <c r="A1004" s="61">
        <v>42692</v>
      </c>
      <c r="B1004" s="26" t="s">
        <v>121</v>
      </c>
      <c r="C1004" s="87" t="s">
        <v>867</v>
      </c>
      <c r="D1004" s="8">
        <v>200</v>
      </c>
      <c r="E1004" s="8"/>
      <c r="F1004" s="8">
        <f t="shared" si="15"/>
        <v>22193</v>
      </c>
      <c r="G1004" s="26"/>
    </row>
    <row r="1005" spans="1:10" x14ac:dyDescent="0.25">
      <c r="A1005" s="61">
        <v>42692</v>
      </c>
      <c r="B1005" s="26" t="s">
        <v>28</v>
      </c>
      <c r="C1005" s="87" t="s">
        <v>32</v>
      </c>
      <c r="D1005" s="8">
        <v>5000</v>
      </c>
      <c r="E1005" s="8"/>
      <c r="F1005" s="8">
        <f t="shared" si="15"/>
        <v>17193</v>
      </c>
      <c r="G1005" s="26"/>
    </row>
    <row r="1006" spans="1:10" x14ac:dyDescent="0.25">
      <c r="A1006" s="61">
        <v>42692</v>
      </c>
      <c r="B1006" s="26" t="s">
        <v>105</v>
      </c>
      <c r="C1006" s="87" t="s">
        <v>856</v>
      </c>
      <c r="D1006" s="8">
        <v>500</v>
      </c>
      <c r="E1006" s="8"/>
      <c r="F1006" s="8">
        <f t="shared" si="15"/>
        <v>16693</v>
      </c>
      <c r="G1006" s="26"/>
    </row>
    <row r="1007" spans="1:10" x14ac:dyDescent="0.25">
      <c r="A1007" s="61">
        <v>42692</v>
      </c>
      <c r="B1007" s="29" t="s">
        <v>105</v>
      </c>
      <c r="C1007" s="89" t="s">
        <v>32</v>
      </c>
      <c r="D1007" s="14">
        <v>500</v>
      </c>
      <c r="E1007" s="8"/>
      <c r="F1007" s="8">
        <f t="shared" si="15"/>
        <v>16193</v>
      </c>
      <c r="G1007" s="26"/>
    </row>
    <row r="1008" spans="1:10" s="49" customFormat="1" x14ac:dyDescent="0.25">
      <c r="A1008" s="61">
        <v>42692</v>
      </c>
      <c r="B1008" s="26" t="s">
        <v>28</v>
      </c>
      <c r="C1008" s="87" t="s">
        <v>876</v>
      </c>
      <c r="D1008" s="8">
        <v>1000</v>
      </c>
      <c r="E1008" s="8"/>
      <c r="F1008" s="8">
        <f t="shared" si="15"/>
        <v>15193</v>
      </c>
      <c r="G1008" s="26"/>
      <c r="H1008" s="116"/>
      <c r="I1008" s="10"/>
      <c r="J1008" s="10"/>
    </row>
    <row r="1009" spans="1:10" x14ac:dyDescent="0.25">
      <c r="A1009" s="61">
        <v>42692</v>
      </c>
      <c r="B1009" s="462" t="s">
        <v>842</v>
      </c>
      <c r="C1009" s="463"/>
      <c r="D1009" s="71"/>
      <c r="E1009" s="58">
        <v>25000</v>
      </c>
      <c r="F1009" s="8">
        <f t="shared" si="15"/>
        <v>40193</v>
      </c>
      <c r="G1009" s="26"/>
      <c r="I1009" s="116"/>
    </row>
    <row r="1010" spans="1:10" x14ac:dyDescent="0.25">
      <c r="A1010" s="61">
        <v>42692</v>
      </c>
      <c r="B1010" s="462" t="s">
        <v>842</v>
      </c>
      <c r="C1010" s="463"/>
      <c r="D1010" s="71"/>
      <c r="E1010" s="58">
        <v>20000</v>
      </c>
      <c r="F1010" s="8">
        <f t="shared" si="15"/>
        <v>60193</v>
      </c>
      <c r="G1010" s="26"/>
      <c r="J1010" s="116"/>
    </row>
    <row r="1011" spans="1:10" x14ac:dyDescent="0.25">
      <c r="A1011" s="61">
        <v>42692</v>
      </c>
      <c r="B1011" s="84" t="s">
        <v>231</v>
      </c>
      <c r="C1011" s="83" t="s">
        <v>862</v>
      </c>
      <c r="D1011" s="81">
        <v>40850</v>
      </c>
      <c r="E1011" s="41"/>
      <c r="F1011" s="8">
        <f t="shared" si="15"/>
        <v>19343</v>
      </c>
      <c r="G1011" s="40"/>
    </row>
    <row r="1012" spans="1:10" x14ac:dyDescent="0.25">
      <c r="A1012" s="61">
        <v>42692</v>
      </c>
      <c r="B1012" s="84" t="s">
        <v>26</v>
      </c>
      <c r="C1012" s="83" t="s">
        <v>735</v>
      </c>
      <c r="D1012" s="81">
        <v>80</v>
      </c>
      <c r="E1012" s="41"/>
      <c r="F1012" s="8">
        <f t="shared" si="15"/>
        <v>19263</v>
      </c>
      <c r="G1012" s="40"/>
    </row>
    <row r="1013" spans="1:10" x14ac:dyDescent="0.25">
      <c r="A1013" s="61">
        <v>42693</v>
      </c>
      <c r="B1013" s="26" t="s">
        <v>4</v>
      </c>
      <c r="C1013" s="196" t="s">
        <v>32</v>
      </c>
      <c r="D1013" s="8">
        <v>1000</v>
      </c>
      <c r="E1013" s="8"/>
      <c r="F1013" s="8">
        <f t="shared" si="15"/>
        <v>18263</v>
      </c>
      <c r="G1013" s="26"/>
    </row>
    <row r="1014" spans="1:10" x14ac:dyDescent="0.25">
      <c r="A1014" s="61">
        <v>42693</v>
      </c>
      <c r="B1014" s="26" t="s">
        <v>26</v>
      </c>
      <c r="C1014" s="196" t="s">
        <v>747</v>
      </c>
      <c r="D1014" s="8">
        <v>80</v>
      </c>
      <c r="E1014" s="8"/>
      <c r="F1014" s="8">
        <f t="shared" si="15"/>
        <v>18183</v>
      </c>
      <c r="G1014" s="26"/>
    </row>
    <row r="1015" spans="1:10" x14ac:dyDescent="0.25">
      <c r="A1015" s="61">
        <v>42693</v>
      </c>
      <c r="B1015" s="26" t="s">
        <v>857</v>
      </c>
      <c r="C1015" s="87" t="s">
        <v>32</v>
      </c>
      <c r="D1015" s="8">
        <v>2000</v>
      </c>
      <c r="E1015" s="8"/>
      <c r="F1015" s="8">
        <f t="shared" si="15"/>
        <v>16183</v>
      </c>
      <c r="G1015" s="26"/>
    </row>
    <row r="1016" spans="1:10" x14ac:dyDescent="0.25">
      <c r="A1016" s="61">
        <v>42693</v>
      </c>
      <c r="B1016" s="26" t="s">
        <v>694</v>
      </c>
      <c r="C1016" s="87" t="s">
        <v>859</v>
      </c>
      <c r="D1016" s="8">
        <v>150</v>
      </c>
      <c r="E1016" s="8"/>
      <c r="F1016" s="8">
        <f t="shared" si="15"/>
        <v>16033</v>
      </c>
      <c r="G1016" s="26"/>
    </row>
    <row r="1017" spans="1:10" x14ac:dyDescent="0.25">
      <c r="A1017" s="61">
        <v>42693</v>
      </c>
      <c r="B1017" s="26" t="s">
        <v>26</v>
      </c>
      <c r="C1017" s="87" t="s">
        <v>860</v>
      </c>
      <c r="D1017" s="8">
        <v>500</v>
      </c>
      <c r="E1017" s="8"/>
      <c r="F1017" s="8">
        <f t="shared" si="15"/>
        <v>15533</v>
      </c>
      <c r="G1017" s="26"/>
    </row>
    <row r="1018" spans="1:10" x14ac:dyDescent="0.25">
      <c r="A1018" s="61">
        <v>42693</v>
      </c>
      <c r="B1018" s="26" t="s">
        <v>26</v>
      </c>
      <c r="C1018" s="87" t="s">
        <v>747</v>
      </c>
      <c r="D1018" s="8">
        <v>80</v>
      </c>
      <c r="E1018" s="8"/>
      <c r="F1018" s="8">
        <f t="shared" si="15"/>
        <v>15453</v>
      </c>
      <c r="G1018" s="26"/>
    </row>
    <row r="1019" spans="1:10" x14ac:dyDescent="0.25">
      <c r="A1019" s="61">
        <v>42695</v>
      </c>
      <c r="B1019" s="26" t="s">
        <v>26</v>
      </c>
      <c r="C1019" s="87" t="s">
        <v>861</v>
      </c>
      <c r="D1019" s="8">
        <v>150</v>
      </c>
      <c r="E1019" s="8"/>
      <c r="F1019" s="8">
        <f t="shared" si="15"/>
        <v>15303</v>
      </c>
      <c r="G1019" s="26"/>
    </row>
    <row r="1020" spans="1:10" x14ac:dyDescent="0.25">
      <c r="A1020" s="61">
        <v>42696</v>
      </c>
      <c r="B1020" s="26" t="s">
        <v>231</v>
      </c>
      <c r="C1020" s="87" t="s">
        <v>866</v>
      </c>
      <c r="D1020" s="8">
        <v>300</v>
      </c>
      <c r="E1020" s="8"/>
      <c r="F1020" s="8">
        <f t="shared" si="15"/>
        <v>15003</v>
      </c>
      <c r="G1020" s="26"/>
    </row>
    <row r="1021" spans="1:10" x14ac:dyDescent="0.25">
      <c r="A1021" s="61">
        <v>42696</v>
      </c>
      <c r="B1021" s="462" t="s">
        <v>885</v>
      </c>
      <c r="C1021" s="463"/>
      <c r="D1021" s="71"/>
      <c r="E1021" s="58">
        <v>50000</v>
      </c>
      <c r="F1021" s="8">
        <f t="shared" si="15"/>
        <v>65003</v>
      </c>
      <c r="G1021" s="26"/>
    </row>
    <row r="1022" spans="1:10" x14ac:dyDescent="0.25">
      <c r="A1022" s="61">
        <v>42697</v>
      </c>
      <c r="B1022" s="26" t="s">
        <v>5</v>
      </c>
      <c r="C1022" s="87" t="s">
        <v>32</v>
      </c>
      <c r="D1022" s="8">
        <v>6000</v>
      </c>
      <c r="E1022" s="8"/>
      <c r="F1022" s="8">
        <f t="shared" si="15"/>
        <v>59003</v>
      </c>
      <c r="G1022" s="26"/>
    </row>
    <row r="1023" spans="1:10" x14ac:dyDescent="0.25">
      <c r="A1023" s="61">
        <v>42697</v>
      </c>
      <c r="B1023" s="29" t="s">
        <v>231</v>
      </c>
      <c r="C1023" s="89" t="s">
        <v>78</v>
      </c>
      <c r="D1023" s="14">
        <v>800</v>
      </c>
      <c r="E1023" s="8"/>
      <c r="F1023" s="8">
        <f t="shared" si="15"/>
        <v>58203</v>
      </c>
      <c r="G1023" s="26"/>
    </row>
    <row r="1024" spans="1:10" x14ac:dyDescent="0.25">
      <c r="A1024" s="61">
        <v>42697</v>
      </c>
      <c r="B1024" s="26" t="s">
        <v>26</v>
      </c>
      <c r="C1024" s="87" t="s">
        <v>868</v>
      </c>
      <c r="D1024" s="8">
        <v>1000</v>
      </c>
      <c r="E1024" s="8"/>
      <c r="F1024" s="8">
        <f t="shared" si="15"/>
        <v>57203</v>
      </c>
      <c r="G1024" s="26"/>
    </row>
    <row r="1025" spans="1:7" x14ac:dyDescent="0.25">
      <c r="A1025" s="61">
        <v>42697</v>
      </c>
      <c r="B1025" s="26" t="s">
        <v>26</v>
      </c>
      <c r="C1025" s="87" t="s">
        <v>869</v>
      </c>
      <c r="D1025" s="8">
        <v>1400</v>
      </c>
      <c r="E1025" s="8"/>
      <c r="F1025" s="8">
        <f t="shared" si="15"/>
        <v>55803</v>
      </c>
      <c r="G1025" s="26"/>
    </row>
    <row r="1026" spans="1:7" x14ac:dyDescent="0.25">
      <c r="A1026" s="61">
        <v>42697</v>
      </c>
      <c r="B1026" s="26" t="s">
        <v>248</v>
      </c>
      <c r="C1026" s="87" t="s">
        <v>870</v>
      </c>
      <c r="D1026" s="8">
        <v>1575</v>
      </c>
      <c r="E1026" s="8"/>
      <c r="F1026" s="8">
        <f t="shared" si="15"/>
        <v>54228</v>
      </c>
      <c r="G1026" s="26"/>
    </row>
    <row r="1027" spans="1:7" x14ac:dyDescent="0.25">
      <c r="A1027" s="61">
        <v>42697</v>
      </c>
      <c r="B1027" s="26" t="s">
        <v>26</v>
      </c>
      <c r="C1027" s="87" t="s">
        <v>871</v>
      </c>
      <c r="D1027" s="8">
        <v>90</v>
      </c>
      <c r="E1027" s="8"/>
      <c r="F1027" s="8">
        <f t="shared" ref="F1027:F1090" si="16">F1026-D1027+E1027</f>
        <v>54138</v>
      </c>
      <c r="G1027" s="26"/>
    </row>
    <row r="1028" spans="1:7" x14ac:dyDescent="0.25">
      <c r="A1028" s="61">
        <v>42697</v>
      </c>
      <c r="B1028" s="26" t="s">
        <v>26</v>
      </c>
      <c r="C1028" s="87" t="s">
        <v>872</v>
      </c>
      <c r="D1028" s="8">
        <v>170</v>
      </c>
      <c r="E1028" s="8"/>
      <c r="F1028" s="8">
        <f t="shared" si="16"/>
        <v>53968</v>
      </c>
      <c r="G1028" s="26"/>
    </row>
    <row r="1029" spans="1:7" x14ac:dyDescent="0.25">
      <c r="A1029" s="61">
        <v>42697</v>
      </c>
      <c r="B1029" s="26" t="s">
        <v>26</v>
      </c>
      <c r="C1029" s="87" t="s">
        <v>873</v>
      </c>
      <c r="D1029" s="8">
        <v>210</v>
      </c>
      <c r="E1029" s="8"/>
      <c r="F1029" s="8">
        <f t="shared" si="16"/>
        <v>53758</v>
      </c>
      <c r="G1029" s="26"/>
    </row>
    <row r="1030" spans="1:7" x14ac:dyDescent="0.25">
      <c r="A1030" s="61">
        <v>42697</v>
      </c>
      <c r="B1030" s="26" t="s">
        <v>43</v>
      </c>
      <c r="C1030" s="87" t="s">
        <v>768</v>
      </c>
      <c r="D1030" s="8">
        <v>2000</v>
      </c>
      <c r="E1030" s="8"/>
      <c r="F1030" s="8">
        <f t="shared" si="16"/>
        <v>51758</v>
      </c>
      <c r="G1030" s="26"/>
    </row>
    <row r="1031" spans="1:7" x14ac:dyDescent="0.25">
      <c r="A1031" s="61">
        <v>42697</v>
      </c>
      <c r="B1031" s="29" t="s">
        <v>396</v>
      </c>
      <c r="C1031" s="89" t="s">
        <v>879</v>
      </c>
      <c r="D1031" s="14">
        <v>150</v>
      </c>
      <c r="E1031" s="8"/>
      <c r="F1031" s="8">
        <f t="shared" si="16"/>
        <v>51608</v>
      </c>
      <c r="G1031" s="26"/>
    </row>
    <row r="1032" spans="1:7" x14ac:dyDescent="0.25">
      <c r="A1032" s="61">
        <v>42697</v>
      </c>
      <c r="B1032" s="29" t="s">
        <v>396</v>
      </c>
      <c r="C1032" s="89" t="s">
        <v>880</v>
      </c>
      <c r="D1032" s="14">
        <v>50</v>
      </c>
      <c r="E1032" s="8"/>
      <c r="F1032" s="8">
        <f t="shared" si="16"/>
        <v>51558</v>
      </c>
      <c r="G1032" s="26"/>
    </row>
    <row r="1033" spans="1:7" x14ac:dyDescent="0.25">
      <c r="A1033" s="61">
        <v>42697</v>
      </c>
      <c r="B1033" s="29" t="s">
        <v>396</v>
      </c>
      <c r="C1033" s="89" t="s">
        <v>31</v>
      </c>
      <c r="D1033" s="14">
        <v>100</v>
      </c>
      <c r="E1033" s="8"/>
      <c r="F1033" s="8">
        <f t="shared" si="16"/>
        <v>51458</v>
      </c>
      <c r="G1033" s="26"/>
    </row>
    <row r="1034" spans="1:7" x14ac:dyDescent="0.25">
      <c r="A1034" s="61">
        <v>42697</v>
      </c>
      <c r="B1034" s="29" t="s">
        <v>396</v>
      </c>
      <c r="C1034" s="89" t="s">
        <v>881</v>
      </c>
      <c r="D1034" s="14">
        <v>150</v>
      </c>
      <c r="E1034" s="8"/>
      <c r="F1034" s="8">
        <f t="shared" si="16"/>
        <v>51308</v>
      </c>
      <c r="G1034" s="26"/>
    </row>
    <row r="1035" spans="1:7" x14ac:dyDescent="0.25">
      <c r="A1035" s="61">
        <v>42697</v>
      </c>
      <c r="B1035" s="29" t="s">
        <v>396</v>
      </c>
      <c r="C1035" s="89" t="s">
        <v>882</v>
      </c>
      <c r="D1035" s="14">
        <v>200</v>
      </c>
      <c r="E1035" s="8"/>
      <c r="F1035" s="8">
        <f t="shared" si="16"/>
        <v>51108</v>
      </c>
      <c r="G1035" s="26"/>
    </row>
    <row r="1036" spans="1:7" x14ac:dyDescent="0.25">
      <c r="A1036" s="61">
        <v>42697</v>
      </c>
      <c r="B1036" s="29" t="s">
        <v>396</v>
      </c>
      <c r="C1036" s="89" t="s">
        <v>859</v>
      </c>
      <c r="D1036" s="14">
        <v>250</v>
      </c>
      <c r="E1036" s="8"/>
      <c r="F1036" s="8">
        <f t="shared" si="16"/>
        <v>50858</v>
      </c>
      <c r="G1036" s="26"/>
    </row>
    <row r="1037" spans="1:7" x14ac:dyDescent="0.25">
      <c r="A1037" s="61">
        <v>42697</v>
      </c>
      <c r="B1037" s="26" t="s">
        <v>17</v>
      </c>
      <c r="C1037" s="87" t="s">
        <v>874</v>
      </c>
      <c r="D1037" s="8">
        <v>1400</v>
      </c>
      <c r="E1037" s="8"/>
      <c r="F1037" s="8">
        <f t="shared" si="16"/>
        <v>49458</v>
      </c>
      <c r="G1037" s="26"/>
    </row>
    <row r="1038" spans="1:7" x14ac:dyDescent="0.25">
      <c r="A1038" s="61">
        <v>42697</v>
      </c>
      <c r="B1038" s="29" t="s">
        <v>117</v>
      </c>
      <c r="C1038" s="89" t="s">
        <v>875</v>
      </c>
      <c r="D1038" s="14">
        <v>1140</v>
      </c>
      <c r="E1038" s="8"/>
      <c r="F1038" s="8">
        <f t="shared" si="16"/>
        <v>48318</v>
      </c>
      <c r="G1038" s="26"/>
    </row>
    <row r="1039" spans="1:7" x14ac:dyDescent="0.25">
      <c r="A1039" s="61">
        <v>42697</v>
      </c>
      <c r="B1039" s="29" t="s">
        <v>26</v>
      </c>
      <c r="C1039" s="89" t="s">
        <v>912</v>
      </c>
      <c r="D1039" s="14">
        <v>185</v>
      </c>
      <c r="E1039" s="8"/>
      <c r="F1039" s="8">
        <f t="shared" si="16"/>
        <v>48133</v>
      </c>
      <c r="G1039" s="26"/>
    </row>
    <row r="1040" spans="1:7" x14ac:dyDescent="0.25">
      <c r="A1040" s="61">
        <v>42697</v>
      </c>
      <c r="B1040" s="26" t="s">
        <v>161</v>
      </c>
      <c r="C1040" s="87" t="s">
        <v>877</v>
      </c>
      <c r="D1040" s="8">
        <v>1500</v>
      </c>
      <c r="E1040" s="8"/>
      <c r="F1040" s="8">
        <f t="shared" si="16"/>
        <v>46633</v>
      </c>
      <c r="G1040" s="26"/>
    </row>
    <row r="1041" spans="1:10" x14ac:dyDescent="0.25">
      <c r="A1041" s="61">
        <v>42698</v>
      </c>
      <c r="B1041" s="26" t="s">
        <v>26</v>
      </c>
      <c r="C1041" s="87" t="s">
        <v>878</v>
      </c>
      <c r="D1041" s="8">
        <v>2000</v>
      </c>
      <c r="E1041" s="8"/>
      <c r="F1041" s="8">
        <f t="shared" si="16"/>
        <v>44633</v>
      </c>
      <c r="G1041" s="26"/>
    </row>
    <row r="1042" spans="1:10" x14ac:dyDescent="0.25">
      <c r="A1042" s="61">
        <v>42698</v>
      </c>
      <c r="B1042" s="26" t="s">
        <v>10</v>
      </c>
      <c r="C1042" s="87" t="s">
        <v>236</v>
      </c>
      <c r="D1042" s="8">
        <v>1000</v>
      </c>
      <c r="E1042" s="8"/>
      <c r="F1042" s="8">
        <f t="shared" si="16"/>
        <v>43633</v>
      </c>
      <c r="G1042" s="26"/>
    </row>
    <row r="1043" spans="1:10" x14ac:dyDescent="0.25">
      <c r="A1043" s="61">
        <v>42698</v>
      </c>
      <c r="B1043" s="26" t="s">
        <v>26</v>
      </c>
      <c r="C1043" s="87" t="s">
        <v>888</v>
      </c>
      <c r="D1043" s="8">
        <v>15</v>
      </c>
      <c r="E1043" s="8"/>
      <c r="F1043" s="8">
        <f t="shared" si="16"/>
        <v>43618</v>
      </c>
      <c r="G1043" s="26"/>
    </row>
    <row r="1044" spans="1:10" x14ac:dyDescent="0.25">
      <c r="A1044" s="61">
        <v>42698</v>
      </c>
      <c r="B1044" s="26" t="s">
        <v>500</v>
      </c>
      <c r="C1044" s="87" t="s">
        <v>883</v>
      </c>
      <c r="D1044" s="8">
        <v>500</v>
      </c>
      <c r="E1044" s="8"/>
      <c r="F1044" s="8">
        <f t="shared" si="16"/>
        <v>43118</v>
      </c>
      <c r="G1044" s="26"/>
    </row>
    <row r="1045" spans="1:10" x14ac:dyDescent="0.25">
      <c r="A1045" s="61">
        <v>42698</v>
      </c>
      <c r="B1045" s="26" t="s">
        <v>26</v>
      </c>
      <c r="C1045" s="87" t="s">
        <v>884</v>
      </c>
      <c r="D1045" s="8">
        <v>180</v>
      </c>
      <c r="E1045" s="8"/>
      <c r="F1045" s="8">
        <f t="shared" si="16"/>
        <v>42938</v>
      </c>
      <c r="G1045" s="26"/>
    </row>
    <row r="1046" spans="1:10" x14ac:dyDescent="0.25">
      <c r="A1046" s="61">
        <v>42699</v>
      </c>
      <c r="B1046" s="26" t="s">
        <v>4</v>
      </c>
      <c r="C1046" s="87" t="s">
        <v>32</v>
      </c>
      <c r="D1046" s="8">
        <v>1000</v>
      </c>
      <c r="E1046" s="8"/>
      <c r="F1046" s="8">
        <f t="shared" si="16"/>
        <v>41938</v>
      </c>
      <c r="G1046" s="26"/>
      <c r="I1046" s="24"/>
    </row>
    <row r="1047" spans="1:10" x14ac:dyDescent="0.25">
      <c r="A1047" s="61">
        <v>42699</v>
      </c>
      <c r="B1047" s="26" t="s">
        <v>26</v>
      </c>
      <c r="C1047" s="87" t="s">
        <v>606</v>
      </c>
      <c r="D1047" s="8">
        <v>100</v>
      </c>
      <c r="E1047" s="8"/>
      <c r="F1047" s="8">
        <f t="shared" si="16"/>
        <v>41838</v>
      </c>
      <c r="G1047" s="26"/>
      <c r="I1047" s="24"/>
      <c r="J1047" s="24"/>
    </row>
    <row r="1048" spans="1:10" x14ac:dyDescent="0.25">
      <c r="A1048" s="61">
        <v>42699</v>
      </c>
      <c r="B1048" s="26" t="s">
        <v>117</v>
      </c>
      <c r="C1048" s="87" t="s">
        <v>886</v>
      </c>
      <c r="D1048" s="8">
        <v>1000</v>
      </c>
      <c r="E1048" s="8"/>
      <c r="F1048" s="8">
        <f t="shared" si="16"/>
        <v>40838</v>
      </c>
      <c r="G1048" s="26"/>
      <c r="I1048" s="24"/>
      <c r="J1048" s="24"/>
    </row>
    <row r="1049" spans="1:10" x14ac:dyDescent="0.25">
      <c r="A1049" s="61">
        <v>42699</v>
      </c>
      <c r="B1049" s="26" t="s">
        <v>43</v>
      </c>
      <c r="C1049" s="87" t="s">
        <v>887</v>
      </c>
      <c r="D1049" s="8">
        <v>1000</v>
      </c>
      <c r="E1049" s="8"/>
      <c r="F1049" s="8">
        <f t="shared" si="16"/>
        <v>39838</v>
      </c>
      <c r="G1049" s="26"/>
      <c r="I1049" s="24"/>
      <c r="J1049" s="24"/>
    </row>
    <row r="1050" spans="1:10" x14ac:dyDescent="0.25">
      <c r="A1050" s="61">
        <v>42699</v>
      </c>
      <c r="B1050" s="26" t="s">
        <v>4</v>
      </c>
      <c r="C1050" s="87" t="s">
        <v>78</v>
      </c>
      <c r="D1050" s="8">
        <v>2000</v>
      </c>
      <c r="E1050" s="8"/>
      <c r="F1050" s="8">
        <f t="shared" si="16"/>
        <v>37838</v>
      </c>
      <c r="G1050" s="26"/>
      <c r="I1050" s="24"/>
      <c r="J1050" s="24"/>
    </row>
    <row r="1051" spans="1:10" x14ac:dyDescent="0.25">
      <c r="A1051" s="61">
        <v>42699</v>
      </c>
      <c r="B1051" s="26" t="s">
        <v>40</v>
      </c>
      <c r="C1051" s="87" t="s">
        <v>896</v>
      </c>
      <c r="D1051" s="8">
        <v>4500</v>
      </c>
      <c r="E1051" s="8"/>
      <c r="F1051" s="8">
        <f t="shared" si="16"/>
        <v>33338</v>
      </c>
      <c r="G1051" s="26"/>
      <c r="I1051" s="24"/>
      <c r="J1051" s="24"/>
    </row>
    <row r="1052" spans="1:10" x14ac:dyDescent="0.25">
      <c r="A1052" s="61">
        <v>42699</v>
      </c>
      <c r="B1052" s="29" t="s">
        <v>231</v>
      </c>
      <c r="C1052" s="89" t="s">
        <v>672</v>
      </c>
      <c r="D1052" s="14">
        <v>500</v>
      </c>
      <c r="E1052" s="8"/>
      <c r="F1052" s="8">
        <f t="shared" si="16"/>
        <v>32838</v>
      </c>
      <c r="G1052" s="26"/>
      <c r="I1052" s="24"/>
      <c r="J1052" s="24"/>
    </row>
    <row r="1053" spans="1:10" x14ac:dyDescent="0.25">
      <c r="A1053" s="61">
        <v>42699</v>
      </c>
      <c r="B1053" s="26" t="s">
        <v>155</v>
      </c>
      <c r="C1053" s="87" t="s">
        <v>889</v>
      </c>
      <c r="D1053" s="8">
        <v>2000</v>
      </c>
      <c r="E1053" s="8"/>
      <c r="F1053" s="8">
        <f t="shared" si="16"/>
        <v>30838</v>
      </c>
      <c r="G1053" s="26"/>
      <c r="I1053" s="24"/>
      <c r="J1053" s="24"/>
    </row>
    <row r="1054" spans="1:10" x14ac:dyDescent="0.25">
      <c r="A1054" s="61">
        <v>42700</v>
      </c>
      <c r="B1054" s="26" t="s">
        <v>17</v>
      </c>
      <c r="C1054" s="87" t="s">
        <v>890</v>
      </c>
      <c r="D1054" s="8">
        <v>1000</v>
      </c>
      <c r="E1054" s="8"/>
      <c r="F1054" s="8">
        <f t="shared" si="16"/>
        <v>29838</v>
      </c>
      <c r="G1054" s="26"/>
      <c r="I1054" s="24"/>
      <c r="J1054" s="24"/>
    </row>
    <row r="1055" spans="1:10" x14ac:dyDescent="0.25">
      <c r="A1055" s="61">
        <v>42700</v>
      </c>
      <c r="B1055" s="26" t="s">
        <v>231</v>
      </c>
      <c r="C1055" s="87" t="s">
        <v>78</v>
      </c>
      <c r="D1055" s="8">
        <v>200</v>
      </c>
      <c r="E1055" s="8"/>
      <c r="F1055" s="8">
        <f t="shared" si="16"/>
        <v>29638</v>
      </c>
      <c r="G1055" s="26"/>
      <c r="I1055" s="24"/>
      <c r="J1055" s="24"/>
    </row>
    <row r="1056" spans="1:10" x14ac:dyDescent="0.25">
      <c r="A1056" s="61">
        <v>42700</v>
      </c>
      <c r="B1056" s="26" t="s">
        <v>778</v>
      </c>
      <c r="C1056" s="87" t="s">
        <v>891</v>
      </c>
      <c r="D1056" s="8">
        <v>4500</v>
      </c>
      <c r="E1056" s="8"/>
      <c r="F1056" s="8">
        <f t="shared" si="16"/>
        <v>25138</v>
      </c>
      <c r="G1056" s="26"/>
      <c r="I1056" s="24"/>
      <c r="J1056" s="24"/>
    </row>
    <row r="1057" spans="1:10" x14ac:dyDescent="0.25">
      <c r="A1057" s="61">
        <v>42700</v>
      </c>
      <c r="B1057" s="26" t="s">
        <v>778</v>
      </c>
      <c r="C1057" s="87" t="s">
        <v>891</v>
      </c>
      <c r="D1057" s="8">
        <v>1500</v>
      </c>
      <c r="E1057" s="8"/>
      <c r="F1057" s="8">
        <f t="shared" si="16"/>
        <v>23638</v>
      </c>
      <c r="G1057" s="26"/>
      <c r="I1057" s="24"/>
      <c r="J1057" s="24"/>
    </row>
    <row r="1058" spans="1:10" x14ac:dyDescent="0.25">
      <c r="A1058" s="61">
        <v>42700</v>
      </c>
      <c r="B1058" s="29" t="s">
        <v>28</v>
      </c>
      <c r="C1058" s="89" t="s">
        <v>892</v>
      </c>
      <c r="D1058" s="14">
        <v>550</v>
      </c>
      <c r="E1058" s="8"/>
      <c r="F1058" s="8">
        <f t="shared" si="16"/>
        <v>23088</v>
      </c>
      <c r="G1058" s="26"/>
      <c r="I1058" s="24"/>
      <c r="J1058" s="24"/>
    </row>
    <row r="1059" spans="1:10" x14ac:dyDescent="0.25">
      <c r="A1059" s="61">
        <v>42700</v>
      </c>
      <c r="B1059" s="26" t="s">
        <v>161</v>
      </c>
      <c r="C1059" s="87" t="s">
        <v>894</v>
      </c>
      <c r="D1059" s="8">
        <v>5000</v>
      </c>
      <c r="E1059" s="8"/>
      <c r="F1059" s="8">
        <f t="shared" si="16"/>
        <v>18088</v>
      </c>
      <c r="G1059" s="26"/>
      <c r="I1059" s="24"/>
      <c r="J1059" s="24"/>
    </row>
    <row r="1060" spans="1:10" x14ac:dyDescent="0.25">
      <c r="A1060" s="61">
        <v>42702</v>
      </c>
      <c r="B1060" s="462" t="s">
        <v>898</v>
      </c>
      <c r="C1060" s="463"/>
      <c r="D1060" s="71"/>
      <c r="E1060" s="58">
        <v>50000</v>
      </c>
      <c r="F1060" s="8">
        <f t="shared" si="16"/>
        <v>68088</v>
      </c>
      <c r="G1060" s="26"/>
      <c r="I1060" s="24"/>
      <c r="J1060" s="24"/>
    </row>
    <row r="1061" spans="1:10" x14ac:dyDescent="0.25">
      <c r="A1061" s="61">
        <v>42702</v>
      </c>
      <c r="B1061" s="26" t="s">
        <v>121</v>
      </c>
      <c r="C1061" s="87" t="s">
        <v>295</v>
      </c>
      <c r="D1061" s="8">
        <v>25000</v>
      </c>
      <c r="E1061" s="8"/>
      <c r="F1061" s="8">
        <f t="shared" si="16"/>
        <v>43088</v>
      </c>
      <c r="G1061" s="26"/>
      <c r="J1061" s="24"/>
    </row>
    <row r="1062" spans="1:10" x14ac:dyDescent="0.25">
      <c r="A1062" s="61">
        <v>42702</v>
      </c>
      <c r="B1062" s="26" t="s">
        <v>26</v>
      </c>
      <c r="C1062" s="87" t="s">
        <v>895</v>
      </c>
      <c r="D1062" s="8">
        <f>50+24</f>
        <v>74</v>
      </c>
      <c r="E1062" s="8"/>
      <c r="F1062" s="8">
        <f t="shared" si="16"/>
        <v>43014</v>
      </c>
      <c r="G1062" s="26"/>
    </row>
    <row r="1063" spans="1:10" x14ac:dyDescent="0.25">
      <c r="A1063" s="61">
        <v>42702</v>
      </c>
      <c r="B1063" s="26" t="s">
        <v>26</v>
      </c>
      <c r="C1063" s="87" t="s">
        <v>897</v>
      </c>
      <c r="D1063" s="8">
        <v>500</v>
      </c>
      <c r="E1063" s="8"/>
      <c r="F1063" s="8">
        <f t="shared" si="16"/>
        <v>42514</v>
      </c>
      <c r="G1063" s="26"/>
    </row>
    <row r="1064" spans="1:10" x14ac:dyDescent="0.25">
      <c r="A1064" s="61">
        <v>42702</v>
      </c>
      <c r="B1064" s="26" t="s">
        <v>105</v>
      </c>
      <c r="C1064" s="87" t="s">
        <v>32</v>
      </c>
      <c r="D1064" s="8">
        <v>1000</v>
      </c>
      <c r="E1064" s="8"/>
      <c r="F1064" s="8">
        <f t="shared" si="16"/>
        <v>41514</v>
      </c>
      <c r="G1064" s="26"/>
    </row>
    <row r="1065" spans="1:10" x14ac:dyDescent="0.25">
      <c r="A1065" s="61">
        <v>42702</v>
      </c>
      <c r="B1065" s="26" t="s">
        <v>899</v>
      </c>
      <c r="C1065" s="87" t="s">
        <v>900</v>
      </c>
      <c r="D1065" s="8">
        <v>4500</v>
      </c>
      <c r="E1065" s="8"/>
      <c r="F1065" s="8">
        <f t="shared" si="16"/>
        <v>37014</v>
      </c>
      <c r="G1065" s="26"/>
    </row>
    <row r="1066" spans="1:10" x14ac:dyDescent="0.25">
      <c r="A1066" s="61">
        <v>42702</v>
      </c>
      <c r="B1066" s="26" t="s">
        <v>26</v>
      </c>
      <c r="C1066" s="87" t="s">
        <v>920</v>
      </c>
      <c r="D1066" s="8">
        <v>120</v>
      </c>
      <c r="E1066" s="8"/>
      <c r="F1066" s="8">
        <f t="shared" si="16"/>
        <v>36894</v>
      </c>
      <c r="G1066" s="26"/>
    </row>
    <row r="1067" spans="1:10" x14ac:dyDescent="0.25">
      <c r="A1067" s="61">
        <v>42702</v>
      </c>
      <c r="B1067" s="26" t="s">
        <v>231</v>
      </c>
      <c r="C1067" s="87" t="s">
        <v>901</v>
      </c>
      <c r="D1067" s="8">
        <v>1000</v>
      </c>
      <c r="E1067" s="8"/>
      <c r="F1067" s="8">
        <f t="shared" si="16"/>
        <v>35894</v>
      </c>
      <c r="G1067" s="26"/>
    </row>
    <row r="1068" spans="1:10" x14ac:dyDescent="0.25">
      <c r="A1068" s="61">
        <v>42702</v>
      </c>
      <c r="B1068" s="26" t="s">
        <v>902</v>
      </c>
      <c r="C1068" s="26" t="s">
        <v>903</v>
      </c>
      <c r="D1068" s="8">
        <v>3250</v>
      </c>
      <c r="E1068" s="8"/>
      <c r="F1068" s="8">
        <f t="shared" si="16"/>
        <v>32644</v>
      </c>
      <c r="G1068" s="26"/>
    </row>
    <row r="1069" spans="1:10" x14ac:dyDescent="0.25">
      <c r="A1069" s="61">
        <v>42702</v>
      </c>
      <c r="B1069" s="26" t="s">
        <v>26</v>
      </c>
      <c r="C1069" s="26" t="s">
        <v>909</v>
      </c>
      <c r="D1069" s="8">
        <v>25</v>
      </c>
      <c r="E1069" s="8"/>
      <c r="F1069" s="8">
        <f t="shared" si="16"/>
        <v>32619</v>
      </c>
      <c r="G1069" s="26"/>
    </row>
    <row r="1070" spans="1:10" x14ac:dyDescent="0.25">
      <c r="A1070" s="61">
        <v>42703</v>
      </c>
      <c r="B1070" s="26" t="s">
        <v>4</v>
      </c>
      <c r="C1070" s="26" t="s">
        <v>32</v>
      </c>
      <c r="D1070" s="8">
        <v>500</v>
      </c>
      <c r="E1070" s="8"/>
      <c r="F1070" s="8">
        <f t="shared" si="16"/>
        <v>32119</v>
      </c>
      <c r="G1070" s="26"/>
    </row>
    <row r="1071" spans="1:10" x14ac:dyDescent="0.25">
      <c r="A1071" s="61">
        <v>42703</v>
      </c>
      <c r="B1071" s="26" t="s">
        <v>161</v>
      </c>
      <c r="C1071" s="26" t="s">
        <v>904</v>
      </c>
      <c r="D1071" s="8">
        <v>2000</v>
      </c>
      <c r="E1071" s="8"/>
      <c r="F1071" s="8">
        <f t="shared" si="16"/>
        <v>30119</v>
      </c>
      <c r="G1071" s="26"/>
    </row>
    <row r="1072" spans="1:10" x14ac:dyDescent="0.25">
      <c r="A1072" s="61">
        <v>42703</v>
      </c>
      <c r="B1072" s="26" t="s">
        <v>28</v>
      </c>
      <c r="C1072" s="26" t="s">
        <v>78</v>
      </c>
      <c r="D1072" s="8">
        <v>20</v>
      </c>
      <c r="E1072" s="8"/>
      <c r="F1072" s="8">
        <f t="shared" si="16"/>
        <v>30099</v>
      </c>
      <c r="G1072" s="26"/>
    </row>
    <row r="1073" spans="1:7" x14ac:dyDescent="0.25">
      <c r="A1073" s="61">
        <v>42703</v>
      </c>
      <c r="B1073" s="26" t="s">
        <v>542</v>
      </c>
      <c r="C1073" s="26" t="s">
        <v>32</v>
      </c>
      <c r="D1073" s="8">
        <v>5000</v>
      </c>
      <c r="E1073" s="8"/>
      <c r="F1073" s="8">
        <f t="shared" si="16"/>
        <v>25099</v>
      </c>
      <c r="G1073" s="26"/>
    </row>
    <row r="1074" spans="1:7" x14ac:dyDescent="0.25">
      <c r="A1074" s="61">
        <v>42703</v>
      </c>
      <c r="B1074" s="26" t="s">
        <v>117</v>
      </c>
      <c r="C1074" s="26" t="s">
        <v>906</v>
      </c>
      <c r="D1074" s="8">
        <v>3000</v>
      </c>
      <c r="E1074" s="8"/>
      <c r="F1074" s="8">
        <f t="shared" si="16"/>
        <v>22099</v>
      </c>
      <c r="G1074" s="26"/>
    </row>
    <row r="1075" spans="1:7" x14ac:dyDescent="0.25">
      <c r="A1075" s="61">
        <v>42703</v>
      </c>
      <c r="B1075" s="462" t="s">
        <v>922</v>
      </c>
      <c r="C1075" s="463"/>
      <c r="D1075" s="71"/>
      <c r="E1075" s="58">
        <v>50000</v>
      </c>
      <c r="F1075" s="8">
        <f t="shared" si="16"/>
        <v>72099</v>
      </c>
      <c r="G1075" s="26"/>
    </row>
    <row r="1076" spans="1:7" x14ac:dyDescent="0.25">
      <c r="A1076" s="61">
        <v>42705</v>
      </c>
      <c r="B1076" s="26" t="s">
        <v>161</v>
      </c>
      <c r="C1076" s="26" t="s">
        <v>994</v>
      </c>
      <c r="D1076" s="8">
        <v>25000</v>
      </c>
      <c r="E1076" s="8"/>
      <c r="F1076" s="8">
        <f t="shared" si="16"/>
        <v>47099</v>
      </c>
      <c r="G1076" s="26"/>
    </row>
    <row r="1077" spans="1:7" x14ac:dyDescent="0.25">
      <c r="A1077" s="61">
        <v>42705</v>
      </c>
      <c r="B1077" s="29" t="s">
        <v>905</v>
      </c>
      <c r="C1077" s="29" t="s">
        <v>908</v>
      </c>
      <c r="D1077" s="14">
        <v>1630</v>
      </c>
      <c r="E1077" s="8"/>
      <c r="F1077" s="8">
        <f t="shared" si="16"/>
        <v>45469</v>
      </c>
      <c r="G1077" s="26"/>
    </row>
    <row r="1078" spans="1:7" x14ac:dyDescent="0.25">
      <c r="A1078" s="61">
        <v>42705</v>
      </c>
      <c r="B1078" s="26" t="s">
        <v>26</v>
      </c>
      <c r="C1078" s="26" t="s">
        <v>907</v>
      </c>
      <c r="D1078" s="8">
        <v>850</v>
      </c>
      <c r="E1078" s="8"/>
      <c r="F1078" s="8">
        <f t="shared" si="16"/>
        <v>44619</v>
      </c>
      <c r="G1078" s="26"/>
    </row>
    <row r="1079" spans="1:7" x14ac:dyDescent="0.25">
      <c r="A1079" s="61">
        <v>42705</v>
      </c>
      <c r="B1079" s="26" t="s">
        <v>26</v>
      </c>
      <c r="C1079" s="26" t="s">
        <v>910</v>
      </c>
      <c r="D1079" s="8">
        <v>140</v>
      </c>
      <c r="E1079" s="8"/>
      <c r="F1079" s="8">
        <f t="shared" si="16"/>
        <v>44479</v>
      </c>
      <c r="G1079" s="26"/>
    </row>
    <row r="1080" spans="1:7" x14ac:dyDescent="0.25">
      <c r="A1080" s="61">
        <v>42705</v>
      </c>
      <c r="B1080" s="26" t="s">
        <v>54</v>
      </c>
      <c r="C1080" s="26" t="s">
        <v>911</v>
      </c>
      <c r="D1080" s="8">
        <v>150</v>
      </c>
      <c r="E1080" s="8"/>
      <c r="F1080" s="8">
        <f t="shared" si="16"/>
        <v>44329</v>
      </c>
      <c r="G1080" s="26"/>
    </row>
    <row r="1081" spans="1:7" x14ac:dyDescent="0.25">
      <c r="A1081" s="61">
        <v>42705</v>
      </c>
      <c r="B1081" s="29" t="s">
        <v>396</v>
      </c>
      <c r="C1081" s="29" t="s">
        <v>913</v>
      </c>
      <c r="D1081" s="14">
        <v>200</v>
      </c>
      <c r="E1081" s="8"/>
      <c r="F1081" s="8">
        <f t="shared" si="16"/>
        <v>44129</v>
      </c>
      <c r="G1081" s="26"/>
    </row>
    <row r="1082" spans="1:7" x14ac:dyDescent="0.25">
      <c r="A1082" s="61">
        <v>42705</v>
      </c>
      <c r="F1082" s="8">
        <f t="shared" si="16"/>
        <v>44129</v>
      </c>
      <c r="G1082" s="26"/>
    </row>
    <row r="1083" spans="1:7" x14ac:dyDescent="0.25">
      <c r="A1083" s="61">
        <v>42705</v>
      </c>
      <c r="B1083" s="172" t="s">
        <v>923</v>
      </c>
      <c r="C1083" s="173"/>
      <c r="D1083" s="71"/>
      <c r="E1083" s="58">
        <v>50000</v>
      </c>
      <c r="F1083" s="8">
        <f t="shared" si="16"/>
        <v>94129</v>
      </c>
      <c r="G1083" s="26"/>
    </row>
    <row r="1084" spans="1:7" x14ac:dyDescent="0.25">
      <c r="A1084" s="61">
        <v>42705</v>
      </c>
      <c r="B1084" s="26" t="s">
        <v>28</v>
      </c>
      <c r="C1084" s="26" t="s">
        <v>32</v>
      </c>
      <c r="D1084" s="14">
        <v>3500</v>
      </c>
      <c r="E1084" s="8"/>
      <c r="F1084" s="8">
        <f t="shared" si="16"/>
        <v>90629</v>
      </c>
      <c r="G1084" s="26"/>
    </row>
    <row r="1085" spans="1:7" x14ac:dyDescent="0.25">
      <c r="A1085" s="61">
        <v>42705</v>
      </c>
      <c r="B1085" s="197" t="s">
        <v>71</v>
      </c>
      <c r="C1085" s="197"/>
      <c r="D1085" s="14">
        <v>1000</v>
      </c>
      <c r="E1085" s="8"/>
      <c r="F1085" s="8">
        <f t="shared" si="16"/>
        <v>89629</v>
      </c>
      <c r="G1085" s="26"/>
    </row>
    <row r="1086" spans="1:7" x14ac:dyDescent="0.25">
      <c r="A1086" s="61">
        <v>42705</v>
      </c>
      <c r="B1086" s="29" t="s">
        <v>446</v>
      </c>
      <c r="C1086" s="29" t="s">
        <v>926</v>
      </c>
      <c r="D1086" s="14">
        <v>13600</v>
      </c>
      <c r="E1086" s="8"/>
      <c r="F1086" s="8">
        <f t="shared" si="16"/>
        <v>76029</v>
      </c>
      <c r="G1086" s="26"/>
    </row>
    <row r="1087" spans="1:7" x14ac:dyDescent="0.25">
      <c r="A1087" s="61">
        <v>42705</v>
      </c>
      <c r="B1087" s="29" t="s">
        <v>446</v>
      </c>
      <c r="C1087" s="29" t="s">
        <v>927</v>
      </c>
      <c r="D1087" s="14">
        <v>19740</v>
      </c>
      <c r="E1087" s="8"/>
      <c r="F1087" s="8">
        <f t="shared" si="16"/>
        <v>56289</v>
      </c>
      <c r="G1087" s="26"/>
    </row>
    <row r="1088" spans="1:7" x14ac:dyDescent="0.25">
      <c r="A1088" s="61">
        <v>42705</v>
      </c>
      <c r="B1088" s="29" t="s">
        <v>914</v>
      </c>
      <c r="C1088" s="29" t="s">
        <v>56</v>
      </c>
      <c r="D1088" s="14">
        <v>20000</v>
      </c>
      <c r="E1088" s="8"/>
      <c r="F1088" s="8">
        <f t="shared" si="16"/>
        <v>36289</v>
      </c>
      <c r="G1088" s="26"/>
    </row>
    <row r="1089" spans="1:7" x14ac:dyDescent="0.25">
      <c r="A1089" s="61">
        <v>42705</v>
      </c>
      <c r="B1089" s="26" t="s">
        <v>283</v>
      </c>
      <c r="C1089" s="26" t="s">
        <v>41</v>
      </c>
      <c r="D1089" s="8">
        <v>10000</v>
      </c>
      <c r="E1089" s="8"/>
      <c r="F1089" s="8">
        <f t="shared" si="16"/>
        <v>26289</v>
      </c>
      <c r="G1089" s="26"/>
    </row>
    <row r="1090" spans="1:7" x14ac:dyDescent="0.25">
      <c r="A1090" s="61">
        <v>42706</v>
      </c>
      <c r="B1090" s="462" t="s">
        <v>921</v>
      </c>
      <c r="C1090" s="463"/>
      <c r="D1090" s="71"/>
      <c r="E1090" s="58">
        <v>25000</v>
      </c>
      <c r="F1090" s="8">
        <f t="shared" si="16"/>
        <v>51289</v>
      </c>
      <c r="G1090" s="26"/>
    </row>
    <row r="1091" spans="1:7" x14ac:dyDescent="0.25">
      <c r="A1091" s="61">
        <v>42706</v>
      </c>
      <c r="B1091" s="26" t="s">
        <v>915</v>
      </c>
      <c r="C1091" s="26" t="s">
        <v>41</v>
      </c>
      <c r="D1091" s="8">
        <v>20000</v>
      </c>
      <c r="E1091" s="8"/>
      <c r="F1091" s="8">
        <f t="shared" ref="F1091:F1154" si="17">F1090-D1091+E1091</f>
        <v>31289</v>
      </c>
      <c r="G1091" s="26"/>
    </row>
    <row r="1092" spans="1:7" x14ac:dyDescent="0.25">
      <c r="A1092" s="61">
        <v>42706</v>
      </c>
      <c r="B1092" s="29" t="s">
        <v>231</v>
      </c>
      <c r="C1092" s="29" t="s">
        <v>31</v>
      </c>
      <c r="D1092" s="14">
        <v>50</v>
      </c>
      <c r="E1092" s="8"/>
      <c r="F1092" s="8">
        <f t="shared" si="17"/>
        <v>31239</v>
      </c>
      <c r="G1092" s="26"/>
    </row>
    <row r="1093" spans="1:7" x14ac:dyDescent="0.25">
      <c r="A1093" s="61">
        <v>42706</v>
      </c>
      <c r="B1093" s="26" t="s">
        <v>26</v>
      </c>
      <c r="C1093" s="26" t="s">
        <v>916</v>
      </c>
      <c r="D1093" s="8">
        <v>1500</v>
      </c>
      <c r="E1093" s="8"/>
      <c r="F1093" s="8">
        <f t="shared" si="17"/>
        <v>29739</v>
      </c>
      <c r="G1093" s="26"/>
    </row>
    <row r="1094" spans="1:7" x14ac:dyDescent="0.25">
      <c r="A1094" s="61">
        <v>42706</v>
      </c>
      <c r="B1094" s="26" t="s">
        <v>778</v>
      </c>
      <c r="C1094" s="26" t="s">
        <v>917</v>
      </c>
      <c r="D1094" s="8">
        <v>3000</v>
      </c>
      <c r="E1094" s="8"/>
      <c r="F1094" s="8">
        <f t="shared" si="17"/>
        <v>26739</v>
      </c>
      <c r="G1094" s="26"/>
    </row>
    <row r="1095" spans="1:7" ht="30" x14ac:dyDescent="0.25">
      <c r="A1095" s="201">
        <v>42706</v>
      </c>
      <c r="B1095" s="194" t="s">
        <v>121</v>
      </c>
      <c r="C1095" s="195" t="s">
        <v>1031</v>
      </c>
      <c r="D1095" s="74"/>
      <c r="E1095" s="74"/>
      <c r="F1095" s="8">
        <f t="shared" si="17"/>
        <v>26739</v>
      </c>
      <c r="G1095" s="194"/>
    </row>
    <row r="1096" spans="1:7" ht="30" x14ac:dyDescent="0.25">
      <c r="A1096" s="61">
        <v>42706</v>
      </c>
      <c r="B1096" s="26" t="s">
        <v>918</v>
      </c>
      <c r="C1096" s="87" t="s">
        <v>919</v>
      </c>
      <c r="D1096" s="8">
        <v>820</v>
      </c>
      <c r="E1096" s="8"/>
      <c r="F1096" s="8">
        <f t="shared" si="17"/>
        <v>25919</v>
      </c>
      <c r="G1096" s="26"/>
    </row>
    <row r="1097" spans="1:7" x14ac:dyDescent="0.25">
      <c r="A1097" s="61">
        <v>42706</v>
      </c>
      <c r="B1097" s="29" t="s">
        <v>231</v>
      </c>
      <c r="C1097" s="29" t="s">
        <v>1021</v>
      </c>
      <c r="D1097" s="14">
        <v>3000</v>
      </c>
      <c r="E1097" s="8"/>
      <c r="F1097" s="8">
        <f t="shared" si="17"/>
        <v>22919</v>
      </c>
      <c r="G1097" s="26"/>
    </row>
    <row r="1098" spans="1:7" x14ac:dyDescent="0.25">
      <c r="A1098" s="61">
        <v>42706</v>
      </c>
      <c r="B1098" s="29" t="s">
        <v>231</v>
      </c>
      <c r="C1098" s="29" t="s">
        <v>977</v>
      </c>
      <c r="D1098" s="14">
        <v>7000</v>
      </c>
      <c r="E1098" s="8"/>
      <c r="F1098" s="8">
        <f t="shared" si="17"/>
        <v>15919</v>
      </c>
      <c r="G1098" s="26"/>
    </row>
    <row r="1099" spans="1:7" x14ac:dyDescent="0.25">
      <c r="A1099" s="61">
        <v>42706</v>
      </c>
      <c r="B1099" s="29" t="s">
        <v>231</v>
      </c>
      <c r="C1099" s="29" t="s">
        <v>978</v>
      </c>
      <c r="D1099" s="14">
        <v>500</v>
      </c>
      <c r="E1099" s="8"/>
      <c r="F1099" s="8">
        <f t="shared" si="17"/>
        <v>15419</v>
      </c>
      <c r="G1099" s="26"/>
    </row>
    <row r="1100" spans="1:7" x14ac:dyDescent="0.25">
      <c r="A1100" s="61">
        <v>42706</v>
      </c>
      <c r="B1100" s="29" t="s">
        <v>231</v>
      </c>
      <c r="C1100" s="29" t="s">
        <v>979</v>
      </c>
      <c r="D1100" s="14">
        <v>500</v>
      </c>
      <c r="E1100" s="8"/>
      <c r="F1100" s="8">
        <f t="shared" si="17"/>
        <v>14919</v>
      </c>
      <c r="G1100" s="26"/>
    </row>
    <row r="1101" spans="1:7" x14ac:dyDescent="0.25">
      <c r="A1101" s="61">
        <v>42706</v>
      </c>
      <c r="B1101" s="29" t="s">
        <v>231</v>
      </c>
      <c r="C1101" s="29" t="s">
        <v>980</v>
      </c>
      <c r="D1101" s="14">
        <v>100</v>
      </c>
      <c r="E1101" s="8"/>
      <c r="F1101" s="8">
        <f t="shared" si="17"/>
        <v>14819</v>
      </c>
      <c r="G1101" s="26"/>
    </row>
    <row r="1102" spans="1:7" x14ac:dyDescent="0.25">
      <c r="A1102" s="61">
        <v>42706</v>
      </c>
      <c r="B1102" s="29" t="s">
        <v>231</v>
      </c>
      <c r="C1102" s="29" t="s">
        <v>981</v>
      </c>
      <c r="D1102" s="14">
        <v>100</v>
      </c>
      <c r="E1102" s="8"/>
      <c r="F1102" s="8">
        <f t="shared" si="17"/>
        <v>14719</v>
      </c>
      <c r="G1102" s="26"/>
    </row>
    <row r="1103" spans="1:7" x14ac:dyDescent="0.25">
      <c r="A1103" s="61">
        <v>42706</v>
      </c>
      <c r="B1103" s="26" t="s">
        <v>542</v>
      </c>
      <c r="C1103" s="26" t="s">
        <v>925</v>
      </c>
      <c r="D1103" s="8">
        <v>5000</v>
      </c>
      <c r="E1103" s="8"/>
      <c r="F1103" s="8">
        <f t="shared" si="17"/>
        <v>9719</v>
      </c>
      <c r="G1103" s="26"/>
    </row>
    <row r="1104" spans="1:7" x14ac:dyDescent="0.25">
      <c r="A1104" s="61">
        <v>42706</v>
      </c>
      <c r="B1104" s="26" t="s">
        <v>26</v>
      </c>
      <c r="C1104" s="26" t="s">
        <v>924</v>
      </c>
      <c r="D1104" s="8">
        <v>50</v>
      </c>
      <c r="E1104" s="8"/>
      <c r="F1104" s="8">
        <f t="shared" si="17"/>
        <v>9669</v>
      </c>
      <c r="G1104" s="26"/>
    </row>
    <row r="1105" spans="1:7" x14ac:dyDescent="0.25">
      <c r="A1105" s="61">
        <v>42707</v>
      </c>
      <c r="B1105" s="29" t="s">
        <v>248</v>
      </c>
      <c r="C1105" s="29" t="s">
        <v>1009</v>
      </c>
      <c r="D1105" s="14">
        <v>140</v>
      </c>
      <c r="E1105" s="14"/>
      <c r="F1105" s="8">
        <f t="shared" si="17"/>
        <v>9529</v>
      </c>
      <c r="G1105" s="26"/>
    </row>
    <row r="1106" spans="1:7" x14ac:dyDescent="0.25">
      <c r="A1106" s="61">
        <v>42707</v>
      </c>
      <c r="B1106" s="26" t="s">
        <v>117</v>
      </c>
      <c r="C1106" s="26" t="s">
        <v>670</v>
      </c>
      <c r="D1106" s="8">
        <v>2000</v>
      </c>
      <c r="E1106" s="8"/>
      <c r="F1106" s="8">
        <f t="shared" si="17"/>
        <v>7529</v>
      </c>
      <c r="G1106" s="26"/>
    </row>
    <row r="1107" spans="1:7" x14ac:dyDescent="0.25">
      <c r="A1107" s="61">
        <v>42707</v>
      </c>
      <c r="B1107" s="26" t="s">
        <v>446</v>
      </c>
      <c r="C1107" s="26" t="s">
        <v>32</v>
      </c>
      <c r="D1107" s="8">
        <v>660</v>
      </c>
      <c r="E1107" s="8"/>
      <c r="F1107" s="8">
        <f t="shared" si="17"/>
        <v>6869</v>
      </c>
      <c r="G1107" s="26"/>
    </row>
    <row r="1108" spans="1:7" x14ac:dyDescent="0.25">
      <c r="A1108" s="61">
        <v>42707</v>
      </c>
      <c r="B1108" s="26" t="s">
        <v>26</v>
      </c>
      <c r="C1108" s="26" t="s">
        <v>928</v>
      </c>
      <c r="D1108" s="8">
        <v>40</v>
      </c>
      <c r="E1108" s="8"/>
      <c r="F1108" s="8">
        <f t="shared" si="17"/>
        <v>6829</v>
      </c>
      <c r="G1108" s="26"/>
    </row>
    <row r="1109" spans="1:7" x14ac:dyDescent="0.25">
      <c r="A1109" s="61">
        <v>42707</v>
      </c>
      <c r="B1109" s="26" t="s">
        <v>26</v>
      </c>
      <c r="C1109" s="26" t="s">
        <v>934</v>
      </c>
      <c r="D1109" s="8">
        <v>70</v>
      </c>
      <c r="E1109" s="8"/>
      <c r="F1109" s="8">
        <f t="shared" si="17"/>
        <v>6759</v>
      </c>
      <c r="G1109" s="26"/>
    </row>
    <row r="1110" spans="1:7" x14ac:dyDescent="0.25">
      <c r="A1110" s="61">
        <v>42709</v>
      </c>
      <c r="B1110" s="26" t="s">
        <v>61</v>
      </c>
      <c r="C1110" s="26" t="s">
        <v>32</v>
      </c>
      <c r="D1110" s="8">
        <v>1500</v>
      </c>
      <c r="E1110" s="8"/>
      <c r="F1110" s="8">
        <f t="shared" si="17"/>
        <v>5259</v>
      </c>
      <c r="G1110" s="26"/>
    </row>
    <row r="1111" spans="1:7" x14ac:dyDescent="0.25">
      <c r="A1111" s="61">
        <v>42709</v>
      </c>
      <c r="B1111" s="26" t="s">
        <v>231</v>
      </c>
      <c r="C1111" s="26" t="s">
        <v>929</v>
      </c>
      <c r="D1111" s="8">
        <v>100</v>
      </c>
      <c r="E1111" s="8"/>
      <c r="F1111" s="8">
        <f t="shared" si="17"/>
        <v>5159</v>
      </c>
      <c r="G1111" s="26"/>
    </row>
    <row r="1112" spans="1:7" ht="30" x14ac:dyDescent="0.25">
      <c r="A1112" s="61">
        <v>42709</v>
      </c>
      <c r="B1112" s="26" t="s">
        <v>26</v>
      </c>
      <c r="C1112" s="87" t="s">
        <v>930</v>
      </c>
      <c r="D1112" s="8">
        <v>500</v>
      </c>
      <c r="E1112" s="8"/>
      <c r="F1112" s="8">
        <f t="shared" si="17"/>
        <v>4659</v>
      </c>
      <c r="G1112" s="26"/>
    </row>
    <row r="1113" spans="1:7" ht="30" x14ac:dyDescent="0.25">
      <c r="A1113" s="61">
        <v>42709</v>
      </c>
      <c r="B1113" s="29" t="s">
        <v>231</v>
      </c>
      <c r="C1113" s="89" t="s">
        <v>937</v>
      </c>
      <c r="D1113" s="14">
        <v>2200</v>
      </c>
      <c r="E1113" s="8"/>
      <c r="F1113" s="8">
        <f t="shared" si="17"/>
        <v>2459</v>
      </c>
      <c r="G1113" s="26"/>
    </row>
    <row r="1114" spans="1:7" x14ac:dyDescent="0.25">
      <c r="A1114" s="61">
        <v>42709</v>
      </c>
      <c r="B1114" s="26" t="s">
        <v>840</v>
      </c>
      <c r="C1114" s="26" t="s">
        <v>931</v>
      </c>
      <c r="D1114" s="8">
        <v>300</v>
      </c>
      <c r="E1114" s="8"/>
      <c r="F1114" s="8">
        <f t="shared" si="17"/>
        <v>2159</v>
      </c>
      <c r="G1114" s="26"/>
    </row>
    <row r="1115" spans="1:7" x14ac:dyDescent="0.25">
      <c r="A1115" s="61">
        <v>42709</v>
      </c>
      <c r="B1115" s="26" t="s">
        <v>26</v>
      </c>
      <c r="C1115" s="26" t="s">
        <v>935</v>
      </c>
      <c r="D1115" s="8">
        <v>250</v>
      </c>
      <c r="E1115" s="8"/>
      <c r="F1115" s="8">
        <f t="shared" si="17"/>
        <v>1909</v>
      </c>
      <c r="G1115" s="26"/>
    </row>
    <row r="1116" spans="1:7" x14ac:dyDescent="0.25">
      <c r="A1116" s="61">
        <v>42710</v>
      </c>
      <c r="B1116" s="26" t="s">
        <v>10</v>
      </c>
      <c r="C1116" s="26" t="s">
        <v>991</v>
      </c>
      <c r="D1116" s="8">
        <v>1000</v>
      </c>
      <c r="E1116" s="8"/>
      <c r="F1116" s="8">
        <f t="shared" si="17"/>
        <v>909</v>
      </c>
      <c r="G1116" s="26"/>
    </row>
    <row r="1117" spans="1:7" x14ac:dyDescent="0.25">
      <c r="A1117" s="61">
        <v>42711</v>
      </c>
      <c r="B1117" s="26" t="s">
        <v>26</v>
      </c>
      <c r="C1117" s="26" t="s">
        <v>932</v>
      </c>
      <c r="D1117" s="8">
        <v>45</v>
      </c>
      <c r="E1117" s="8"/>
      <c r="F1117" s="8">
        <f t="shared" si="17"/>
        <v>864</v>
      </c>
      <c r="G1117" s="26"/>
    </row>
    <row r="1118" spans="1:7" x14ac:dyDescent="0.25">
      <c r="A1118" s="61">
        <v>42711</v>
      </c>
      <c r="B1118" s="26" t="s">
        <v>26</v>
      </c>
      <c r="C1118" s="26" t="s">
        <v>933</v>
      </c>
      <c r="D1118" s="8">
        <v>50</v>
      </c>
      <c r="E1118" s="8"/>
      <c r="F1118" s="8">
        <f t="shared" si="17"/>
        <v>814</v>
      </c>
      <c r="G1118" s="26"/>
    </row>
    <row r="1119" spans="1:7" x14ac:dyDescent="0.25">
      <c r="A1119" s="61">
        <v>42711</v>
      </c>
      <c r="B1119" s="26" t="s">
        <v>26</v>
      </c>
      <c r="C1119" s="26" t="s">
        <v>606</v>
      </c>
      <c r="D1119" s="8">
        <v>20</v>
      </c>
      <c r="E1119" s="8"/>
      <c r="F1119" s="8">
        <f t="shared" si="17"/>
        <v>794</v>
      </c>
      <c r="G1119" s="26"/>
    </row>
    <row r="1120" spans="1:7" x14ac:dyDescent="0.25">
      <c r="A1120" s="61">
        <v>42711</v>
      </c>
      <c r="B1120" s="26" t="s">
        <v>117</v>
      </c>
      <c r="C1120" s="26" t="s">
        <v>936</v>
      </c>
      <c r="D1120" s="8">
        <v>100</v>
      </c>
      <c r="E1120" s="8"/>
      <c r="F1120" s="8">
        <f t="shared" si="17"/>
        <v>694</v>
      </c>
      <c r="G1120" s="26"/>
    </row>
    <row r="1121" spans="1:7" x14ac:dyDescent="0.25">
      <c r="A1121" s="61">
        <v>42711</v>
      </c>
      <c r="B1121" s="462" t="s">
        <v>938</v>
      </c>
      <c r="C1121" s="463"/>
      <c r="D1121" s="71"/>
      <c r="E1121" s="58">
        <v>15000</v>
      </c>
      <c r="F1121" s="8">
        <f t="shared" si="17"/>
        <v>15694</v>
      </c>
      <c r="G1121" s="26"/>
    </row>
    <row r="1122" spans="1:7" x14ac:dyDescent="0.25">
      <c r="A1122" s="61">
        <v>42711</v>
      </c>
      <c r="B1122" s="172" t="s">
        <v>939</v>
      </c>
      <c r="C1122" s="173"/>
      <c r="D1122" s="71"/>
      <c r="E1122" s="58">
        <v>2418</v>
      </c>
      <c r="F1122" s="8">
        <f t="shared" si="17"/>
        <v>18112</v>
      </c>
      <c r="G1122" s="26"/>
    </row>
    <row r="1123" spans="1:7" x14ac:dyDescent="0.25">
      <c r="A1123" s="61">
        <v>42711</v>
      </c>
      <c r="B1123" s="29" t="s">
        <v>569</v>
      </c>
      <c r="C1123" s="29" t="s">
        <v>32</v>
      </c>
      <c r="D1123" s="14">
        <v>500</v>
      </c>
      <c r="E1123" s="8"/>
      <c r="F1123" s="8">
        <f t="shared" si="17"/>
        <v>17612</v>
      </c>
      <c r="G1123" s="26"/>
    </row>
    <row r="1124" spans="1:7" x14ac:dyDescent="0.25">
      <c r="A1124" s="61">
        <v>42711</v>
      </c>
      <c r="B1124" s="26" t="s">
        <v>5</v>
      </c>
      <c r="C1124" s="26" t="s">
        <v>32</v>
      </c>
      <c r="D1124" s="8">
        <v>8000</v>
      </c>
      <c r="E1124" s="8"/>
      <c r="F1124" s="8">
        <f t="shared" si="17"/>
        <v>9612</v>
      </c>
      <c r="G1124" s="26"/>
    </row>
    <row r="1125" spans="1:7" x14ac:dyDescent="0.25">
      <c r="A1125" s="61">
        <v>42711</v>
      </c>
      <c r="B1125" s="26" t="s">
        <v>26</v>
      </c>
      <c r="C1125" s="26" t="s">
        <v>940</v>
      </c>
      <c r="D1125" s="8">
        <v>1000</v>
      </c>
      <c r="E1125" s="8"/>
      <c r="F1125" s="8">
        <f t="shared" si="17"/>
        <v>8612</v>
      </c>
      <c r="G1125" s="26"/>
    </row>
    <row r="1126" spans="1:7" ht="30" x14ac:dyDescent="0.25">
      <c r="A1126" s="61">
        <v>42711</v>
      </c>
      <c r="B1126" s="29" t="s">
        <v>231</v>
      </c>
      <c r="C1126" s="89" t="s">
        <v>945</v>
      </c>
      <c r="D1126" s="14">
        <v>2200</v>
      </c>
      <c r="E1126" s="8"/>
      <c r="F1126" s="8">
        <f t="shared" si="17"/>
        <v>6412</v>
      </c>
      <c r="G1126" s="26"/>
    </row>
    <row r="1127" spans="1:7" x14ac:dyDescent="0.25">
      <c r="A1127" s="61">
        <v>42711</v>
      </c>
      <c r="B1127" s="29" t="s">
        <v>650</v>
      </c>
      <c r="C1127" s="29" t="s">
        <v>41</v>
      </c>
      <c r="D1127" s="14">
        <v>1400</v>
      </c>
      <c r="E1127" s="14"/>
      <c r="F1127" s="8">
        <f t="shared" si="17"/>
        <v>5012</v>
      </c>
      <c r="G1127" s="26"/>
    </row>
    <row r="1128" spans="1:7" x14ac:dyDescent="0.25">
      <c r="A1128" s="61">
        <v>42711</v>
      </c>
      <c r="B1128" s="29" t="s">
        <v>4</v>
      </c>
      <c r="C1128" s="89" t="s">
        <v>944</v>
      </c>
      <c r="D1128" s="14">
        <v>250</v>
      </c>
      <c r="E1128" s="14"/>
      <c r="F1128" s="8">
        <f t="shared" si="17"/>
        <v>4762</v>
      </c>
      <c r="G1128" s="26"/>
    </row>
    <row r="1129" spans="1:7" x14ac:dyDescent="0.25">
      <c r="A1129" s="61">
        <v>42712</v>
      </c>
      <c r="B1129" s="26" t="s">
        <v>396</v>
      </c>
      <c r="C1129" s="26" t="s">
        <v>859</v>
      </c>
      <c r="D1129" s="8">
        <v>200</v>
      </c>
      <c r="E1129" s="8"/>
      <c r="F1129" s="8">
        <f t="shared" si="17"/>
        <v>4562</v>
      </c>
      <c r="G1129" s="26"/>
    </row>
    <row r="1130" spans="1:7" x14ac:dyDescent="0.25">
      <c r="A1130" s="61">
        <v>42712</v>
      </c>
      <c r="B1130" s="26" t="s">
        <v>40</v>
      </c>
      <c r="C1130" s="26" t="s">
        <v>32</v>
      </c>
      <c r="D1130" s="8">
        <v>1720</v>
      </c>
      <c r="E1130" s="8"/>
      <c r="F1130" s="8">
        <f t="shared" si="17"/>
        <v>2842</v>
      </c>
      <c r="G1130" s="26"/>
    </row>
    <row r="1131" spans="1:7" x14ac:dyDescent="0.25">
      <c r="A1131" s="61">
        <v>42712</v>
      </c>
      <c r="B1131" s="462" t="s">
        <v>953</v>
      </c>
      <c r="C1131" s="463"/>
      <c r="D1131" s="71"/>
      <c r="E1131" s="58">
        <v>25000</v>
      </c>
      <c r="F1131" s="8">
        <f t="shared" si="17"/>
        <v>27842</v>
      </c>
      <c r="G1131" s="26"/>
    </row>
    <row r="1132" spans="1:7" x14ac:dyDescent="0.25">
      <c r="A1132" s="61">
        <v>42712</v>
      </c>
      <c r="B1132" s="26" t="s">
        <v>26</v>
      </c>
      <c r="C1132" s="26" t="s">
        <v>941</v>
      </c>
      <c r="D1132" s="8">
        <v>490</v>
      </c>
      <c r="E1132" s="8"/>
      <c r="F1132" s="8">
        <f t="shared" si="17"/>
        <v>27352</v>
      </c>
      <c r="G1132" s="26"/>
    </row>
    <row r="1133" spans="1:7" x14ac:dyDescent="0.25">
      <c r="A1133" s="61">
        <v>42712</v>
      </c>
      <c r="B1133" s="26" t="s">
        <v>26</v>
      </c>
      <c r="C1133" s="26" t="s">
        <v>942</v>
      </c>
      <c r="D1133" s="8">
        <v>370</v>
      </c>
      <c r="E1133" s="8"/>
      <c r="F1133" s="8">
        <f t="shared" si="17"/>
        <v>26982</v>
      </c>
      <c r="G1133" s="26"/>
    </row>
    <row r="1134" spans="1:7" x14ac:dyDescent="0.25">
      <c r="A1134" s="61">
        <v>42712</v>
      </c>
      <c r="B1134" s="26" t="s">
        <v>778</v>
      </c>
      <c r="C1134" s="26" t="s">
        <v>943</v>
      </c>
      <c r="D1134" s="8">
        <v>1500</v>
      </c>
      <c r="E1134" s="8"/>
      <c r="F1134" s="8">
        <f t="shared" si="17"/>
        <v>25482</v>
      </c>
      <c r="G1134" s="26"/>
    </row>
    <row r="1135" spans="1:7" x14ac:dyDescent="0.25">
      <c r="A1135" s="61">
        <v>42712</v>
      </c>
      <c r="B1135" s="26" t="s">
        <v>778</v>
      </c>
      <c r="C1135" s="26" t="s">
        <v>41</v>
      </c>
      <c r="D1135" s="8">
        <v>1500</v>
      </c>
      <c r="E1135" s="8"/>
      <c r="F1135" s="8">
        <f t="shared" si="17"/>
        <v>23982</v>
      </c>
      <c r="G1135" s="26"/>
    </row>
    <row r="1136" spans="1:7" x14ac:dyDescent="0.25">
      <c r="A1136" s="61">
        <v>42712</v>
      </c>
      <c r="B1136" s="26" t="s">
        <v>28</v>
      </c>
      <c r="C1136" s="26" t="s">
        <v>32</v>
      </c>
      <c r="D1136" s="8">
        <v>16000</v>
      </c>
      <c r="E1136" s="8"/>
      <c r="F1136" s="8">
        <f t="shared" si="17"/>
        <v>7982</v>
      </c>
      <c r="G1136" s="26"/>
    </row>
    <row r="1137" spans="1:7" x14ac:dyDescent="0.25">
      <c r="A1137" s="61">
        <v>42712</v>
      </c>
      <c r="B1137" s="26" t="s">
        <v>155</v>
      </c>
      <c r="C1137" s="26" t="s">
        <v>32</v>
      </c>
      <c r="D1137" s="8">
        <v>2000</v>
      </c>
      <c r="E1137" s="8"/>
      <c r="F1137" s="8">
        <f t="shared" si="17"/>
        <v>5982</v>
      </c>
      <c r="G1137" s="26"/>
    </row>
    <row r="1138" spans="1:7" x14ac:dyDescent="0.25">
      <c r="A1138" s="61">
        <v>42712</v>
      </c>
      <c r="B1138" s="26" t="s">
        <v>17</v>
      </c>
      <c r="C1138" s="26" t="s">
        <v>32</v>
      </c>
      <c r="D1138" s="8">
        <v>500</v>
      </c>
      <c r="E1138" s="8"/>
      <c r="F1138" s="8">
        <f t="shared" si="17"/>
        <v>5482</v>
      </c>
      <c r="G1138" s="26"/>
    </row>
    <row r="1139" spans="1:7" x14ac:dyDescent="0.25">
      <c r="A1139" s="61">
        <v>42712</v>
      </c>
      <c r="B1139" s="26" t="s">
        <v>4</v>
      </c>
      <c r="C1139" s="26" t="s">
        <v>946</v>
      </c>
      <c r="D1139" s="8">
        <v>100</v>
      </c>
      <c r="E1139" s="8"/>
      <c r="F1139" s="8">
        <f t="shared" si="17"/>
        <v>5382</v>
      </c>
      <c r="G1139" s="26"/>
    </row>
    <row r="1140" spans="1:7" x14ac:dyDescent="0.25">
      <c r="A1140" s="61">
        <v>42712</v>
      </c>
      <c r="B1140" s="26" t="s">
        <v>948</v>
      </c>
      <c r="C1140" s="26" t="s">
        <v>947</v>
      </c>
      <c r="D1140" s="8">
        <v>240</v>
      </c>
      <c r="E1140" s="8"/>
      <c r="F1140" s="8">
        <f t="shared" si="17"/>
        <v>5142</v>
      </c>
      <c r="G1140" s="26"/>
    </row>
    <row r="1141" spans="1:7" x14ac:dyDescent="0.25">
      <c r="A1141" s="61">
        <v>42712</v>
      </c>
      <c r="B1141" s="29" t="s">
        <v>692</v>
      </c>
      <c r="C1141" s="29" t="s">
        <v>949</v>
      </c>
      <c r="D1141" s="14">
        <v>2350</v>
      </c>
      <c r="E1141" s="8"/>
      <c r="F1141" s="8">
        <f t="shared" si="17"/>
        <v>2792</v>
      </c>
      <c r="G1141" s="26"/>
    </row>
    <row r="1142" spans="1:7" x14ac:dyDescent="0.25">
      <c r="A1142" s="61">
        <v>42712</v>
      </c>
      <c r="B1142" s="26" t="s">
        <v>26</v>
      </c>
      <c r="C1142" s="26" t="s">
        <v>950</v>
      </c>
      <c r="D1142" s="8">
        <v>90</v>
      </c>
      <c r="E1142" s="8"/>
      <c r="F1142" s="8">
        <f t="shared" si="17"/>
        <v>2702</v>
      </c>
      <c r="G1142" s="26"/>
    </row>
    <row r="1143" spans="1:7" x14ac:dyDescent="0.25">
      <c r="A1143" s="61">
        <v>42712</v>
      </c>
      <c r="B1143" s="29" t="s">
        <v>231</v>
      </c>
      <c r="C1143" s="29" t="s">
        <v>959</v>
      </c>
      <c r="D1143" s="14">
        <v>1000</v>
      </c>
      <c r="E1143" s="8"/>
      <c r="F1143" s="8">
        <f t="shared" si="17"/>
        <v>1702</v>
      </c>
      <c r="G1143" s="26"/>
    </row>
    <row r="1144" spans="1:7" ht="30" x14ac:dyDescent="0.25">
      <c r="A1144" s="61">
        <v>42712</v>
      </c>
      <c r="B1144" s="26" t="s">
        <v>54</v>
      </c>
      <c r="C1144" s="87" t="s">
        <v>951</v>
      </c>
      <c r="D1144" s="8">
        <v>150</v>
      </c>
      <c r="E1144" s="8"/>
      <c r="F1144" s="8">
        <f t="shared" si="17"/>
        <v>1552</v>
      </c>
      <c r="G1144" s="26"/>
    </row>
    <row r="1145" spans="1:7" x14ac:dyDescent="0.25">
      <c r="A1145" s="61">
        <v>42713</v>
      </c>
      <c r="B1145" s="26" t="s">
        <v>155</v>
      </c>
      <c r="C1145" s="26" t="s">
        <v>32</v>
      </c>
      <c r="D1145" s="8">
        <v>5000</v>
      </c>
      <c r="E1145" s="8"/>
      <c r="F1145" s="8">
        <f t="shared" si="17"/>
        <v>-3448</v>
      </c>
      <c r="G1145" s="26"/>
    </row>
    <row r="1146" spans="1:7" x14ac:dyDescent="0.25">
      <c r="A1146" s="61">
        <v>42713</v>
      </c>
      <c r="B1146" s="29" t="s">
        <v>26</v>
      </c>
      <c r="C1146" s="89" t="s">
        <v>957</v>
      </c>
      <c r="D1146" s="14">
        <v>200</v>
      </c>
      <c r="E1146" s="8"/>
      <c r="F1146" s="8">
        <f t="shared" si="17"/>
        <v>-3648</v>
      </c>
      <c r="G1146" s="26"/>
    </row>
    <row r="1147" spans="1:7" x14ac:dyDescent="0.25">
      <c r="A1147" s="61">
        <v>42713</v>
      </c>
      <c r="B1147" s="29" t="s">
        <v>26</v>
      </c>
      <c r="C1147" s="29" t="s">
        <v>956</v>
      </c>
      <c r="D1147" s="14">
        <v>40</v>
      </c>
      <c r="E1147" s="8"/>
      <c r="F1147" s="8">
        <f t="shared" si="17"/>
        <v>-3688</v>
      </c>
      <c r="G1147" s="26"/>
    </row>
    <row r="1148" spans="1:7" x14ac:dyDescent="0.25">
      <c r="A1148" s="61">
        <v>42713</v>
      </c>
      <c r="B1148" s="29" t="s">
        <v>26</v>
      </c>
      <c r="C1148" s="29" t="s">
        <v>955</v>
      </c>
      <c r="D1148" s="14">
        <v>90</v>
      </c>
      <c r="E1148" s="8"/>
      <c r="F1148" s="8">
        <f t="shared" si="17"/>
        <v>-3778</v>
      </c>
      <c r="G1148" s="26"/>
    </row>
    <row r="1149" spans="1:7" x14ac:dyDescent="0.25">
      <c r="A1149" s="61">
        <v>42713</v>
      </c>
      <c r="B1149" s="29" t="s">
        <v>26</v>
      </c>
      <c r="C1149" s="29" t="s">
        <v>958</v>
      </c>
      <c r="D1149" s="14">
        <v>50</v>
      </c>
      <c r="E1149" s="8"/>
      <c r="F1149" s="8">
        <f t="shared" si="17"/>
        <v>-3828</v>
      </c>
      <c r="G1149" s="26"/>
    </row>
    <row r="1150" spans="1:7" ht="30" x14ac:dyDescent="0.25">
      <c r="A1150" s="201">
        <v>42714</v>
      </c>
      <c r="B1150" s="194" t="s">
        <v>121</v>
      </c>
      <c r="C1150" s="195" t="s">
        <v>1032</v>
      </c>
      <c r="D1150" s="74"/>
      <c r="E1150" s="74"/>
      <c r="F1150" s="8">
        <f t="shared" si="17"/>
        <v>-3828</v>
      </c>
      <c r="G1150" s="194"/>
    </row>
    <row r="1151" spans="1:7" x14ac:dyDescent="0.25">
      <c r="A1151" s="61">
        <v>42714</v>
      </c>
      <c r="B1151" s="26" t="s">
        <v>117</v>
      </c>
      <c r="C1151" s="26" t="s">
        <v>32</v>
      </c>
      <c r="D1151" s="8">
        <v>2000</v>
      </c>
      <c r="E1151" s="8"/>
      <c r="F1151" s="8">
        <f t="shared" si="17"/>
        <v>-5828</v>
      </c>
      <c r="G1151" s="26"/>
    </row>
    <row r="1152" spans="1:7" x14ac:dyDescent="0.25">
      <c r="A1152" s="61">
        <v>42714</v>
      </c>
      <c r="B1152" s="26" t="s">
        <v>165</v>
      </c>
      <c r="C1152" s="26" t="s">
        <v>952</v>
      </c>
      <c r="D1152" s="8">
        <v>2000</v>
      </c>
      <c r="E1152" s="8"/>
      <c r="F1152" s="8">
        <f t="shared" si="17"/>
        <v>-7828</v>
      </c>
      <c r="G1152" s="26"/>
    </row>
    <row r="1153" spans="1:10" x14ac:dyDescent="0.25">
      <c r="A1153" s="61">
        <v>42714</v>
      </c>
      <c r="B1153" s="26" t="s">
        <v>157</v>
      </c>
      <c r="C1153" s="26" t="s">
        <v>32</v>
      </c>
      <c r="D1153" s="8">
        <v>2000</v>
      </c>
      <c r="E1153" s="8"/>
      <c r="F1153" s="8">
        <f t="shared" si="17"/>
        <v>-9828</v>
      </c>
      <c r="G1153" s="26"/>
    </row>
    <row r="1154" spans="1:10" x14ac:dyDescent="0.25">
      <c r="A1154" s="61">
        <v>42714</v>
      </c>
      <c r="B1154" s="26" t="s">
        <v>28</v>
      </c>
      <c r="C1154" s="26" t="s">
        <v>954</v>
      </c>
      <c r="D1154" s="8">
        <v>100</v>
      </c>
      <c r="E1154" s="8"/>
      <c r="F1154" s="8">
        <f t="shared" si="17"/>
        <v>-9928</v>
      </c>
      <c r="G1154" s="26"/>
    </row>
    <row r="1155" spans="1:10" x14ac:dyDescent="0.25">
      <c r="A1155" s="61">
        <v>42714</v>
      </c>
      <c r="B1155" s="26" t="s">
        <v>26</v>
      </c>
      <c r="C1155" s="26" t="s">
        <v>960</v>
      </c>
      <c r="D1155" s="8">
        <v>70</v>
      </c>
      <c r="E1155" s="8"/>
      <c r="F1155" s="8">
        <f t="shared" ref="F1155:F1218" si="18">F1154-D1155+E1155</f>
        <v>-9998</v>
      </c>
      <c r="G1155" s="26"/>
    </row>
    <row r="1156" spans="1:10" x14ac:dyDescent="0.25">
      <c r="A1156" s="61">
        <v>42714</v>
      </c>
      <c r="B1156" s="29" t="s">
        <v>231</v>
      </c>
      <c r="C1156" s="29" t="s">
        <v>972</v>
      </c>
      <c r="D1156" s="14">
        <v>100</v>
      </c>
      <c r="E1156" s="8"/>
      <c r="F1156" s="8">
        <f t="shared" si="18"/>
        <v>-10098</v>
      </c>
      <c r="G1156" s="26"/>
    </row>
    <row r="1157" spans="1:10" s="20" customFormat="1" x14ac:dyDescent="0.25">
      <c r="A1157" s="61">
        <v>42714</v>
      </c>
      <c r="B1157" s="26" t="s">
        <v>26</v>
      </c>
      <c r="C1157" s="26" t="s">
        <v>961</v>
      </c>
      <c r="D1157" s="8">
        <v>80</v>
      </c>
      <c r="E1157" s="8"/>
      <c r="F1157" s="8">
        <f t="shared" si="18"/>
        <v>-10178</v>
      </c>
      <c r="G1157" s="26"/>
      <c r="H1157" s="24"/>
      <c r="I1157" s="24"/>
      <c r="J1157" s="24"/>
    </row>
    <row r="1158" spans="1:10" x14ac:dyDescent="0.25">
      <c r="A1158" s="61">
        <v>42714</v>
      </c>
      <c r="B1158" s="462" t="s">
        <v>971</v>
      </c>
      <c r="C1158" s="463"/>
      <c r="D1158" s="71"/>
      <c r="E1158" s="58">
        <v>50000</v>
      </c>
      <c r="F1158" s="8">
        <f t="shared" si="18"/>
        <v>39822</v>
      </c>
      <c r="G1158" s="26"/>
    </row>
    <row r="1159" spans="1:10" x14ac:dyDescent="0.25">
      <c r="A1159" s="61">
        <v>42714</v>
      </c>
      <c r="B1159" s="80" t="s">
        <v>778</v>
      </c>
      <c r="C1159" s="83" t="s">
        <v>993</v>
      </c>
      <c r="D1159" s="81">
        <v>3000</v>
      </c>
      <c r="E1159" s="86"/>
      <c r="F1159" s="8">
        <f t="shared" si="18"/>
        <v>36822</v>
      </c>
      <c r="G1159" s="29"/>
    </row>
    <row r="1160" spans="1:10" x14ac:dyDescent="0.25">
      <c r="A1160" s="61">
        <v>42717</v>
      </c>
      <c r="B1160" s="29" t="s">
        <v>396</v>
      </c>
      <c r="C1160" s="29" t="s">
        <v>974</v>
      </c>
      <c r="D1160" s="14">
        <v>200</v>
      </c>
      <c r="E1160" s="8"/>
      <c r="F1160" s="8">
        <f t="shared" si="18"/>
        <v>36622</v>
      </c>
      <c r="G1160" s="26"/>
    </row>
    <row r="1161" spans="1:10" x14ac:dyDescent="0.25">
      <c r="A1161" s="61">
        <v>42717</v>
      </c>
      <c r="B1161" s="26" t="s">
        <v>157</v>
      </c>
      <c r="C1161" s="26" t="s">
        <v>990</v>
      </c>
      <c r="D1161" s="8">
        <v>1000</v>
      </c>
      <c r="E1161" s="8"/>
      <c r="F1161" s="8">
        <f t="shared" si="18"/>
        <v>35622</v>
      </c>
      <c r="G1161" s="26"/>
    </row>
    <row r="1162" spans="1:10" x14ac:dyDescent="0.25">
      <c r="A1162" s="61">
        <v>42717</v>
      </c>
      <c r="B1162" s="26" t="s">
        <v>43</v>
      </c>
      <c r="C1162" s="26" t="s">
        <v>32</v>
      </c>
      <c r="D1162" s="8">
        <v>2000</v>
      </c>
      <c r="E1162" s="8"/>
      <c r="F1162" s="8">
        <f t="shared" si="18"/>
        <v>33622</v>
      </c>
      <c r="G1162" s="26"/>
    </row>
    <row r="1163" spans="1:10" x14ac:dyDescent="0.25">
      <c r="A1163" s="61">
        <v>42717</v>
      </c>
      <c r="B1163" s="26" t="s">
        <v>963</v>
      </c>
      <c r="C1163" s="26" t="s">
        <v>962</v>
      </c>
      <c r="D1163" s="8">
        <v>5000</v>
      </c>
      <c r="E1163" s="8"/>
      <c r="F1163" s="8">
        <f t="shared" si="18"/>
        <v>28622</v>
      </c>
      <c r="G1163" s="26"/>
    </row>
    <row r="1164" spans="1:10" x14ac:dyDescent="0.25">
      <c r="A1164" s="61">
        <v>42717</v>
      </c>
      <c r="B1164" s="26" t="s">
        <v>964</v>
      </c>
      <c r="C1164" s="26" t="s">
        <v>41</v>
      </c>
      <c r="D1164" s="8">
        <v>15000</v>
      </c>
      <c r="E1164" s="8"/>
      <c r="F1164" s="8">
        <f t="shared" si="18"/>
        <v>13622</v>
      </c>
      <c r="G1164" s="26"/>
    </row>
    <row r="1165" spans="1:10" x14ac:dyDescent="0.25">
      <c r="A1165" s="61">
        <v>42717</v>
      </c>
      <c r="B1165" s="26" t="s">
        <v>283</v>
      </c>
      <c r="C1165" s="26" t="s">
        <v>965</v>
      </c>
      <c r="D1165" s="8">
        <v>15000</v>
      </c>
      <c r="E1165" s="8"/>
      <c r="F1165" s="8">
        <f t="shared" si="18"/>
        <v>-1378</v>
      </c>
      <c r="G1165" s="26"/>
    </row>
    <row r="1166" spans="1:10" x14ac:dyDescent="0.25">
      <c r="A1166" s="61">
        <v>42717</v>
      </c>
      <c r="B1166" s="26" t="s">
        <v>165</v>
      </c>
      <c r="C1166" s="26" t="s">
        <v>32</v>
      </c>
      <c r="D1166" s="8">
        <v>20000</v>
      </c>
      <c r="E1166" s="8"/>
      <c r="F1166" s="8">
        <f t="shared" si="18"/>
        <v>-21378</v>
      </c>
      <c r="G1166" s="26"/>
    </row>
    <row r="1167" spans="1:10" x14ac:dyDescent="0.25">
      <c r="A1167" s="61">
        <v>42719</v>
      </c>
      <c r="B1167" s="26" t="s">
        <v>26</v>
      </c>
      <c r="C1167" s="26" t="s">
        <v>968</v>
      </c>
      <c r="D1167" s="8">
        <v>70</v>
      </c>
      <c r="E1167" s="8"/>
      <c r="F1167" s="8">
        <f t="shared" si="18"/>
        <v>-21448</v>
      </c>
      <c r="G1167" s="26"/>
    </row>
    <row r="1168" spans="1:10" x14ac:dyDescent="0.25">
      <c r="A1168" s="61">
        <v>42717</v>
      </c>
      <c r="B1168" s="26" t="s">
        <v>69</v>
      </c>
      <c r="C1168" s="26" t="s">
        <v>966</v>
      </c>
      <c r="D1168" s="8">
        <v>200</v>
      </c>
      <c r="E1168" s="8"/>
      <c r="F1168" s="8">
        <f t="shared" si="18"/>
        <v>-21648</v>
      </c>
      <c r="G1168" s="26"/>
    </row>
    <row r="1169" spans="1:7" x14ac:dyDescent="0.25">
      <c r="A1169" s="61"/>
      <c r="B1169" s="462" t="s">
        <v>970</v>
      </c>
      <c r="C1169" s="463"/>
      <c r="D1169" s="71"/>
      <c r="E1169" s="58">
        <v>50000</v>
      </c>
      <c r="F1169" s="8">
        <f t="shared" si="18"/>
        <v>28352</v>
      </c>
      <c r="G1169" s="26"/>
    </row>
    <row r="1170" spans="1:7" x14ac:dyDescent="0.25">
      <c r="A1170" s="61">
        <v>42718</v>
      </c>
      <c r="B1170" s="29" t="s">
        <v>17</v>
      </c>
      <c r="C1170" s="29" t="s">
        <v>967</v>
      </c>
      <c r="D1170" s="14">
        <v>500</v>
      </c>
      <c r="E1170" s="8"/>
      <c r="F1170" s="8">
        <f t="shared" si="18"/>
        <v>27852</v>
      </c>
      <c r="G1170" s="26"/>
    </row>
    <row r="1171" spans="1:7" ht="30" x14ac:dyDescent="0.25">
      <c r="A1171" s="61">
        <v>42719</v>
      </c>
      <c r="B1171" s="26" t="s">
        <v>26</v>
      </c>
      <c r="C1171" s="87" t="s">
        <v>969</v>
      </c>
      <c r="D1171" s="8">
        <v>360</v>
      </c>
      <c r="E1171" s="8"/>
      <c r="F1171" s="8">
        <f t="shared" si="18"/>
        <v>27492</v>
      </c>
      <c r="G1171" s="26"/>
    </row>
    <row r="1172" spans="1:7" x14ac:dyDescent="0.25">
      <c r="A1172" s="61">
        <v>42718</v>
      </c>
      <c r="B1172" s="26" t="s">
        <v>155</v>
      </c>
      <c r="C1172" s="26" t="s">
        <v>32</v>
      </c>
      <c r="D1172" s="8">
        <v>2000</v>
      </c>
      <c r="E1172" s="8"/>
      <c r="F1172" s="8">
        <f t="shared" si="18"/>
        <v>25492</v>
      </c>
      <c r="G1172" s="26"/>
    </row>
    <row r="1173" spans="1:7" x14ac:dyDescent="0.25">
      <c r="A1173" s="61">
        <v>42718</v>
      </c>
      <c r="B1173" s="26" t="s">
        <v>231</v>
      </c>
      <c r="C1173" s="26" t="s">
        <v>976</v>
      </c>
      <c r="D1173" s="8">
        <v>7170</v>
      </c>
      <c r="E1173" s="8"/>
      <c r="F1173" s="8">
        <f t="shared" si="18"/>
        <v>18322</v>
      </c>
      <c r="G1173" s="26"/>
    </row>
    <row r="1174" spans="1:7" x14ac:dyDescent="0.25">
      <c r="A1174" s="61">
        <v>42718</v>
      </c>
      <c r="B1174" s="26" t="s">
        <v>121</v>
      </c>
      <c r="C1174" s="26" t="s">
        <v>975</v>
      </c>
      <c r="D1174" s="8">
        <v>150</v>
      </c>
      <c r="E1174" s="8"/>
      <c r="F1174" s="8">
        <f t="shared" si="18"/>
        <v>18172</v>
      </c>
      <c r="G1174" s="26"/>
    </row>
    <row r="1175" spans="1:7" x14ac:dyDescent="0.25">
      <c r="A1175" s="61">
        <v>42718</v>
      </c>
      <c r="B1175" s="26" t="s">
        <v>396</v>
      </c>
      <c r="C1175" s="26" t="s">
        <v>967</v>
      </c>
      <c r="D1175" s="8">
        <v>100</v>
      </c>
      <c r="E1175" s="8"/>
      <c r="F1175" s="8">
        <f t="shared" si="18"/>
        <v>18072</v>
      </c>
      <c r="G1175" s="26"/>
    </row>
    <row r="1176" spans="1:7" x14ac:dyDescent="0.25">
      <c r="A1176" s="61">
        <v>42719</v>
      </c>
      <c r="B1176" s="26" t="s">
        <v>161</v>
      </c>
      <c r="C1176" s="26" t="s">
        <v>973</v>
      </c>
      <c r="D1176" s="8">
        <v>10000</v>
      </c>
      <c r="E1176" s="8"/>
      <c r="F1176" s="8">
        <f t="shared" si="18"/>
        <v>8072</v>
      </c>
      <c r="G1176" s="26"/>
    </row>
    <row r="1177" spans="1:7" x14ac:dyDescent="0.25">
      <c r="A1177" s="61">
        <v>42719</v>
      </c>
      <c r="B1177" s="29" t="s">
        <v>396</v>
      </c>
      <c r="C1177" s="29" t="s">
        <v>967</v>
      </c>
      <c r="D1177" s="14">
        <v>100</v>
      </c>
      <c r="E1177" s="8"/>
      <c r="F1177" s="8">
        <f t="shared" si="18"/>
        <v>7972</v>
      </c>
      <c r="G1177" s="26"/>
    </row>
    <row r="1178" spans="1:7" x14ac:dyDescent="0.25">
      <c r="A1178" s="61">
        <v>42719</v>
      </c>
      <c r="B1178" s="26" t="s">
        <v>117</v>
      </c>
      <c r="C1178" s="26" t="s">
        <v>982</v>
      </c>
      <c r="D1178" s="8">
        <v>500</v>
      </c>
      <c r="E1178" s="8"/>
      <c r="F1178" s="8">
        <f t="shared" si="18"/>
        <v>7472</v>
      </c>
      <c r="G1178" s="26"/>
    </row>
    <row r="1179" spans="1:7" x14ac:dyDescent="0.25">
      <c r="A1179" s="61">
        <v>42719</v>
      </c>
      <c r="B1179" s="26" t="s">
        <v>117</v>
      </c>
      <c r="C1179" s="26" t="s">
        <v>983</v>
      </c>
      <c r="D1179" s="8">
        <v>200</v>
      </c>
      <c r="E1179" s="8"/>
      <c r="F1179" s="8">
        <f t="shared" si="18"/>
        <v>7272</v>
      </c>
      <c r="G1179" s="26"/>
    </row>
    <row r="1180" spans="1:7" x14ac:dyDescent="0.25">
      <c r="A1180" s="61">
        <v>42719</v>
      </c>
      <c r="B1180" s="26" t="s">
        <v>121</v>
      </c>
      <c r="C1180" s="26" t="s">
        <v>32</v>
      </c>
      <c r="D1180" s="8">
        <v>15000</v>
      </c>
      <c r="E1180" s="8"/>
      <c r="F1180" s="8">
        <f t="shared" si="18"/>
        <v>-7728</v>
      </c>
      <c r="G1180" s="26"/>
    </row>
    <row r="1181" spans="1:7" x14ac:dyDescent="0.25">
      <c r="A1181" s="61">
        <v>42719</v>
      </c>
      <c r="B1181" s="26" t="s">
        <v>26</v>
      </c>
      <c r="C1181" s="26" t="s">
        <v>960</v>
      </c>
      <c r="D1181" s="8">
        <v>70</v>
      </c>
      <c r="E1181" s="8"/>
      <c r="F1181" s="8">
        <f t="shared" si="18"/>
        <v>-7798</v>
      </c>
      <c r="G1181" s="26"/>
    </row>
    <row r="1182" spans="1:7" x14ac:dyDescent="0.25">
      <c r="A1182" s="61">
        <v>42719</v>
      </c>
      <c r="B1182" s="26" t="s">
        <v>26</v>
      </c>
      <c r="C1182" s="26" t="s">
        <v>984</v>
      </c>
      <c r="D1182" s="8">
        <v>30</v>
      </c>
      <c r="E1182" s="8"/>
      <c r="F1182" s="8">
        <f t="shared" si="18"/>
        <v>-7828</v>
      </c>
      <c r="G1182" s="26"/>
    </row>
    <row r="1183" spans="1:7" x14ac:dyDescent="0.25">
      <c r="A1183" s="61">
        <v>42719</v>
      </c>
      <c r="B1183" s="26" t="s">
        <v>26</v>
      </c>
      <c r="C1183" s="26" t="s">
        <v>985</v>
      </c>
      <c r="D1183" s="8">
        <v>795</v>
      </c>
      <c r="E1183" s="8"/>
      <c r="F1183" s="8">
        <f t="shared" si="18"/>
        <v>-8623</v>
      </c>
      <c r="G1183" s="26"/>
    </row>
    <row r="1184" spans="1:7" x14ac:dyDescent="0.25">
      <c r="A1184" s="61">
        <v>42719</v>
      </c>
      <c r="B1184" s="26" t="s">
        <v>778</v>
      </c>
      <c r="C1184" s="26" t="s">
        <v>986</v>
      </c>
      <c r="D1184" s="8">
        <v>3000</v>
      </c>
      <c r="E1184" s="8"/>
      <c r="F1184" s="8">
        <f t="shared" si="18"/>
        <v>-11623</v>
      </c>
      <c r="G1184" s="26"/>
    </row>
    <row r="1185" spans="1:10" ht="30" x14ac:dyDescent="0.25">
      <c r="A1185" s="61">
        <v>42720</v>
      </c>
      <c r="B1185" s="29" t="s">
        <v>77</v>
      </c>
      <c r="C1185" s="89" t="s">
        <v>1020</v>
      </c>
      <c r="D1185" s="14">
        <v>2330</v>
      </c>
      <c r="E1185" s="8"/>
      <c r="F1185" s="8">
        <f t="shared" si="18"/>
        <v>-13953</v>
      </c>
      <c r="G1185" s="26"/>
    </row>
    <row r="1186" spans="1:10" x14ac:dyDescent="0.25">
      <c r="A1186" s="61">
        <v>42720</v>
      </c>
      <c r="B1186" s="26" t="s">
        <v>28</v>
      </c>
      <c r="C1186" s="26" t="s">
        <v>32</v>
      </c>
      <c r="D1186" s="8">
        <v>3000</v>
      </c>
      <c r="E1186" s="8"/>
      <c r="F1186" s="8">
        <f t="shared" si="18"/>
        <v>-16953</v>
      </c>
      <c r="G1186" s="26"/>
    </row>
    <row r="1187" spans="1:10" x14ac:dyDescent="0.25">
      <c r="A1187" s="61">
        <v>42720</v>
      </c>
      <c r="B1187" s="26" t="s">
        <v>117</v>
      </c>
      <c r="C1187" s="26" t="s">
        <v>32</v>
      </c>
      <c r="D1187" s="8">
        <v>600</v>
      </c>
      <c r="E1187" s="8"/>
      <c r="F1187" s="8">
        <f t="shared" si="18"/>
        <v>-17553</v>
      </c>
      <c r="G1187" s="26"/>
    </row>
    <row r="1188" spans="1:10" x14ac:dyDescent="0.25">
      <c r="A1188" s="61">
        <v>42719</v>
      </c>
      <c r="B1188" s="26" t="s">
        <v>26</v>
      </c>
      <c r="C1188" s="26" t="s">
        <v>987</v>
      </c>
      <c r="D1188" s="8">
        <v>90</v>
      </c>
      <c r="E1188" s="8"/>
      <c r="F1188" s="8">
        <f t="shared" si="18"/>
        <v>-17643</v>
      </c>
      <c r="G1188" s="26"/>
    </row>
    <row r="1189" spans="1:10" x14ac:dyDescent="0.25">
      <c r="A1189" s="61">
        <v>42720</v>
      </c>
      <c r="B1189" s="29" t="s">
        <v>231</v>
      </c>
      <c r="C1189" s="29" t="s">
        <v>1002</v>
      </c>
      <c r="D1189" s="14">
        <v>300</v>
      </c>
      <c r="E1189" s="8"/>
      <c r="F1189" s="8">
        <f t="shared" si="18"/>
        <v>-17943</v>
      </c>
      <c r="G1189" s="26"/>
    </row>
    <row r="1190" spans="1:10" s="20" customFormat="1" x14ac:dyDescent="0.25">
      <c r="A1190" s="61">
        <v>42720</v>
      </c>
      <c r="B1190" s="29" t="s">
        <v>231</v>
      </c>
      <c r="C1190" s="29" t="s">
        <v>1003</v>
      </c>
      <c r="D1190" s="14">
        <v>100</v>
      </c>
      <c r="E1190" s="14"/>
      <c r="F1190" s="8">
        <f t="shared" si="18"/>
        <v>-18043</v>
      </c>
      <c r="G1190" s="29"/>
      <c r="H1190" s="24"/>
      <c r="I1190" s="24"/>
      <c r="J1190" s="24"/>
    </row>
    <row r="1191" spans="1:10" x14ac:dyDescent="0.25">
      <c r="A1191" s="61">
        <v>42720</v>
      </c>
      <c r="B1191" s="29" t="s">
        <v>17</v>
      </c>
      <c r="C1191" s="29" t="s">
        <v>989</v>
      </c>
      <c r="D1191" s="14">
        <v>500</v>
      </c>
      <c r="E1191" s="8"/>
      <c r="F1191" s="8">
        <f t="shared" si="18"/>
        <v>-18543</v>
      </c>
      <c r="G1191" s="26"/>
    </row>
    <row r="1192" spans="1:10" ht="30" x14ac:dyDescent="0.25">
      <c r="A1192" s="61">
        <v>42721</v>
      </c>
      <c r="B1192" s="26" t="s">
        <v>182</v>
      </c>
      <c r="C1192" s="87" t="s">
        <v>992</v>
      </c>
      <c r="D1192" s="8">
        <v>200</v>
      </c>
      <c r="E1192" s="8"/>
      <c r="F1192" s="8">
        <f t="shared" si="18"/>
        <v>-18743</v>
      </c>
      <c r="G1192" s="26"/>
    </row>
    <row r="1193" spans="1:10" x14ac:dyDescent="0.25">
      <c r="A1193" s="61">
        <v>42721</v>
      </c>
      <c r="B1193" s="26" t="s">
        <v>995</v>
      </c>
      <c r="C1193" s="87"/>
      <c r="D1193" s="8">
        <v>500</v>
      </c>
      <c r="E1193" s="8"/>
      <c r="F1193" s="8">
        <f t="shared" si="18"/>
        <v>-19243</v>
      </c>
      <c r="G1193" s="26"/>
    </row>
    <row r="1194" spans="1:10" x14ac:dyDescent="0.25">
      <c r="A1194" s="61">
        <v>42721</v>
      </c>
      <c r="B1194" s="26" t="s">
        <v>996</v>
      </c>
      <c r="C1194" s="87" t="s">
        <v>1005</v>
      </c>
      <c r="D1194" s="8">
        <v>250</v>
      </c>
      <c r="E1194" s="8"/>
      <c r="F1194" s="8">
        <f t="shared" si="18"/>
        <v>-19493</v>
      </c>
      <c r="G1194" s="26"/>
    </row>
    <row r="1195" spans="1:10" x14ac:dyDescent="0.25">
      <c r="A1195" s="61">
        <v>42723</v>
      </c>
      <c r="B1195" s="462" t="s">
        <v>1001</v>
      </c>
      <c r="C1195" s="463"/>
      <c r="D1195" s="71"/>
      <c r="E1195" s="58">
        <v>50000</v>
      </c>
      <c r="F1195" s="8">
        <f t="shared" si="18"/>
        <v>30507</v>
      </c>
      <c r="G1195" s="26"/>
    </row>
    <row r="1196" spans="1:10" x14ac:dyDescent="0.25">
      <c r="A1196" s="61">
        <v>42723</v>
      </c>
      <c r="B1196" s="26" t="s">
        <v>446</v>
      </c>
      <c r="C1196" s="87" t="s">
        <v>999</v>
      </c>
      <c r="D1196" s="8">
        <v>12000</v>
      </c>
      <c r="E1196" s="8"/>
      <c r="F1196" s="8">
        <f t="shared" si="18"/>
        <v>18507</v>
      </c>
      <c r="G1196" s="26"/>
    </row>
    <row r="1197" spans="1:10" x14ac:dyDescent="0.25">
      <c r="A1197" s="61">
        <v>42723</v>
      </c>
      <c r="B1197" s="26" t="s">
        <v>4</v>
      </c>
      <c r="C1197" s="87" t="s">
        <v>32</v>
      </c>
      <c r="D1197" s="8">
        <v>1000</v>
      </c>
      <c r="E1197" s="8"/>
      <c r="F1197" s="8">
        <f t="shared" si="18"/>
        <v>17507</v>
      </c>
      <c r="G1197" s="26"/>
    </row>
    <row r="1198" spans="1:10" x14ac:dyDescent="0.25">
      <c r="A1198" s="61">
        <v>42723</v>
      </c>
      <c r="B1198" s="26" t="s">
        <v>26</v>
      </c>
      <c r="C1198" s="87" t="s">
        <v>998</v>
      </c>
      <c r="D1198" s="8">
        <v>780</v>
      </c>
      <c r="E1198" s="8"/>
      <c r="F1198" s="8">
        <f t="shared" si="18"/>
        <v>16727</v>
      </c>
      <c r="G1198" s="26"/>
    </row>
    <row r="1199" spans="1:10" x14ac:dyDescent="0.25">
      <c r="A1199" s="61">
        <v>42723</v>
      </c>
      <c r="B1199" s="26" t="s">
        <v>26</v>
      </c>
      <c r="C1199" s="87" t="s">
        <v>997</v>
      </c>
      <c r="D1199" s="8">
        <f>120+25</f>
        <v>145</v>
      </c>
      <c r="E1199" s="8"/>
      <c r="F1199" s="8">
        <f t="shared" si="18"/>
        <v>16582</v>
      </c>
      <c r="G1199" s="26"/>
    </row>
    <row r="1200" spans="1:10" x14ac:dyDescent="0.25">
      <c r="A1200" s="61">
        <v>42723</v>
      </c>
      <c r="B1200" s="29" t="s">
        <v>17</v>
      </c>
      <c r="C1200" s="89" t="s">
        <v>711</v>
      </c>
      <c r="D1200" s="14">
        <v>1000</v>
      </c>
      <c r="E1200" s="8"/>
      <c r="F1200" s="8">
        <f t="shared" si="18"/>
        <v>15582</v>
      </c>
      <c r="G1200" s="26"/>
    </row>
    <row r="1201" spans="1:7" x14ac:dyDescent="0.25">
      <c r="A1201" s="61">
        <v>42723</v>
      </c>
      <c r="B1201" s="26" t="s">
        <v>69</v>
      </c>
      <c r="C1201" s="87" t="s">
        <v>32</v>
      </c>
      <c r="D1201" s="8">
        <v>1000</v>
      </c>
      <c r="E1201" s="8"/>
      <c r="F1201" s="8">
        <f t="shared" si="18"/>
        <v>14582</v>
      </c>
      <c r="G1201" s="26"/>
    </row>
    <row r="1202" spans="1:7" x14ac:dyDescent="0.25">
      <c r="A1202" s="61">
        <v>42723</v>
      </c>
      <c r="B1202" s="26" t="s">
        <v>121</v>
      </c>
      <c r="C1202" s="87" t="s">
        <v>34</v>
      </c>
      <c r="D1202" s="8">
        <v>2000</v>
      </c>
      <c r="E1202" s="8"/>
      <c r="F1202" s="8">
        <f t="shared" si="18"/>
        <v>12582</v>
      </c>
      <c r="G1202" s="26"/>
    </row>
    <row r="1203" spans="1:7" ht="30" x14ac:dyDescent="0.25">
      <c r="A1203" s="61">
        <v>42723</v>
      </c>
      <c r="B1203" s="26" t="s">
        <v>231</v>
      </c>
      <c r="C1203" s="87" t="s">
        <v>1004</v>
      </c>
      <c r="D1203" s="8">
        <v>300</v>
      </c>
      <c r="E1203" s="8"/>
      <c r="F1203" s="8">
        <f t="shared" si="18"/>
        <v>12282</v>
      </c>
      <c r="G1203" s="26"/>
    </row>
    <row r="1204" spans="1:7" x14ac:dyDescent="0.25">
      <c r="A1204" s="61">
        <v>42723</v>
      </c>
      <c r="B1204" s="26" t="s">
        <v>121</v>
      </c>
      <c r="C1204" s="87" t="s">
        <v>32</v>
      </c>
      <c r="D1204" s="8">
        <v>15000</v>
      </c>
      <c r="E1204" s="8"/>
      <c r="F1204" s="8">
        <f t="shared" si="18"/>
        <v>-2718</v>
      </c>
      <c r="G1204" s="26"/>
    </row>
    <row r="1205" spans="1:7" x14ac:dyDescent="0.25">
      <c r="A1205" s="61">
        <v>42724</v>
      </c>
      <c r="B1205" s="26" t="s">
        <v>165</v>
      </c>
      <c r="C1205" s="87" t="s">
        <v>32</v>
      </c>
      <c r="D1205" s="8">
        <v>15000</v>
      </c>
      <c r="E1205" s="8"/>
      <c r="F1205" s="8">
        <f t="shared" si="18"/>
        <v>-17718</v>
      </c>
      <c r="G1205" s="26"/>
    </row>
    <row r="1206" spans="1:7" x14ac:dyDescent="0.25">
      <c r="A1206" s="61">
        <v>42724</v>
      </c>
      <c r="B1206" s="26" t="s">
        <v>1006</v>
      </c>
      <c r="C1206" s="87" t="s">
        <v>1007</v>
      </c>
      <c r="D1206" s="8">
        <v>500</v>
      </c>
      <c r="E1206" s="8"/>
      <c r="F1206" s="8">
        <f t="shared" si="18"/>
        <v>-18218</v>
      </c>
      <c r="G1206" s="26"/>
    </row>
    <row r="1207" spans="1:7" x14ac:dyDescent="0.25">
      <c r="A1207" s="61">
        <v>42724</v>
      </c>
      <c r="B1207" s="26" t="s">
        <v>26</v>
      </c>
      <c r="C1207" s="87" t="s">
        <v>1008</v>
      </c>
      <c r="D1207" s="8">
        <v>100</v>
      </c>
      <c r="E1207" s="8"/>
      <c r="F1207" s="8">
        <f t="shared" si="18"/>
        <v>-18318</v>
      </c>
      <c r="G1207" s="26"/>
    </row>
    <row r="1208" spans="1:7" x14ac:dyDescent="0.25">
      <c r="A1208" s="61">
        <v>42724</v>
      </c>
      <c r="B1208" s="26" t="s">
        <v>26</v>
      </c>
      <c r="C1208" s="87" t="s">
        <v>606</v>
      </c>
      <c r="D1208" s="8">
        <v>50</v>
      </c>
      <c r="E1208" s="8"/>
      <c r="F1208" s="8">
        <f t="shared" si="18"/>
        <v>-18368</v>
      </c>
      <c r="G1208" s="26"/>
    </row>
    <row r="1209" spans="1:7" x14ac:dyDescent="0.25">
      <c r="A1209" s="61">
        <v>42724</v>
      </c>
      <c r="B1209" s="197" t="s">
        <v>248</v>
      </c>
      <c r="C1209" s="198" t="s">
        <v>34</v>
      </c>
      <c r="D1209" s="75">
        <v>50</v>
      </c>
      <c r="E1209" s="8"/>
      <c r="F1209" s="8">
        <f t="shared" si="18"/>
        <v>-18418</v>
      </c>
      <c r="G1209" s="26"/>
    </row>
    <row r="1210" spans="1:7" x14ac:dyDescent="0.25">
      <c r="A1210" s="61">
        <v>42725</v>
      </c>
      <c r="B1210" s="462" t="s">
        <v>1024</v>
      </c>
      <c r="C1210" s="463"/>
      <c r="D1210" s="71"/>
      <c r="E1210" s="58">
        <v>50000</v>
      </c>
      <c r="F1210" s="8">
        <f t="shared" si="18"/>
        <v>31582</v>
      </c>
      <c r="G1210" s="26"/>
    </row>
    <row r="1211" spans="1:7" x14ac:dyDescent="0.25">
      <c r="A1211" s="61">
        <v>42725</v>
      </c>
      <c r="B1211" s="26" t="s">
        <v>964</v>
      </c>
      <c r="C1211" s="87" t="s">
        <v>1010</v>
      </c>
      <c r="D1211" s="8">
        <v>10000</v>
      </c>
      <c r="E1211" s="8"/>
      <c r="F1211" s="8">
        <f t="shared" si="18"/>
        <v>21582</v>
      </c>
      <c r="G1211" s="26"/>
    </row>
    <row r="1212" spans="1:7" x14ac:dyDescent="0.25">
      <c r="A1212" s="61">
        <v>42725</v>
      </c>
      <c r="B1212" s="26" t="s">
        <v>4</v>
      </c>
      <c r="C1212" s="87" t="s">
        <v>540</v>
      </c>
      <c r="D1212" s="8">
        <v>3000</v>
      </c>
      <c r="E1212" s="8"/>
      <c r="F1212" s="8">
        <f t="shared" si="18"/>
        <v>18582</v>
      </c>
      <c r="G1212" s="26"/>
    </row>
    <row r="1213" spans="1:7" x14ac:dyDescent="0.25">
      <c r="A1213" s="61">
        <v>42725</v>
      </c>
      <c r="B1213" s="26" t="s">
        <v>128</v>
      </c>
      <c r="C1213" s="87" t="s">
        <v>1011</v>
      </c>
      <c r="D1213" s="8">
        <v>1500</v>
      </c>
      <c r="E1213" s="8"/>
      <c r="F1213" s="8">
        <f t="shared" si="18"/>
        <v>17082</v>
      </c>
      <c r="G1213" s="26"/>
    </row>
    <row r="1214" spans="1:7" x14ac:dyDescent="0.25">
      <c r="A1214" s="61">
        <v>42725</v>
      </c>
      <c r="B1214" s="26" t="s">
        <v>1012</v>
      </c>
      <c r="C1214" s="87" t="s">
        <v>1013</v>
      </c>
      <c r="D1214" s="8">
        <v>100</v>
      </c>
      <c r="E1214" s="8"/>
      <c r="F1214" s="8">
        <f t="shared" si="18"/>
        <v>16982</v>
      </c>
      <c r="G1214" s="26"/>
    </row>
    <row r="1215" spans="1:7" x14ac:dyDescent="0.25">
      <c r="A1215" s="61">
        <v>42725</v>
      </c>
      <c r="B1215" s="26" t="s">
        <v>157</v>
      </c>
      <c r="C1215" s="87" t="s">
        <v>32</v>
      </c>
      <c r="D1215" s="8">
        <v>1000</v>
      </c>
      <c r="E1215" s="8"/>
      <c r="F1215" s="8">
        <f t="shared" si="18"/>
        <v>15982</v>
      </c>
      <c r="G1215" s="26"/>
    </row>
    <row r="1216" spans="1:7" x14ac:dyDescent="0.25">
      <c r="A1216" s="61">
        <v>42725</v>
      </c>
      <c r="B1216" s="26" t="s">
        <v>1014</v>
      </c>
      <c r="C1216" s="87" t="s">
        <v>32</v>
      </c>
      <c r="D1216" s="8">
        <v>10000</v>
      </c>
      <c r="E1216" s="8"/>
      <c r="F1216" s="8">
        <f t="shared" si="18"/>
        <v>5982</v>
      </c>
      <c r="G1216" s="26"/>
    </row>
    <row r="1217" spans="1:11" x14ac:dyDescent="0.25">
      <c r="A1217" s="61">
        <v>42725</v>
      </c>
      <c r="B1217" s="26" t="s">
        <v>446</v>
      </c>
      <c r="C1217" s="87" t="s">
        <v>32</v>
      </c>
      <c r="D1217" s="8">
        <v>4000</v>
      </c>
      <c r="E1217" s="8"/>
      <c r="F1217" s="8">
        <f t="shared" si="18"/>
        <v>1982</v>
      </c>
      <c r="G1217" s="26"/>
    </row>
    <row r="1218" spans="1:11" x14ac:dyDescent="0.25">
      <c r="A1218" s="61">
        <v>42725</v>
      </c>
      <c r="B1218" s="462" t="s">
        <v>1016</v>
      </c>
      <c r="C1218" s="463"/>
      <c r="D1218" s="71"/>
      <c r="E1218" s="58">
        <v>250</v>
      </c>
      <c r="F1218" s="8">
        <f t="shared" si="18"/>
        <v>2232</v>
      </c>
      <c r="G1218" s="26"/>
    </row>
    <row r="1219" spans="1:11" x14ac:dyDescent="0.25">
      <c r="A1219" s="61">
        <v>42724</v>
      </c>
      <c r="B1219" s="26" t="s">
        <v>26</v>
      </c>
      <c r="C1219" s="87" t="s">
        <v>960</v>
      </c>
      <c r="D1219" s="8">
        <v>70</v>
      </c>
      <c r="E1219" s="8"/>
      <c r="F1219" s="8">
        <f t="shared" ref="F1219:F1282" si="19">F1218-D1219+E1219</f>
        <v>2162</v>
      </c>
      <c r="G1219" s="26"/>
    </row>
    <row r="1220" spans="1:11" x14ac:dyDescent="0.25">
      <c r="A1220" s="61">
        <v>42725</v>
      </c>
      <c r="B1220" s="26" t="s">
        <v>161</v>
      </c>
      <c r="C1220" s="87" t="s">
        <v>1015</v>
      </c>
      <c r="D1220" s="8">
        <v>5000</v>
      </c>
      <c r="E1220" s="8"/>
      <c r="F1220" s="8">
        <f t="shared" si="19"/>
        <v>-2838</v>
      </c>
      <c r="G1220" s="26"/>
    </row>
    <row r="1221" spans="1:11" x14ac:dyDescent="0.25">
      <c r="A1221" s="61">
        <v>42725</v>
      </c>
      <c r="B1221" s="26" t="s">
        <v>161</v>
      </c>
      <c r="C1221" s="87" t="s">
        <v>71</v>
      </c>
      <c r="D1221" s="8">
        <v>3000</v>
      </c>
      <c r="E1221" s="8"/>
      <c r="F1221" s="8">
        <f t="shared" si="19"/>
        <v>-5838</v>
      </c>
      <c r="G1221" s="26"/>
    </row>
    <row r="1222" spans="1:11" x14ac:dyDescent="0.25">
      <c r="A1222" s="61">
        <v>42724</v>
      </c>
      <c r="B1222" s="26" t="s">
        <v>26</v>
      </c>
      <c r="C1222" s="87" t="s">
        <v>1017</v>
      </c>
      <c r="D1222" s="8">
        <v>530</v>
      </c>
      <c r="E1222" s="8"/>
      <c r="F1222" s="8">
        <f t="shared" si="19"/>
        <v>-6368</v>
      </c>
      <c r="G1222" s="26"/>
    </row>
    <row r="1223" spans="1:11" x14ac:dyDescent="0.25">
      <c r="A1223" s="61">
        <v>42725</v>
      </c>
      <c r="B1223" s="26" t="s">
        <v>28</v>
      </c>
      <c r="C1223" s="87" t="s">
        <v>32</v>
      </c>
      <c r="D1223" s="8">
        <v>1000</v>
      </c>
      <c r="E1223" s="8"/>
      <c r="F1223" s="8">
        <f t="shared" si="19"/>
        <v>-7368</v>
      </c>
      <c r="G1223" s="26"/>
    </row>
    <row r="1224" spans="1:11" x14ac:dyDescent="0.25">
      <c r="A1224" s="61">
        <v>42725</v>
      </c>
      <c r="B1224" s="26" t="s">
        <v>542</v>
      </c>
      <c r="C1224" s="87" t="s">
        <v>1018</v>
      </c>
      <c r="D1224" s="8">
        <v>5000</v>
      </c>
      <c r="E1224" s="8"/>
      <c r="F1224" s="8">
        <f t="shared" si="19"/>
        <v>-12368</v>
      </c>
      <c r="G1224" s="26"/>
    </row>
    <row r="1225" spans="1:11" x14ac:dyDescent="0.25">
      <c r="A1225" s="61">
        <v>42725</v>
      </c>
      <c r="B1225" s="26" t="s">
        <v>248</v>
      </c>
      <c r="C1225" s="87" t="s">
        <v>52</v>
      </c>
      <c r="D1225" s="8">
        <v>140</v>
      </c>
      <c r="E1225" s="8"/>
      <c r="F1225" s="8">
        <f t="shared" si="19"/>
        <v>-12508</v>
      </c>
      <c r="G1225" s="26"/>
    </row>
    <row r="1226" spans="1:11" x14ac:dyDescent="0.25">
      <c r="A1226" s="61">
        <v>42724</v>
      </c>
      <c r="B1226" s="26" t="s">
        <v>26</v>
      </c>
      <c r="C1226" s="87" t="s">
        <v>1019</v>
      </c>
      <c r="D1226" s="8">
        <v>190</v>
      </c>
      <c r="E1226" s="8"/>
      <c r="F1226" s="8">
        <f t="shared" si="19"/>
        <v>-12698</v>
      </c>
      <c r="G1226" s="26"/>
    </row>
    <row r="1227" spans="1:11" ht="30" x14ac:dyDescent="0.25">
      <c r="A1227" s="61">
        <v>42726</v>
      </c>
      <c r="B1227" s="26" t="s">
        <v>1022</v>
      </c>
      <c r="C1227" s="87" t="s">
        <v>1023</v>
      </c>
      <c r="D1227" s="8">
        <v>200</v>
      </c>
      <c r="E1227" s="8"/>
      <c r="F1227" s="8">
        <f t="shared" si="19"/>
        <v>-12898</v>
      </c>
      <c r="G1227" s="26"/>
    </row>
    <row r="1228" spans="1:11" ht="30" x14ac:dyDescent="0.25">
      <c r="A1228" s="61">
        <v>42724</v>
      </c>
      <c r="B1228" s="26" t="s">
        <v>26</v>
      </c>
      <c r="C1228" s="87" t="s">
        <v>1027</v>
      </c>
      <c r="D1228" s="8">
        <v>40</v>
      </c>
      <c r="E1228" s="8"/>
      <c r="F1228" s="8">
        <f t="shared" si="19"/>
        <v>-12938</v>
      </c>
      <c r="G1228" s="26"/>
    </row>
    <row r="1229" spans="1:11" x14ac:dyDescent="0.25">
      <c r="A1229" s="61">
        <v>42727</v>
      </c>
      <c r="B1229" s="462" t="s">
        <v>1142</v>
      </c>
      <c r="C1229" s="463"/>
      <c r="D1229" s="71"/>
      <c r="E1229" s="58">
        <v>25000</v>
      </c>
      <c r="F1229" s="8">
        <f t="shared" si="19"/>
        <v>12062</v>
      </c>
      <c r="G1229" s="26"/>
    </row>
    <row r="1230" spans="1:11" x14ac:dyDescent="0.25">
      <c r="A1230" s="61">
        <v>42727</v>
      </c>
      <c r="B1230" s="26" t="s">
        <v>61</v>
      </c>
      <c r="C1230" s="87" t="s">
        <v>32</v>
      </c>
      <c r="D1230" s="8">
        <v>2000</v>
      </c>
      <c r="E1230" s="8"/>
      <c r="F1230" s="8">
        <f t="shared" si="19"/>
        <v>10062</v>
      </c>
      <c r="G1230" s="26"/>
    </row>
    <row r="1231" spans="1:11" x14ac:dyDescent="0.25">
      <c r="A1231" s="61">
        <v>42727</v>
      </c>
      <c r="B1231" s="26" t="s">
        <v>161</v>
      </c>
      <c r="C1231" s="87" t="s">
        <v>1025</v>
      </c>
      <c r="D1231" s="8">
        <v>5000</v>
      </c>
      <c r="E1231" s="8"/>
      <c r="F1231" s="8">
        <f t="shared" si="19"/>
        <v>5062</v>
      </c>
      <c r="G1231" s="26"/>
      <c r="K1231" s="10"/>
    </row>
    <row r="1232" spans="1:11" x14ac:dyDescent="0.25">
      <c r="A1232" s="61">
        <v>42727</v>
      </c>
      <c r="B1232" s="29" t="s">
        <v>231</v>
      </c>
      <c r="C1232" s="89" t="s">
        <v>31</v>
      </c>
      <c r="D1232" s="14">
        <v>100</v>
      </c>
      <c r="E1232" s="8"/>
      <c r="F1232" s="8">
        <f t="shared" si="19"/>
        <v>4962</v>
      </c>
      <c r="G1232" s="26"/>
      <c r="K1232" s="10"/>
    </row>
    <row r="1233" spans="1:11" x14ac:dyDescent="0.25">
      <c r="A1233" s="61">
        <v>42727</v>
      </c>
      <c r="B1233" s="197" t="s">
        <v>1026</v>
      </c>
      <c r="C1233" s="198" t="s">
        <v>799</v>
      </c>
      <c r="D1233" s="75">
        <v>4000</v>
      </c>
      <c r="E1233" s="8"/>
      <c r="F1233" s="8">
        <f t="shared" si="19"/>
        <v>962</v>
      </c>
      <c r="G1233" s="26"/>
      <c r="K1233" s="10"/>
    </row>
    <row r="1234" spans="1:11" x14ac:dyDescent="0.25">
      <c r="A1234" s="61">
        <v>42728</v>
      </c>
      <c r="B1234" s="462" t="s">
        <v>1028</v>
      </c>
      <c r="C1234" s="463"/>
      <c r="D1234" s="71"/>
      <c r="E1234" s="58">
        <v>200000</v>
      </c>
      <c r="F1234" s="8">
        <f t="shared" si="19"/>
        <v>200962</v>
      </c>
      <c r="G1234" s="26"/>
      <c r="K1234" s="10"/>
    </row>
    <row r="1235" spans="1:11" x14ac:dyDescent="0.25">
      <c r="A1235" s="61">
        <v>42728</v>
      </c>
      <c r="B1235" s="26" t="s">
        <v>121</v>
      </c>
      <c r="C1235" s="87" t="s">
        <v>32</v>
      </c>
      <c r="D1235" s="8">
        <v>5000</v>
      </c>
      <c r="E1235" s="8"/>
      <c r="F1235" s="8">
        <f t="shared" si="19"/>
        <v>195962</v>
      </c>
      <c r="G1235" s="26"/>
      <c r="K1235" s="10"/>
    </row>
    <row r="1236" spans="1:11" ht="30" x14ac:dyDescent="0.25">
      <c r="A1236" s="61">
        <v>42728</v>
      </c>
      <c r="B1236" s="29" t="s">
        <v>231</v>
      </c>
      <c r="C1236" s="89" t="s">
        <v>1096</v>
      </c>
      <c r="D1236" s="14">
        <v>30000</v>
      </c>
      <c r="E1236" s="8"/>
      <c r="F1236" s="8">
        <f t="shared" si="19"/>
        <v>165962</v>
      </c>
      <c r="G1236" s="26"/>
      <c r="K1236" s="10"/>
    </row>
    <row r="1237" spans="1:11" x14ac:dyDescent="0.25">
      <c r="A1237" s="61">
        <v>42728</v>
      </c>
      <c r="B1237" s="26" t="s">
        <v>28</v>
      </c>
      <c r="C1237" s="87" t="s">
        <v>32</v>
      </c>
      <c r="D1237" s="8">
        <v>10000</v>
      </c>
      <c r="E1237" s="8"/>
      <c r="F1237" s="8">
        <f t="shared" si="19"/>
        <v>155962</v>
      </c>
      <c r="G1237" s="26"/>
      <c r="K1237" s="10"/>
    </row>
    <row r="1238" spans="1:11" x14ac:dyDescent="0.25">
      <c r="A1238" s="61">
        <v>42728</v>
      </c>
      <c r="B1238" s="26" t="s">
        <v>43</v>
      </c>
      <c r="C1238" s="87" t="s">
        <v>32</v>
      </c>
      <c r="D1238" s="8">
        <v>500</v>
      </c>
      <c r="E1238" s="8"/>
      <c r="F1238" s="8">
        <f t="shared" si="19"/>
        <v>155462</v>
      </c>
      <c r="G1238" s="26"/>
      <c r="K1238" s="10"/>
    </row>
    <row r="1239" spans="1:11" x14ac:dyDescent="0.25">
      <c r="A1239" s="61">
        <v>42728</v>
      </c>
      <c r="B1239" s="26" t="s">
        <v>117</v>
      </c>
      <c r="C1239" s="87" t="s">
        <v>32</v>
      </c>
      <c r="D1239" s="8">
        <v>3500</v>
      </c>
      <c r="E1239" s="8"/>
      <c r="F1239" s="8">
        <f t="shared" si="19"/>
        <v>151962</v>
      </c>
      <c r="G1239" s="26"/>
      <c r="K1239" s="25"/>
    </row>
    <row r="1240" spans="1:11" x14ac:dyDescent="0.25">
      <c r="A1240" s="61">
        <v>42728</v>
      </c>
      <c r="B1240" s="26" t="s">
        <v>117</v>
      </c>
      <c r="C1240" s="87" t="s">
        <v>1029</v>
      </c>
      <c r="D1240" s="8">
        <v>4400</v>
      </c>
      <c r="E1240" s="8"/>
      <c r="F1240" s="8">
        <f t="shared" si="19"/>
        <v>147562</v>
      </c>
      <c r="G1240" s="26"/>
    </row>
    <row r="1241" spans="1:11" x14ac:dyDescent="0.25">
      <c r="A1241" s="61">
        <v>42728</v>
      </c>
      <c r="B1241" s="29" t="s">
        <v>231</v>
      </c>
      <c r="C1241" s="89" t="s">
        <v>1030</v>
      </c>
      <c r="D1241" s="14">
        <v>1700</v>
      </c>
      <c r="E1241" s="8"/>
      <c r="F1241" s="8">
        <f t="shared" si="19"/>
        <v>145862</v>
      </c>
      <c r="G1241" s="26"/>
      <c r="K1241" s="25"/>
    </row>
    <row r="1242" spans="1:11" ht="30" x14ac:dyDescent="0.25">
      <c r="A1242" s="61">
        <v>42728</v>
      </c>
      <c r="B1242" s="26" t="s">
        <v>1033</v>
      </c>
      <c r="C1242" s="87" t="s">
        <v>1056</v>
      </c>
      <c r="D1242" s="8">
        <v>16500</v>
      </c>
      <c r="E1242" s="8"/>
      <c r="F1242" s="8">
        <f t="shared" si="19"/>
        <v>129362</v>
      </c>
      <c r="G1242" s="26"/>
    </row>
    <row r="1243" spans="1:11" x14ac:dyDescent="0.25">
      <c r="A1243" s="61">
        <v>42724</v>
      </c>
      <c r="B1243" s="26" t="s">
        <v>26</v>
      </c>
      <c r="C1243" s="87" t="s">
        <v>1034</v>
      </c>
      <c r="D1243" s="8">
        <f>440+50+50</f>
        <v>540</v>
      </c>
      <c r="E1243" s="8"/>
      <c r="F1243" s="8">
        <f t="shared" si="19"/>
        <v>128822</v>
      </c>
      <c r="G1243" s="26"/>
    </row>
    <row r="1244" spans="1:11" x14ac:dyDescent="0.25">
      <c r="A1244" s="61">
        <v>42728</v>
      </c>
      <c r="B1244" s="26" t="s">
        <v>165</v>
      </c>
      <c r="C1244" s="26" t="s">
        <v>32</v>
      </c>
      <c r="D1244" s="8">
        <v>20000</v>
      </c>
      <c r="E1244" s="8"/>
      <c r="F1244" s="8">
        <f t="shared" si="19"/>
        <v>108822</v>
      </c>
      <c r="G1244" s="26"/>
    </row>
    <row r="1245" spans="1:11" x14ac:dyDescent="0.25">
      <c r="A1245" s="61">
        <v>42730</v>
      </c>
      <c r="B1245" s="26" t="s">
        <v>964</v>
      </c>
      <c r="C1245" s="87" t="s">
        <v>295</v>
      </c>
      <c r="D1245" s="8">
        <v>10000</v>
      </c>
      <c r="E1245" s="8"/>
      <c r="F1245" s="8">
        <f t="shared" si="19"/>
        <v>98822</v>
      </c>
      <c r="G1245" s="26"/>
    </row>
    <row r="1246" spans="1:11" x14ac:dyDescent="0.25">
      <c r="A1246" s="61">
        <v>42730</v>
      </c>
      <c r="B1246" s="26" t="s">
        <v>155</v>
      </c>
      <c r="C1246" s="87" t="s">
        <v>32</v>
      </c>
      <c r="D1246" s="8">
        <v>5000</v>
      </c>
      <c r="E1246" s="8"/>
      <c r="F1246" s="8">
        <f t="shared" si="19"/>
        <v>93822</v>
      </c>
      <c r="G1246" s="26"/>
    </row>
    <row r="1247" spans="1:11" x14ac:dyDescent="0.25">
      <c r="A1247" s="61">
        <v>42730</v>
      </c>
      <c r="B1247" s="26" t="s">
        <v>1035</v>
      </c>
      <c r="C1247" s="87" t="s">
        <v>1036</v>
      </c>
      <c r="D1247" s="8">
        <v>600</v>
      </c>
      <c r="E1247" s="8"/>
      <c r="F1247" s="8">
        <f t="shared" si="19"/>
        <v>93222</v>
      </c>
      <c r="G1247" s="26"/>
    </row>
    <row r="1248" spans="1:11" x14ac:dyDescent="0.25">
      <c r="A1248" s="61">
        <v>42730</v>
      </c>
      <c r="B1248" s="26" t="s">
        <v>778</v>
      </c>
      <c r="C1248" s="87" t="s">
        <v>791</v>
      </c>
      <c r="D1248" s="8">
        <v>3000</v>
      </c>
      <c r="E1248" s="8"/>
      <c r="F1248" s="8">
        <f t="shared" si="19"/>
        <v>90222</v>
      </c>
      <c r="G1248" s="26"/>
    </row>
    <row r="1249" spans="1:7" x14ac:dyDescent="0.25">
      <c r="A1249" s="61">
        <v>42730</v>
      </c>
      <c r="B1249" s="26" t="s">
        <v>914</v>
      </c>
      <c r="C1249" s="87" t="s">
        <v>32</v>
      </c>
      <c r="D1249" s="8">
        <v>20000</v>
      </c>
      <c r="E1249" s="8"/>
      <c r="F1249" s="8">
        <f t="shared" si="19"/>
        <v>70222</v>
      </c>
      <c r="G1249" s="26"/>
    </row>
    <row r="1250" spans="1:7" x14ac:dyDescent="0.25">
      <c r="A1250" s="61">
        <v>42730</v>
      </c>
      <c r="B1250" s="26" t="s">
        <v>248</v>
      </c>
      <c r="C1250" s="87" t="s">
        <v>1037</v>
      </c>
      <c r="D1250" s="8">
        <v>960</v>
      </c>
      <c r="E1250" s="8"/>
      <c r="F1250" s="8">
        <f t="shared" si="19"/>
        <v>69262</v>
      </c>
      <c r="G1250" s="26"/>
    </row>
    <row r="1251" spans="1:7" x14ac:dyDescent="0.25">
      <c r="A1251" s="61">
        <v>42730</v>
      </c>
      <c r="B1251" s="26" t="s">
        <v>61</v>
      </c>
      <c r="C1251" s="87" t="s">
        <v>32</v>
      </c>
      <c r="D1251" s="8">
        <v>7000</v>
      </c>
      <c r="E1251" s="8"/>
      <c r="F1251" s="8">
        <f t="shared" si="19"/>
        <v>62262</v>
      </c>
      <c r="G1251" s="26"/>
    </row>
    <row r="1252" spans="1:7" x14ac:dyDescent="0.25">
      <c r="A1252" s="61">
        <v>42730</v>
      </c>
      <c r="B1252" s="26" t="s">
        <v>964</v>
      </c>
      <c r="C1252" s="87" t="s">
        <v>41</v>
      </c>
      <c r="D1252" s="8">
        <v>20000</v>
      </c>
      <c r="E1252" s="8"/>
      <c r="F1252" s="8">
        <f t="shared" si="19"/>
        <v>42262</v>
      </c>
      <c r="G1252" s="26"/>
    </row>
    <row r="1253" spans="1:7" x14ac:dyDescent="0.25">
      <c r="A1253" s="61">
        <v>42730</v>
      </c>
      <c r="B1253" s="26" t="s">
        <v>446</v>
      </c>
      <c r="C1253" s="87" t="s">
        <v>1057</v>
      </c>
      <c r="D1253" s="8">
        <v>18000</v>
      </c>
      <c r="E1253" s="8"/>
      <c r="F1253" s="8">
        <f t="shared" si="19"/>
        <v>24262</v>
      </c>
      <c r="G1253" s="26"/>
    </row>
    <row r="1254" spans="1:7" x14ac:dyDescent="0.25">
      <c r="A1254" s="61">
        <v>42724</v>
      </c>
      <c r="B1254" s="26" t="s">
        <v>26</v>
      </c>
      <c r="C1254" s="87" t="s">
        <v>1042</v>
      </c>
      <c r="D1254" s="8">
        <v>20</v>
      </c>
      <c r="E1254" s="8"/>
      <c r="F1254" s="8">
        <f t="shared" si="19"/>
        <v>24242</v>
      </c>
      <c r="G1254" s="26"/>
    </row>
    <row r="1255" spans="1:7" x14ac:dyDescent="0.25">
      <c r="A1255" s="61">
        <v>42731</v>
      </c>
      <c r="B1255" s="29" t="s">
        <v>17</v>
      </c>
      <c r="C1255" s="89" t="s">
        <v>1038</v>
      </c>
      <c r="D1255" s="14">
        <v>500</v>
      </c>
      <c r="E1255" s="8"/>
      <c r="F1255" s="8">
        <f t="shared" si="19"/>
        <v>23742</v>
      </c>
      <c r="G1255" s="26"/>
    </row>
    <row r="1256" spans="1:7" x14ac:dyDescent="0.25">
      <c r="A1256" s="61">
        <v>42731</v>
      </c>
      <c r="B1256" s="29" t="s">
        <v>54</v>
      </c>
      <c r="C1256" s="89" t="s">
        <v>1039</v>
      </c>
      <c r="D1256" s="14">
        <v>200</v>
      </c>
      <c r="E1256" s="8"/>
      <c r="F1256" s="8">
        <f t="shared" si="19"/>
        <v>23542</v>
      </c>
      <c r="G1256" s="26"/>
    </row>
    <row r="1257" spans="1:7" ht="45" x14ac:dyDescent="0.25">
      <c r="A1257" s="61">
        <v>42731</v>
      </c>
      <c r="B1257" s="26" t="s">
        <v>368</v>
      </c>
      <c r="C1257" s="87" t="s">
        <v>1058</v>
      </c>
      <c r="D1257" s="8">
        <v>20000</v>
      </c>
      <c r="E1257" s="8"/>
      <c r="F1257" s="8">
        <f t="shared" si="19"/>
        <v>3542</v>
      </c>
      <c r="G1257" s="26"/>
    </row>
    <row r="1258" spans="1:7" x14ac:dyDescent="0.25">
      <c r="A1258" s="61"/>
      <c r="B1258" s="462" t="s">
        <v>1028</v>
      </c>
      <c r="C1258" s="463"/>
      <c r="D1258" s="71"/>
      <c r="E1258" s="58">
        <v>97000</v>
      </c>
      <c r="F1258" s="8">
        <f t="shared" si="19"/>
        <v>100542</v>
      </c>
      <c r="G1258" s="26"/>
    </row>
    <row r="1259" spans="1:7" x14ac:dyDescent="0.25">
      <c r="A1259" s="61">
        <v>42731</v>
      </c>
      <c r="B1259" s="26" t="s">
        <v>17</v>
      </c>
      <c r="C1259" s="87" t="s">
        <v>32</v>
      </c>
      <c r="D1259" s="8">
        <v>5000</v>
      </c>
      <c r="E1259" s="8"/>
      <c r="F1259" s="8">
        <f t="shared" si="19"/>
        <v>95542</v>
      </c>
      <c r="G1259" s="26"/>
    </row>
    <row r="1260" spans="1:7" x14ac:dyDescent="0.25">
      <c r="A1260" s="61">
        <v>42732</v>
      </c>
      <c r="B1260" s="26" t="s">
        <v>165</v>
      </c>
      <c r="C1260" s="87" t="s">
        <v>32</v>
      </c>
      <c r="D1260" s="8">
        <v>10000</v>
      </c>
      <c r="E1260" s="8"/>
      <c r="F1260" s="8">
        <f t="shared" si="19"/>
        <v>85542</v>
      </c>
      <c r="G1260" s="26"/>
    </row>
    <row r="1261" spans="1:7" x14ac:dyDescent="0.25">
      <c r="A1261" s="61">
        <v>42732</v>
      </c>
      <c r="B1261" s="26" t="s">
        <v>165</v>
      </c>
      <c r="C1261" s="87" t="s">
        <v>32</v>
      </c>
      <c r="D1261" s="8">
        <v>20000</v>
      </c>
      <c r="E1261" s="8"/>
      <c r="F1261" s="8">
        <f t="shared" si="19"/>
        <v>65542</v>
      </c>
      <c r="G1261" s="26"/>
    </row>
    <row r="1262" spans="1:7" x14ac:dyDescent="0.25">
      <c r="A1262" s="61">
        <v>42732</v>
      </c>
      <c r="B1262" s="26" t="s">
        <v>26</v>
      </c>
      <c r="C1262" s="87" t="s">
        <v>1040</v>
      </c>
      <c r="D1262" s="8">
        <v>27015</v>
      </c>
      <c r="E1262" s="8"/>
      <c r="F1262" s="8">
        <f t="shared" si="19"/>
        <v>38527</v>
      </c>
      <c r="G1262" s="26"/>
    </row>
    <row r="1263" spans="1:7" x14ac:dyDescent="0.25">
      <c r="A1263" s="61">
        <v>42732</v>
      </c>
      <c r="B1263" s="197" t="s">
        <v>87</v>
      </c>
      <c r="C1263" s="198" t="s">
        <v>1041</v>
      </c>
      <c r="D1263" s="75">
        <v>300</v>
      </c>
      <c r="E1263" s="8"/>
      <c r="F1263" s="8">
        <f t="shared" si="19"/>
        <v>38227</v>
      </c>
      <c r="G1263" s="26"/>
    </row>
    <row r="1264" spans="1:7" x14ac:dyDescent="0.25">
      <c r="A1264" s="61">
        <v>42732</v>
      </c>
      <c r="B1264" s="26" t="s">
        <v>26</v>
      </c>
      <c r="C1264" s="87" t="s">
        <v>508</v>
      </c>
      <c r="D1264" s="8">
        <v>340</v>
      </c>
      <c r="E1264" s="8"/>
      <c r="F1264" s="8">
        <f t="shared" si="19"/>
        <v>37887</v>
      </c>
      <c r="G1264" s="26"/>
    </row>
    <row r="1265" spans="1:11" x14ac:dyDescent="0.25">
      <c r="A1265" s="61">
        <v>42732</v>
      </c>
      <c r="B1265" s="26" t="s">
        <v>87</v>
      </c>
      <c r="C1265" s="87" t="s">
        <v>1043</v>
      </c>
      <c r="D1265" s="8">
        <v>400</v>
      </c>
      <c r="E1265" s="8"/>
      <c r="F1265" s="8">
        <f t="shared" si="19"/>
        <v>37487</v>
      </c>
      <c r="G1265" s="26"/>
    </row>
    <row r="1266" spans="1:11" x14ac:dyDescent="0.25">
      <c r="A1266" s="61">
        <v>42732</v>
      </c>
      <c r="B1266" s="26" t="s">
        <v>26</v>
      </c>
      <c r="C1266" s="87" t="s">
        <v>1048</v>
      </c>
      <c r="D1266" s="8">
        <v>100</v>
      </c>
      <c r="E1266" s="8"/>
      <c r="F1266" s="8">
        <f t="shared" si="19"/>
        <v>37387</v>
      </c>
      <c r="G1266" s="26"/>
    </row>
    <row r="1267" spans="1:11" x14ac:dyDescent="0.25">
      <c r="A1267" s="61">
        <v>42732</v>
      </c>
      <c r="B1267" s="26" t="s">
        <v>231</v>
      </c>
      <c r="C1267" s="87" t="s">
        <v>1044</v>
      </c>
      <c r="D1267" s="8">
        <v>1500</v>
      </c>
      <c r="E1267" s="8"/>
      <c r="F1267" s="8">
        <f t="shared" si="19"/>
        <v>35887</v>
      </c>
      <c r="G1267" s="26"/>
    </row>
    <row r="1268" spans="1:11" x14ac:dyDescent="0.25">
      <c r="A1268" s="61">
        <v>42733</v>
      </c>
      <c r="B1268" s="26" t="s">
        <v>1045</v>
      </c>
      <c r="C1268" s="87" t="s">
        <v>1046</v>
      </c>
      <c r="D1268" s="8">
        <v>10000</v>
      </c>
      <c r="E1268" s="8"/>
      <c r="F1268" s="8">
        <f t="shared" si="19"/>
        <v>25887</v>
      </c>
      <c r="G1268" s="26"/>
    </row>
    <row r="1269" spans="1:11" x14ac:dyDescent="0.25">
      <c r="A1269" s="61">
        <v>42733</v>
      </c>
      <c r="B1269" s="29" t="s">
        <v>4</v>
      </c>
      <c r="C1269" s="89" t="s">
        <v>32</v>
      </c>
      <c r="D1269" s="14">
        <v>5000</v>
      </c>
      <c r="E1269" s="8"/>
      <c r="F1269" s="8">
        <f t="shared" si="19"/>
        <v>20887</v>
      </c>
      <c r="G1269" s="26"/>
    </row>
    <row r="1270" spans="1:11" x14ac:dyDescent="0.25">
      <c r="A1270" s="61">
        <v>42733</v>
      </c>
      <c r="B1270" s="29" t="s">
        <v>28</v>
      </c>
      <c r="C1270" s="89" t="s">
        <v>32</v>
      </c>
      <c r="D1270" s="14">
        <v>5000</v>
      </c>
      <c r="E1270" s="8"/>
      <c r="F1270" s="8">
        <f t="shared" si="19"/>
        <v>15887</v>
      </c>
      <c r="G1270" s="26"/>
    </row>
    <row r="1271" spans="1:11" x14ac:dyDescent="0.25">
      <c r="A1271" s="61">
        <v>42733</v>
      </c>
      <c r="B1271" s="26" t="s">
        <v>26</v>
      </c>
      <c r="C1271" s="87" t="s">
        <v>1055</v>
      </c>
      <c r="D1271" s="8">
        <v>30</v>
      </c>
      <c r="E1271" s="8"/>
      <c r="F1271" s="8">
        <f t="shared" si="19"/>
        <v>15857</v>
      </c>
      <c r="G1271" s="26"/>
    </row>
    <row r="1272" spans="1:11" x14ac:dyDescent="0.25">
      <c r="A1272" s="61">
        <v>42733</v>
      </c>
      <c r="B1272" s="26" t="s">
        <v>28</v>
      </c>
      <c r="C1272" s="87" t="s">
        <v>1047</v>
      </c>
      <c r="D1272" s="8">
        <v>15000</v>
      </c>
      <c r="E1272" s="8"/>
      <c r="F1272" s="8">
        <f t="shared" si="19"/>
        <v>857</v>
      </c>
      <c r="G1272" s="26"/>
    </row>
    <row r="1273" spans="1:11" x14ac:dyDescent="0.25">
      <c r="A1273" s="61">
        <v>42733</v>
      </c>
      <c r="B1273" s="462" t="s">
        <v>1028</v>
      </c>
      <c r="C1273" s="463"/>
      <c r="D1273" s="71"/>
      <c r="E1273" s="58">
        <v>100000</v>
      </c>
      <c r="F1273" s="8">
        <f t="shared" si="19"/>
        <v>100857</v>
      </c>
      <c r="G1273" s="26"/>
    </row>
    <row r="1274" spans="1:11" x14ac:dyDescent="0.25">
      <c r="A1274" s="61">
        <v>42733</v>
      </c>
      <c r="B1274" s="26" t="s">
        <v>165</v>
      </c>
      <c r="C1274" s="87" t="s">
        <v>32</v>
      </c>
      <c r="D1274" s="8">
        <v>35000</v>
      </c>
      <c r="E1274" s="8"/>
      <c r="F1274" s="8">
        <f t="shared" si="19"/>
        <v>65857</v>
      </c>
      <c r="G1274" s="26"/>
    </row>
    <row r="1275" spans="1:11" x14ac:dyDescent="0.25">
      <c r="A1275" s="61">
        <v>42733</v>
      </c>
      <c r="B1275" s="26" t="s">
        <v>231</v>
      </c>
      <c r="C1275" s="87" t="s">
        <v>1049</v>
      </c>
      <c r="D1275" s="8">
        <v>2400</v>
      </c>
      <c r="E1275" s="8"/>
      <c r="F1275" s="8">
        <f t="shared" si="19"/>
        <v>63457</v>
      </c>
      <c r="G1275" s="26"/>
    </row>
    <row r="1276" spans="1:11" ht="30" x14ac:dyDescent="0.25">
      <c r="A1276" s="61">
        <v>42733</v>
      </c>
      <c r="B1276" s="29" t="s">
        <v>231</v>
      </c>
      <c r="C1276" s="89" t="s">
        <v>1051</v>
      </c>
      <c r="D1276" s="14">
        <v>5000</v>
      </c>
      <c r="E1276" s="8"/>
      <c r="F1276" s="8">
        <f t="shared" si="19"/>
        <v>58457</v>
      </c>
      <c r="G1276" s="26"/>
    </row>
    <row r="1277" spans="1:11" x14ac:dyDescent="0.25">
      <c r="A1277" s="61">
        <v>42733</v>
      </c>
      <c r="B1277" s="26" t="s">
        <v>161</v>
      </c>
      <c r="C1277" s="87" t="s">
        <v>12</v>
      </c>
      <c r="D1277" s="8">
        <v>5000</v>
      </c>
      <c r="E1277" s="8"/>
      <c r="F1277" s="8">
        <f t="shared" si="19"/>
        <v>53457</v>
      </c>
      <c r="G1277" s="26"/>
    </row>
    <row r="1278" spans="1:11" x14ac:dyDescent="0.25">
      <c r="A1278" s="61">
        <v>42733</v>
      </c>
      <c r="B1278" s="26" t="s">
        <v>28</v>
      </c>
      <c r="C1278" s="87" t="s">
        <v>32</v>
      </c>
      <c r="D1278" s="8">
        <v>2000</v>
      </c>
      <c r="E1278" s="8"/>
      <c r="F1278" s="8">
        <f t="shared" si="19"/>
        <v>51457</v>
      </c>
      <c r="G1278" s="26"/>
    </row>
    <row r="1279" spans="1:11" x14ac:dyDescent="0.25">
      <c r="A1279" s="61">
        <v>42733</v>
      </c>
      <c r="B1279" s="26" t="s">
        <v>161</v>
      </c>
      <c r="C1279" s="87" t="s">
        <v>69</v>
      </c>
      <c r="D1279" s="8">
        <v>3500</v>
      </c>
      <c r="E1279" s="8"/>
      <c r="F1279" s="8">
        <f t="shared" si="19"/>
        <v>47957</v>
      </c>
      <c r="G1279" s="26"/>
    </row>
    <row r="1280" spans="1:11" x14ac:dyDescent="0.25">
      <c r="A1280" s="61">
        <v>42734</v>
      </c>
      <c r="B1280" s="26" t="s">
        <v>161</v>
      </c>
      <c r="C1280" s="87" t="s">
        <v>1050</v>
      </c>
      <c r="D1280" s="8">
        <v>3000</v>
      </c>
      <c r="E1280" s="8"/>
      <c r="F1280" s="8">
        <f t="shared" si="19"/>
        <v>44957</v>
      </c>
      <c r="G1280" s="26"/>
      <c r="K1280" s="10"/>
    </row>
    <row r="1281" spans="1:7" x14ac:dyDescent="0.25">
      <c r="A1281" s="61">
        <v>42734</v>
      </c>
      <c r="B1281" s="29" t="s">
        <v>568</v>
      </c>
      <c r="C1281" s="89" t="s">
        <v>1054</v>
      </c>
      <c r="D1281" s="14">
        <v>40000</v>
      </c>
      <c r="E1281" s="8"/>
      <c r="F1281" s="8">
        <f t="shared" si="19"/>
        <v>4957</v>
      </c>
      <c r="G1281" s="26"/>
    </row>
    <row r="1282" spans="1:7" x14ac:dyDescent="0.25">
      <c r="A1282" s="61">
        <v>42735</v>
      </c>
      <c r="B1282" s="26" t="s">
        <v>157</v>
      </c>
      <c r="C1282" s="87" t="s">
        <v>1053</v>
      </c>
      <c r="D1282" s="8">
        <v>1500</v>
      </c>
      <c r="E1282" s="8"/>
      <c r="F1282" s="8">
        <f t="shared" si="19"/>
        <v>3457</v>
      </c>
      <c r="G1282" s="26"/>
    </row>
    <row r="1283" spans="1:7" x14ac:dyDescent="0.25">
      <c r="A1283" s="61">
        <v>42735</v>
      </c>
      <c r="B1283" s="26" t="s">
        <v>26</v>
      </c>
      <c r="C1283" s="87" t="s">
        <v>1120</v>
      </c>
      <c r="D1283" s="8">
        <v>1400</v>
      </c>
      <c r="E1283" s="8"/>
      <c r="F1283" s="8">
        <f t="shared" ref="F1283:F1346" si="20">F1282-D1283+E1283</f>
        <v>2057</v>
      </c>
      <c r="G1283" s="26"/>
    </row>
    <row r="1284" spans="1:7" x14ac:dyDescent="0.25">
      <c r="A1284" s="61">
        <v>42737</v>
      </c>
      <c r="B1284" s="26" t="s">
        <v>26</v>
      </c>
      <c r="C1284" s="87" t="s">
        <v>1059</v>
      </c>
      <c r="D1284" s="8">
        <v>90</v>
      </c>
      <c r="E1284" s="8"/>
      <c r="F1284" s="8">
        <f t="shared" si="20"/>
        <v>1967</v>
      </c>
      <c r="G1284" s="26"/>
    </row>
    <row r="1285" spans="1:7" x14ac:dyDescent="0.25">
      <c r="A1285" s="61">
        <v>42738</v>
      </c>
      <c r="B1285" s="462" t="s">
        <v>1028</v>
      </c>
      <c r="C1285" s="463"/>
      <c r="D1285" s="71"/>
      <c r="E1285" s="58">
        <v>200000</v>
      </c>
      <c r="F1285" s="8">
        <f t="shared" si="20"/>
        <v>201967</v>
      </c>
      <c r="G1285" s="26"/>
    </row>
    <row r="1286" spans="1:7" x14ac:dyDescent="0.25">
      <c r="A1286" s="61">
        <v>42738</v>
      </c>
      <c r="B1286" s="26" t="s">
        <v>1060</v>
      </c>
      <c r="C1286" s="87" t="s">
        <v>1061</v>
      </c>
      <c r="D1286" s="8">
        <v>60000</v>
      </c>
      <c r="E1286" s="8"/>
      <c r="F1286" s="8">
        <f t="shared" si="20"/>
        <v>141967</v>
      </c>
      <c r="G1286" s="26"/>
    </row>
    <row r="1287" spans="1:7" x14ac:dyDescent="0.25">
      <c r="A1287" s="61">
        <v>42738</v>
      </c>
      <c r="B1287" s="26" t="s">
        <v>182</v>
      </c>
      <c r="C1287" s="87" t="s">
        <v>41</v>
      </c>
      <c r="D1287" s="8">
        <v>10000</v>
      </c>
      <c r="E1287" s="8"/>
      <c r="F1287" s="8">
        <f t="shared" si="20"/>
        <v>131967</v>
      </c>
      <c r="G1287" s="26"/>
    </row>
    <row r="1288" spans="1:7" x14ac:dyDescent="0.25">
      <c r="A1288" s="61">
        <v>42738</v>
      </c>
      <c r="B1288" s="38" t="s">
        <v>231</v>
      </c>
      <c r="C1288" s="202" t="s">
        <v>32</v>
      </c>
      <c r="D1288" s="115">
        <v>1000</v>
      </c>
      <c r="E1288" s="8"/>
      <c r="F1288" s="8">
        <f t="shared" si="20"/>
        <v>130967</v>
      </c>
      <c r="G1288" s="26"/>
    </row>
    <row r="1289" spans="1:7" x14ac:dyDescent="0.25">
      <c r="A1289" s="61">
        <v>42738</v>
      </c>
      <c r="B1289" s="26" t="s">
        <v>1062</v>
      </c>
      <c r="C1289" s="87" t="s">
        <v>1063</v>
      </c>
      <c r="D1289" s="8">
        <v>1200</v>
      </c>
      <c r="E1289" s="8"/>
      <c r="F1289" s="8">
        <f t="shared" si="20"/>
        <v>129767</v>
      </c>
      <c r="G1289" s="26"/>
    </row>
    <row r="1290" spans="1:7" ht="30" x14ac:dyDescent="0.25">
      <c r="A1290" s="61">
        <v>42738</v>
      </c>
      <c r="B1290" s="26" t="s">
        <v>1064</v>
      </c>
      <c r="C1290" s="87" t="s">
        <v>1065</v>
      </c>
      <c r="D1290" s="8">
        <v>100000</v>
      </c>
      <c r="E1290" s="8"/>
      <c r="F1290" s="8">
        <f t="shared" si="20"/>
        <v>29767</v>
      </c>
      <c r="G1290" s="26"/>
    </row>
    <row r="1291" spans="1:7" x14ac:dyDescent="0.25">
      <c r="A1291" s="61">
        <v>42738</v>
      </c>
      <c r="B1291" s="26" t="s">
        <v>446</v>
      </c>
      <c r="C1291" s="87" t="s">
        <v>1079</v>
      </c>
      <c r="D1291" s="8">
        <v>2600</v>
      </c>
      <c r="E1291" s="8"/>
      <c r="F1291" s="8">
        <f t="shared" si="20"/>
        <v>27167</v>
      </c>
      <c r="G1291" s="26"/>
    </row>
    <row r="1292" spans="1:7" x14ac:dyDescent="0.25">
      <c r="A1292" s="61">
        <v>42738</v>
      </c>
      <c r="B1292" s="26" t="s">
        <v>446</v>
      </c>
      <c r="C1292" s="87" t="s">
        <v>32</v>
      </c>
      <c r="D1292" s="8">
        <v>400</v>
      </c>
      <c r="E1292" s="8"/>
      <c r="F1292" s="8">
        <f t="shared" si="20"/>
        <v>26767</v>
      </c>
      <c r="G1292" s="26"/>
    </row>
    <row r="1293" spans="1:7" x14ac:dyDescent="0.25">
      <c r="A1293" s="61">
        <v>42738</v>
      </c>
      <c r="B1293" s="26" t="s">
        <v>778</v>
      </c>
      <c r="C1293" s="87" t="s">
        <v>41</v>
      </c>
      <c r="D1293" s="8">
        <v>1500</v>
      </c>
      <c r="E1293" s="8"/>
      <c r="F1293" s="8">
        <f t="shared" si="20"/>
        <v>25267</v>
      </c>
      <c r="G1293" s="26"/>
    </row>
    <row r="1294" spans="1:7" x14ac:dyDescent="0.25">
      <c r="A1294" s="61">
        <v>42738</v>
      </c>
      <c r="B1294" s="26" t="s">
        <v>1066</v>
      </c>
      <c r="C1294" s="87" t="s">
        <v>1067</v>
      </c>
      <c r="D1294" s="8">
        <v>1500</v>
      </c>
      <c r="E1294" s="8"/>
      <c r="F1294" s="8">
        <f t="shared" si="20"/>
        <v>23767</v>
      </c>
      <c r="G1294" s="26"/>
    </row>
    <row r="1295" spans="1:7" x14ac:dyDescent="0.25">
      <c r="A1295" s="61">
        <v>42738</v>
      </c>
      <c r="B1295" s="26" t="s">
        <v>28</v>
      </c>
      <c r="C1295" s="87" t="s">
        <v>32</v>
      </c>
      <c r="D1295" s="8">
        <v>1000</v>
      </c>
      <c r="E1295" s="8"/>
      <c r="F1295" s="8">
        <f t="shared" si="20"/>
        <v>22767</v>
      </c>
      <c r="G1295" s="26"/>
    </row>
    <row r="1296" spans="1:7" x14ac:dyDescent="0.25">
      <c r="A1296" s="61">
        <v>42738</v>
      </c>
      <c r="B1296" s="29" t="s">
        <v>17</v>
      </c>
      <c r="C1296" s="89" t="s">
        <v>1068</v>
      </c>
      <c r="D1296" s="14">
        <v>3000</v>
      </c>
      <c r="E1296" s="8"/>
      <c r="F1296" s="8">
        <f t="shared" si="20"/>
        <v>19767</v>
      </c>
      <c r="G1296" s="26"/>
    </row>
    <row r="1297" spans="1:7" x14ac:dyDescent="0.25">
      <c r="A1297" s="61">
        <v>42738</v>
      </c>
      <c r="B1297" s="462" t="s">
        <v>1028</v>
      </c>
      <c r="C1297" s="463"/>
      <c r="D1297" s="71"/>
      <c r="E1297" s="58">
        <v>100000</v>
      </c>
      <c r="F1297" s="8">
        <f t="shared" si="20"/>
        <v>119767</v>
      </c>
      <c r="G1297" s="26"/>
    </row>
    <row r="1298" spans="1:7" ht="45" x14ac:dyDescent="0.25">
      <c r="A1298" s="61">
        <v>42738</v>
      </c>
      <c r="B1298" s="29" t="s">
        <v>20</v>
      </c>
      <c r="C1298" s="89" t="s">
        <v>1084</v>
      </c>
      <c r="D1298" s="14">
        <v>2850</v>
      </c>
      <c r="E1298" s="8"/>
      <c r="F1298" s="8">
        <f t="shared" si="20"/>
        <v>116917</v>
      </c>
      <c r="G1298" s="26"/>
    </row>
    <row r="1299" spans="1:7" x14ac:dyDescent="0.25">
      <c r="A1299" s="61">
        <v>42738</v>
      </c>
      <c r="B1299" s="26" t="s">
        <v>121</v>
      </c>
      <c r="C1299" s="87" t="s">
        <v>32</v>
      </c>
      <c r="D1299" s="8">
        <v>5000</v>
      </c>
      <c r="E1299" s="8"/>
      <c r="F1299" s="8">
        <f t="shared" si="20"/>
        <v>111917</v>
      </c>
      <c r="G1299" s="26"/>
    </row>
    <row r="1300" spans="1:7" x14ac:dyDescent="0.25">
      <c r="A1300" s="61">
        <v>42738</v>
      </c>
      <c r="B1300" s="26" t="s">
        <v>1069</v>
      </c>
      <c r="C1300" s="87" t="s">
        <v>1070</v>
      </c>
      <c r="D1300" s="8">
        <v>8000</v>
      </c>
      <c r="E1300" s="8"/>
      <c r="F1300" s="8">
        <f t="shared" si="20"/>
        <v>103917</v>
      </c>
      <c r="G1300" s="26"/>
    </row>
    <row r="1301" spans="1:7" x14ac:dyDescent="0.25">
      <c r="A1301" s="61">
        <v>42738</v>
      </c>
      <c r="B1301" s="26" t="s">
        <v>1071</v>
      </c>
      <c r="C1301" s="87" t="s">
        <v>41</v>
      </c>
      <c r="D1301" s="8">
        <v>50000</v>
      </c>
      <c r="E1301" s="8"/>
      <c r="F1301" s="8">
        <f t="shared" si="20"/>
        <v>53917</v>
      </c>
      <c r="G1301" s="26"/>
    </row>
    <row r="1302" spans="1:7" x14ac:dyDescent="0.25">
      <c r="A1302" s="61">
        <v>42738</v>
      </c>
      <c r="B1302" s="26" t="s">
        <v>1072</v>
      </c>
      <c r="C1302" s="87" t="s">
        <v>1073</v>
      </c>
      <c r="D1302" s="8">
        <v>7600</v>
      </c>
      <c r="E1302" s="8"/>
      <c r="F1302" s="8">
        <f t="shared" si="20"/>
        <v>46317</v>
      </c>
      <c r="G1302" s="26"/>
    </row>
    <row r="1303" spans="1:7" ht="30" x14ac:dyDescent="0.25">
      <c r="A1303" s="61">
        <v>42738</v>
      </c>
      <c r="B1303" s="26" t="s">
        <v>26</v>
      </c>
      <c r="C1303" s="87" t="s">
        <v>1074</v>
      </c>
      <c r="D1303" s="8">
        <v>150</v>
      </c>
      <c r="E1303" s="8"/>
      <c r="F1303" s="8">
        <f t="shared" si="20"/>
        <v>46167</v>
      </c>
      <c r="G1303" s="26"/>
    </row>
    <row r="1304" spans="1:7" ht="45" x14ac:dyDescent="0.25">
      <c r="A1304" s="61">
        <v>42738</v>
      </c>
      <c r="B1304" s="26" t="s">
        <v>231</v>
      </c>
      <c r="C1304" s="87" t="s">
        <v>1082</v>
      </c>
      <c r="D1304" s="8">
        <v>800</v>
      </c>
      <c r="E1304" s="8"/>
      <c r="F1304" s="8">
        <f t="shared" si="20"/>
        <v>45367</v>
      </c>
      <c r="G1304" s="26"/>
    </row>
    <row r="1305" spans="1:7" x14ac:dyDescent="0.25">
      <c r="A1305" s="61">
        <v>42739</v>
      </c>
      <c r="B1305" s="26" t="s">
        <v>17</v>
      </c>
      <c r="C1305" s="87" t="s">
        <v>1075</v>
      </c>
      <c r="D1305" s="8">
        <v>100</v>
      </c>
      <c r="E1305" s="8"/>
      <c r="F1305" s="8">
        <f t="shared" si="20"/>
        <v>45267</v>
      </c>
      <c r="G1305" s="26"/>
    </row>
    <row r="1306" spans="1:7" x14ac:dyDescent="0.25">
      <c r="A1306" s="61">
        <v>42739</v>
      </c>
      <c r="B1306" s="26" t="s">
        <v>121</v>
      </c>
      <c r="C1306" s="87" t="s">
        <v>1077</v>
      </c>
      <c r="D1306" s="8">
        <v>3155</v>
      </c>
      <c r="E1306" s="8"/>
      <c r="F1306" s="8">
        <f t="shared" si="20"/>
        <v>42112</v>
      </c>
      <c r="G1306" s="26"/>
    </row>
    <row r="1307" spans="1:7" x14ac:dyDescent="0.25">
      <c r="A1307" s="61">
        <v>42739</v>
      </c>
      <c r="B1307" s="26" t="s">
        <v>26</v>
      </c>
      <c r="C1307" s="87" t="s">
        <v>1078</v>
      </c>
      <c r="D1307" s="8">
        <v>1000</v>
      </c>
      <c r="E1307" s="8"/>
      <c r="F1307" s="8">
        <f t="shared" si="20"/>
        <v>41112</v>
      </c>
      <c r="G1307" s="26"/>
    </row>
    <row r="1308" spans="1:7" x14ac:dyDescent="0.25">
      <c r="A1308" s="61">
        <v>42739</v>
      </c>
      <c r="B1308" s="26" t="s">
        <v>964</v>
      </c>
      <c r="C1308" s="87" t="s">
        <v>41</v>
      </c>
      <c r="D1308" s="8">
        <v>5000</v>
      </c>
      <c r="E1308" s="8"/>
      <c r="F1308" s="8">
        <f t="shared" si="20"/>
        <v>36112</v>
      </c>
      <c r="G1308" s="26"/>
    </row>
    <row r="1309" spans="1:7" x14ac:dyDescent="0.25">
      <c r="A1309" s="61">
        <v>42739</v>
      </c>
      <c r="B1309" s="26" t="s">
        <v>10</v>
      </c>
      <c r="C1309" s="87" t="s">
        <v>41</v>
      </c>
      <c r="D1309" s="8">
        <v>2000</v>
      </c>
      <c r="E1309" s="8"/>
      <c r="F1309" s="8">
        <f t="shared" si="20"/>
        <v>34112</v>
      </c>
      <c r="G1309" s="26"/>
    </row>
    <row r="1310" spans="1:7" x14ac:dyDescent="0.25">
      <c r="A1310" s="61">
        <v>42739</v>
      </c>
      <c r="B1310" s="29" t="s">
        <v>17</v>
      </c>
      <c r="C1310" s="89" t="s">
        <v>1076</v>
      </c>
      <c r="D1310" s="14">
        <v>500</v>
      </c>
      <c r="E1310" s="14"/>
      <c r="F1310" s="8">
        <f t="shared" si="20"/>
        <v>33612</v>
      </c>
      <c r="G1310" s="26"/>
    </row>
    <row r="1311" spans="1:7" x14ac:dyDescent="0.25">
      <c r="A1311" s="61">
        <v>42739</v>
      </c>
      <c r="B1311" s="29" t="s">
        <v>61</v>
      </c>
      <c r="C1311" s="89" t="s">
        <v>1080</v>
      </c>
      <c r="D1311" s="14">
        <v>20000</v>
      </c>
      <c r="E1311" s="14"/>
      <c r="F1311" s="8">
        <f t="shared" si="20"/>
        <v>13612</v>
      </c>
      <c r="G1311" s="26"/>
    </row>
    <row r="1312" spans="1:7" x14ac:dyDescent="0.25">
      <c r="A1312" s="61">
        <v>42739</v>
      </c>
      <c r="B1312" s="462" t="s">
        <v>1028</v>
      </c>
      <c r="C1312" s="463"/>
      <c r="D1312" s="71"/>
      <c r="E1312" s="58">
        <v>100000</v>
      </c>
      <c r="F1312" s="8">
        <f t="shared" si="20"/>
        <v>113612</v>
      </c>
      <c r="G1312" s="26"/>
    </row>
    <row r="1313" spans="1:7" x14ac:dyDescent="0.25">
      <c r="A1313" s="61">
        <v>42739</v>
      </c>
      <c r="B1313" s="26" t="s">
        <v>17</v>
      </c>
      <c r="C1313" s="87" t="s">
        <v>32</v>
      </c>
      <c r="D1313" s="8">
        <v>500</v>
      </c>
      <c r="E1313" s="8"/>
      <c r="F1313" s="8">
        <f t="shared" si="20"/>
        <v>113112</v>
      </c>
      <c r="G1313" s="26"/>
    </row>
    <row r="1314" spans="1:7" x14ac:dyDescent="0.25">
      <c r="A1314" s="61">
        <v>42739</v>
      </c>
      <c r="B1314" s="26" t="s">
        <v>26</v>
      </c>
      <c r="C1314" s="87" t="s">
        <v>1081</v>
      </c>
      <c r="D1314" s="8">
        <v>800</v>
      </c>
      <c r="E1314" s="8"/>
      <c r="F1314" s="8">
        <f t="shared" si="20"/>
        <v>112312</v>
      </c>
      <c r="G1314" s="26"/>
    </row>
    <row r="1315" spans="1:7" x14ac:dyDescent="0.25">
      <c r="A1315" s="61">
        <v>42739</v>
      </c>
      <c r="B1315" s="26" t="s">
        <v>4</v>
      </c>
      <c r="C1315" s="87" t="s">
        <v>32</v>
      </c>
      <c r="D1315" s="8">
        <v>3000</v>
      </c>
      <c r="E1315" s="8"/>
      <c r="F1315" s="8">
        <f t="shared" si="20"/>
        <v>109312</v>
      </c>
      <c r="G1315" s="26"/>
    </row>
    <row r="1316" spans="1:7" x14ac:dyDescent="0.25">
      <c r="A1316" s="61">
        <v>42739</v>
      </c>
      <c r="B1316" s="29" t="s">
        <v>569</v>
      </c>
      <c r="C1316" s="89" t="s">
        <v>1092</v>
      </c>
      <c r="D1316" s="14">
        <v>3500</v>
      </c>
      <c r="E1316" s="8"/>
      <c r="F1316" s="8">
        <f t="shared" si="20"/>
        <v>105812</v>
      </c>
      <c r="G1316" s="26"/>
    </row>
    <row r="1317" spans="1:7" x14ac:dyDescent="0.25">
      <c r="A1317" s="61">
        <v>42739</v>
      </c>
      <c r="B1317" s="26" t="s">
        <v>26</v>
      </c>
      <c r="C1317" s="87" t="s">
        <v>1083</v>
      </c>
      <c r="D1317" s="8">
        <v>50</v>
      </c>
      <c r="E1317" s="8"/>
      <c r="F1317" s="8">
        <f t="shared" si="20"/>
        <v>105762</v>
      </c>
      <c r="G1317" s="26"/>
    </row>
    <row r="1318" spans="1:7" x14ac:dyDescent="0.25">
      <c r="A1318" s="61">
        <v>42739</v>
      </c>
      <c r="B1318" s="26" t="s">
        <v>964</v>
      </c>
      <c r="C1318" s="87" t="s">
        <v>41</v>
      </c>
      <c r="D1318" s="8">
        <v>50000</v>
      </c>
      <c r="E1318" s="8"/>
      <c r="F1318" s="8">
        <f t="shared" si="20"/>
        <v>55762</v>
      </c>
      <c r="G1318" s="26"/>
    </row>
    <row r="1319" spans="1:7" ht="30" x14ac:dyDescent="0.25">
      <c r="A1319" s="61">
        <v>42740</v>
      </c>
      <c r="B1319" s="26" t="s">
        <v>26</v>
      </c>
      <c r="C1319" s="87" t="s">
        <v>1085</v>
      </c>
      <c r="D1319" s="8">
        <v>950</v>
      </c>
      <c r="E1319" s="8"/>
      <c r="F1319" s="8">
        <f t="shared" si="20"/>
        <v>54812</v>
      </c>
      <c r="G1319" s="26"/>
    </row>
    <row r="1320" spans="1:7" x14ac:dyDescent="0.25">
      <c r="A1320" s="61">
        <v>42740</v>
      </c>
      <c r="B1320" s="26" t="s">
        <v>121</v>
      </c>
      <c r="C1320" s="87" t="s">
        <v>32</v>
      </c>
      <c r="D1320" s="8">
        <v>50000</v>
      </c>
      <c r="E1320" s="8"/>
      <c r="F1320" s="8">
        <f t="shared" si="20"/>
        <v>4812</v>
      </c>
      <c r="G1320" s="26"/>
    </row>
    <row r="1321" spans="1:7" x14ac:dyDescent="0.25">
      <c r="A1321" s="61">
        <v>42740</v>
      </c>
      <c r="B1321" s="462" t="s">
        <v>1100</v>
      </c>
      <c r="C1321" s="463"/>
      <c r="D1321" s="71"/>
      <c r="E1321" s="58">
        <v>100000</v>
      </c>
      <c r="F1321" s="8">
        <f t="shared" si="20"/>
        <v>104812</v>
      </c>
      <c r="G1321" s="26"/>
    </row>
    <row r="1322" spans="1:7" x14ac:dyDescent="0.25">
      <c r="A1322" s="61">
        <v>42740</v>
      </c>
      <c r="B1322" s="26" t="s">
        <v>1086</v>
      </c>
      <c r="C1322" s="87" t="s">
        <v>41</v>
      </c>
      <c r="D1322" s="8">
        <v>50000</v>
      </c>
      <c r="E1322" s="8"/>
      <c r="F1322" s="8">
        <f t="shared" si="20"/>
        <v>54812</v>
      </c>
      <c r="G1322" s="26"/>
    </row>
    <row r="1323" spans="1:7" x14ac:dyDescent="0.25">
      <c r="A1323" s="61">
        <v>42740</v>
      </c>
      <c r="B1323" s="29" t="s">
        <v>28</v>
      </c>
      <c r="C1323" s="89" t="s">
        <v>32</v>
      </c>
      <c r="D1323" s="14">
        <v>11000</v>
      </c>
      <c r="E1323" s="8"/>
      <c r="F1323" s="8">
        <f t="shared" si="20"/>
        <v>43812</v>
      </c>
      <c r="G1323" s="26"/>
    </row>
    <row r="1324" spans="1:7" x14ac:dyDescent="0.25">
      <c r="A1324" s="61">
        <v>42740</v>
      </c>
      <c r="B1324" s="29" t="s">
        <v>1087</v>
      </c>
      <c r="C1324" s="89" t="s">
        <v>1277</v>
      </c>
      <c r="D1324" s="14">
        <v>220</v>
      </c>
      <c r="E1324" s="8"/>
      <c r="F1324" s="8">
        <f t="shared" si="20"/>
        <v>43592</v>
      </c>
      <c r="G1324" s="26"/>
    </row>
    <row r="1325" spans="1:7" x14ac:dyDescent="0.25">
      <c r="A1325" s="61">
        <v>42740</v>
      </c>
      <c r="B1325" s="26" t="s">
        <v>995</v>
      </c>
      <c r="C1325" s="87" t="s">
        <v>1088</v>
      </c>
      <c r="D1325" s="8">
        <v>2600</v>
      </c>
      <c r="E1325" s="8"/>
      <c r="F1325" s="8">
        <f t="shared" si="20"/>
        <v>40992</v>
      </c>
      <c r="G1325" s="26"/>
    </row>
    <row r="1326" spans="1:7" x14ac:dyDescent="0.25">
      <c r="A1326" s="61">
        <v>42741</v>
      </c>
      <c r="B1326" s="26" t="s">
        <v>1089</v>
      </c>
      <c r="C1326" s="87" t="s">
        <v>1090</v>
      </c>
      <c r="D1326" s="8">
        <v>6492</v>
      </c>
      <c r="E1326" s="8"/>
      <c r="F1326" s="8">
        <f t="shared" si="20"/>
        <v>34500</v>
      </c>
      <c r="G1326" s="26"/>
    </row>
    <row r="1327" spans="1:7" x14ac:dyDescent="0.25">
      <c r="A1327" s="61">
        <v>42741</v>
      </c>
      <c r="B1327" s="29" t="s">
        <v>446</v>
      </c>
      <c r="C1327" s="89" t="s">
        <v>32</v>
      </c>
      <c r="D1327" s="14">
        <v>10000</v>
      </c>
      <c r="E1327" s="8"/>
      <c r="F1327" s="8">
        <f t="shared" si="20"/>
        <v>24500</v>
      </c>
      <c r="G1327" s="26"/>
    </row>
    <row r="1328" spans="1:7" x14ac:dyDescent="0.25">
      <c r="A1328" s="61">
        <v>42741</v>
      </c>
      <c r="B1328" s="29" t="s">
        <v>105</v>
      </c>
      <c r="C1328" s="89" t="s">
        <v>1097</v>
      </c>
      <c r="D1328" s="14">
        <v>10000</v>
      </c>
      <c r="E1328" s="8"/>
      <c r="F1328" s="8">
        <f t="shared" si="20"/>
        <v>14500</v>
      </c>
      <c r="G1328" s="26"/>
    </row>
    <row r="1329" spans="1:7" ht="30" x14ac:dyDescent="0.25">
      <c r="A1329" s="61">
        <v>42741</v>
      </c>
      <c r="B1329" s="29" t="s">
        <v>1098</v>
      </c>
      <c r="C1329" s="89" t="s">
        <v>1099</v>
      </c>
      <c r="D1329" s="14">
        <v>4000</v>
      </c>
      <c r="E1329" s="8"/>
      <c r="F1329" s="8">
        <f t="shared" si="20"/>
        <v>10500</v>
      </c>
      <c r="G1329" s="26"/>
    </row>
    <row r="1330" spans="1:7" x14ac:dyDescent="0.25">
      <c r="A1330" s="61">
        <v>42741</v>
      </c>
      <c r="B1330" s="26" t="s">
        <v>55</v>
      </c>
      <c r="C1330" s="87" t="s">
        <v>1091</v>
      </c>
      <c r="D1330" s="8">
        <v>400</v>
      </c>
      <c r="E1330" s="8"/>
      <c r="F1330" s="8">
        <f t="shared" si="20"/>
        <v>10100</v>
      </c>
      <c r="G1330" s="26"/>
    </row>
    <row r="1331" spans="1:7" x14ac:dyDescent="0.25">
      <c r="A1331" s="61">
        <v>42741</v>
      </c>
      <c r="B1331" s="26" t="s">
        <v>28</v>
      </c>
      <c r="C1331" s="87" t="s">
        <v>32</v>
      </c>
      <c r="D1331" s="8">
        <v>2000</v>
      </c>
      <c r="E1331" s="8"/>
      <c r="F1331" s="8">
        <f t="shared" si="20"/>
        <v>8100</v>
      </c>
      <c r="G1331" s="26"/>
    </row>
    <row r="1332" spans="1:7" x14ac:dyDescent="0.25">
      <c r="A1332" s="61">
        <v>42741</v>
      </c>
      <c r="B1332" s="197" t="s">
        <v>248</v>
      </c>
      <c r="C1332" s="198" t="s">
        <v>32</v>
      </c>
      <c r="D1332" s="75">
        <v>500</v>
      </c>
      <c r="E1332" s="8"/>
      <c r="F1332" s="8">
        <f t="shared" si="20"/>
        <v>7600</v>
      </c>
      <c r="G1332" s="26"/>
    </row>
    <row r="1333" spans="1:7" x14ac:dyDescent="0.25">
      <c r="A1333" s="61">
        <v>42741</v>
      </c>
      <c r="B1333" s="26" t="s">
        <v>857</v>
      </c>
      <c r="C1333" s="87" t="s">
        <v>32</v>
      </c>
      <c r="D1333" s="8">
        <v>3600</v>
      </c>
      <c r="E1333" s="8"/>
      <c r="F1333" s="8">
        <f t="shared" si="20"/>
        <v>4000</v>
      </c>
      <c r="G1333" s="26"/>
    </row>
    <row r="1334" spans="1:7" x14ac:dyDescent="0.25">
      <c r="A1334" s="61">
        <v>42741</v>
      </c>
      <c r="B1334" s="26" t="s">
        <v>857</v>
      </c>
      <c r="C1334" s="87" t="s">
        <v>32</v>
      </c>
      <c r="D1334" s="8">
        <v>1000</v>
      </c>
      <c r="E1334" s="8"/>
      <c r="F1334" s="8">
        <f t="shared" si="20"/>
        <v>3000</v>
      </c>
      <c r="G1334" s="26"/>
    </row>
    <row r="1335" spans="1:7" x14ac:dyDescent="0.25">
      <c r="A1335" s="61">
        <v>42741</v>
      </c>
      <c r="B1335" s="26" t="s">
        <v>248</v>
      </c>
      <c r="C1335" s="87" t="s">
        <v>1093</v>
      </c>
      <c r="D1335" s="8">
        <v>140</v>
      </c>
      <c r="E1335" s="8"/>
      <c r="F1335" s="8">
        <f t="shared" si="20"/>
        <v>2860</v>
      </c>
      <c r="G1335" s="26"/>
    </row>
    <row r="1336" spans="1:7" x14ac:dyDescent="0.25">
      <c r="A1336" s="61">
        <v>42741</v>
      </c>
      <c r="B1336" s="197" t="s">
        <v>248</v>
      </c>
      <c r="C1336" s="198" t="s">
        <v>31</v>
      </c>
      <c r="D1336" s="75">
        <v>50</v>
      </c>
      <c r="E1336" s="8"/>
      <c r="F1336" s="8">
        <f t="shared" si="20"/>
        <v>2810</v>
      </c>
      <c r="G1336" s="26"/>
    </row>
    <row r="1337" spans="1:7" x14ac:dyDescent="0.25">
      <c r="A1337" s="61">
        <v>42741</v>
      </c>
      <c r="B1337" s="26" t="s">
        <v>54</v>
      </c>
      <c r="C1337" s="87" t="s">
        <v>1093</v>
      </c>
      <c r="D1337" s="8">
        <v>140</v>
      </c>
      <c r="E1337" s="8"/>
      <c r="F1337" s="8">
        <f t="shared" si="20"/>
        <v>2670</v>
      </c>
      <c r="G1337" s="26"/>
    </row>
    <row r="1338" spans="1:7" x14ac:dyDescent="0.25">
      <c r="A1338" s="61">
        <v>42741</v>
      </c>
      <c r="B1338" s="26" t="s">
        <v>26</v>
      </c>
      <c r="C1338" s="87" t="s">
        <v>1095</v>
      </c>
      <c r="D1338" s="8">
        <v>50</v>
      </c>
      <c r="E1338" s="8"/>
      <c r="F1338" s="8">
        <f t="shared" si="20"/>
        <v>2620</v>
      </c>
      <c r="G1338" s="26"/>
    </row>
    <row r="1339" spans="1:7" ht="30" x14ac:dyDescent="0.25">
      <c r="A1339" s="61">
        <v>42741</v>
      </c>
      <c r="B1339" s="26" t="s">
        <v>231</v>
      </c>
      <c r="C1339" s="87" t="s">
        <v>1094</v>
      </c>
      <c r="D1339" s="8">
        <v>100</v>
      </c>
      <c r="E1339" s="8"/>
      <c r="F1339" s="8">
        <f t="shared" si="20"/>
        <v>2520</v>
      </c>
      <c r="G1339" s="26"/>
    </row>
    <row r="1340" spans="1:7" x14ac:dyDescent="0.25">
      <c r="A1340" s="61">
        <v>42742</v>
      </c>
      <c r="B1340" s="26" t="s">
        <v>17</v>
      </c>
      <c r="C1340" s="87" t="s">
        <v>967</v>
      </c>
      <c r="D1340" s="8">
        <v>360</v>
      </c>
      <c r="E1340" s="8"/>
      <c r="F1340" s="8">
        <f t="shared" si="20"/>
        <v>2160</v>
      </c>
      <c r="G1340" s="26"/>
    </row>
    <row r="1341" spans="1:7" x14ac:dyDescent="0.25">
      <c r="A1341" s="61">
        <v>42742</v>
      </c>
      <c r="B1341" s="26" t="s">
        <v>117</v>
      </c>
      <c r="C1341" s="87" t="s">
        <v>1114</v>
      </c>
      <c r="D1341" s="8">
        <v>140</v>
      </c>
      <c r="E1341" s="8"/>
      <c r="F1341" s="8">
        <f t="shared" si="20"/>
        <v>2020</v>
      </c>
      <c r="G1341" s="26"/>
    </row>
    <row r="1342" spans="1:7" x14ac:dyDescent="0.25">
      <c r="A1342" s="61">
        <v>42742</v>
      </c>
      <c r="B1342" s="26" t="s">
        <v>117</v>
      </c>
      <c r="C1342" s="87" t="s">
        <v>32</v>
      </c>
      <c r="D1342" s="8">
        <v>360</v>
      </c>
      <c r="E1342" s="8"/>
      <c r="F1342" s="8">
        <f t="shared" si="20"/>
        <v>1660</v>
      </c>
      <c r="G1342" s="26"/>
    </row>
    <row r="1343" spans="1:7" x14ac:dyDescent="0.25">
      <c r="A1343" s="61">
        <v>42742</v>
      </c>
      <c r="B1343" s="26" t="s">
        <v>17</v>
      </c>
      <c r="C1343" s="87" t="s">
        <v>32</v>
      </c>
      <c r="D1343" s="8">
        <v>140</v>
      </c>
      <c r="E1343" s="8"/>
      <c r="F1343" s="8">
        <f t="shared" si="20"/>
        <v>1520</v>
      </c>
      <c r="G1343" s="26"/>
    </row>
    <row r="1344" spans="1:7" x14ac:dyDescent="0.25">
      <c r="A1344" s="61">
        <v>42742</v>
      </c>
      <c r="B1344" s="26" t="s">
        <v>26</v>
      </c>
      <c r="C1344" s="196" t="s">
        <v>1107</v>
      </c>
      <c r="D1344" s="8">
        <v>225</v>
      </c>
      <c r="E1344" s="8"/>
      <c r="F1344" s="8">
        <f t="shared" si="20"/>
        <v>1295</v>
      </c>
      <c r="G1344" s="26"/>
    </row>
    <row r="1345" spans="1:7" x14ac:dyDescent="0.25">
      <c r="A1345" s="61">
        <v>42744</v>
      </c>
      <c r="B1345" s="462" t="s">
        <v>1101</v>
      </c>
      <c r="C1345" s="463"/>
      <c r="D1345" s="71"/>
      <c r="E1345" s="58">
        <v>50000</v>
      </c>
      <c r="F1345" s="8">
        <f t="shared" si="20"/>
        <v>51295</v>
      </c>
      <c r="G1345" s="26"/>
    </row>
    <row r="1346" spans="1:7" x14ac:dyDescent="0.25">
      <c r="A1346" s="61">
        <v>42744</v>
      </c>
      <c r="B1346" s="26" t="s">
        <v>720</v>
      </c>
      <c r="C1346" s="87" t="s">
        <v>1102</v>
      </c>
      <c r="D1346" s="8">
        <v>2000</v>
      </c>
      <c r="E1346" s="8"/>
      <c r="F1346" s="8">
        <f t="shared" si="20"/>
        <v>49295</v>
      </c>
      <c r="G1346" s="26"/>
    </row>
    <row r="1347" spans="1:7" x14ac:dyDescent="0.25">
      <c r="A1347" s="61">
        <v>42744</v>
      </c>
      <c r="B1347" s="26" t="s">
        <v>94</v>
      </c>
      <c r="C1347" s="87" t="s">
        <v>1103</v>
      </c>
      <c r="D1347" s="8">
        <v>1900</v>
      </c>
      <c r="E1347" s="8"/>
      <c r="F1347" s="8">
        <f t="shared" ref="F1347:F1410" si="21">F1346-D1347+E1347</f>
        <v>47395</v>
      </c>
      <c r="G1347" s="26"/>
    </row>
    <row r="1348" spans="1:7" x14ac:dyDescent="0.25">
      <c r="A1348" s="61">
        <v>42744</v>
      </c>
      <c r="B1348" s="26" t="s">
        <v>26</v>
      </c>
      <c r="C1348" s="87" t="s">
        <v>1104</v>
      </c>
      <c r="D1348" s="8">
        <v>2400</v>
      </c>
      <c r="E1348" s="8"/>
      <c r="F1348" s="8">
        <f t="shared" si="21"/>
        <v>44995</v>
      </c>
      <c r="G1348" s="26"/>
    </row>
    <row r="1349" spans="1:7" x14ac:dyDescent="0.25">
      <c r="A1349" s="61">
        <v>42744</v>
      </c>
      <c r="B1349" s="26" t="s">
        <v>446</v>
      </c>
      <c r="C1349" s="87" t="s">
        <v>1105</v>
      </c>
      <c r="D1349" s="8">
        <v>10000</v>
      </c>
      <c r="E1349" s="8"/>
      <c r="F1349" s="8">
        <f t="shared" si="21"/>
        <v>34995</v>
      </c>
      <c r="G1349" s="26"/>
    </row>
    <row r="1350" spans="1:7" x14ac:dyDescent="0.25">
      <c r="A1350" s="61">
        <v>42744</v>
      </c>
      <c r="B1350" s="26" t="s">
        <v>121</v>
      </c>
      <c r="C1350" s="87" t="s">
        <v>32</v>
      </c>
      <c r="D1350" s="8">
        <v>10000</v>
      </c>
      <c r="E1350" s="8"/>
      <c r="F1350" s="8">
        <f t="shared" si="21"/>
        <v>24995</v>
      </c>
      <c r="G1350" s="26"/>
    </row>
    <row r="1351" spans="1:7" x14ac:dyDescent="0.25">
      <c r="A1351" s="61">
        <v>42744</v>
      </c>
      <c r="B1351" s="197" t="s">
        <v>17</v>
      </c>
      <c r="C1351" s="198" t="s">
        <v>1106</v>
      </c>
      <c r="D1351" s="75">
        <v>13000</v>
      </c>
      <c r="E1351" s="8"/>
      <c r="F1351" s="8">
        <f t="shared" si="21"/>
        <v>11995</v>
      </c>
      <c r="G1351" s="26"/>
    </row>
    <row r="1352" spans="1:7" x14ac:dyDescent="0.25">
      <c r="A1352" s="61">
        <v>42744</v>
      </c>
      <c r="B1352" s="26" t="s">
        <v>26</v>
      </c>
      <c r="C1352" s="87" t="s">
        <v>1108</v>
      </c>
      <c r="D1352" s="8">
        <v>70</v>
      </c>
      <c r="E1352" s="8"/>
      <c r="F1352" s="8">
        <f t="shared" si="21"/>
        <v>11925</v>
      </c>
      <c r="G1352" s="26"/>
    </row>
    <row r="1353" spans="1:7" ht="45" x14ac:dyDescent="0.25">
      <c r="A1353" s="61">
        <v>42744</v>
      </c>
      <c r="B1353" s="26" t="s">
        <v>231</v>
      </c>
      <c r="C1353" s="87" t="s">
        <v>1109</v>
      </c>
      <c r="D1353" s="8">
        <v>150</v>
      </c>
      <c r="E1353" s="8"/>
      <c r="F1353" s="8">
        <f t="shared" si="21"/>
        <v>11775</v>
      </c>
      <c r="G1353" s="26"/>
    </row>
    <row r="1354" spans="1:7" ht="60" x14ac:dyDescent="0.25">
      <c r="A1354" s="61">
        <v>42744</v>
      </c>
      <c r="B1354" s="26" t="s">
        <v>231</v>
      </c>
      <c r="C1354" s="87" t="s">
        <v>1112</v>
      </c>
      <c r="D1354" s="8">
        <v>100</v>
      </c>
      <c r="E1354" s="8"/>
      <c r="F1354" s="8">
        <f t="shared" si="21"/>
        <v>11675</v>
      </c>
      <c r="G1354" s="26"/>
    </row>
    <row r="1355" spans="1:7" ht="30" x14ac:dyDescent="0.25">
      <c r="A1355" s="61">
        <v>42744</v>
      </c>
      <c r="B1355" s="29" t="s">
        <v>26</v>
      </c>
      <c r="C1355" s="89" t="s">
        <v>1111</v>
      </c>
      <c r="D1355" s="14">
        <v>100</v>
      </c>
      <c r="E1355" s="8"/>
      <c r="F1355" s="8">
        <f t="shared" si="21"/>
        <v>11575</v>
      </c>
      <c r="G1355" s="26"/>
    </row>
    <row r="1356" spans="1:7" x14ac:dyDescent="0.25">
      <c r="A1356" s="61">
        <v>42744</v>
      </c>
      <c r="B1356" s="26" t="s">
        <v>28</v>
      </c>
      <c r="C1356" s="87" t="s">
        <v>32</v>
      </c>
      <c r="D1356" s="8">
        <v>6000</v>
      </c>
      <c r="E1356" s="8"/>
      <c r="F1356" s="8">
        <f t="shared" si="21"/>
        <v>5575</v>
      </c>
      <c r="G1356" s="26"/>
    </row>
    <row r="1357" spans="1:7" x14ac:dyDescent="0.25">
      <c r="A1357" s="61">
        <v>42744</v>
      </c>
      <c r="B1357" s="26" t="s">
        <v>10</v>
      </c>
      <c r="C1357" s="87" t="s">
        <v>32</v>
      </c>
      <c r="D1357" s="8">
        <v>500</v>
      </c>
      <c r="E1357" s="8"/>
      <c r="F1357" s="8">
        <f t="shared" si="21"/>
        <v>5075</v>
      </c>
      <c r="G1357" s="26"/>
    </row>
    <row r="1358" spans="1:7" x14ac:dyDescent="0.25">
      <c r="A1358" s="61">
        <v>42744</v>
      </c>
      <c r="B1358" s="197" t="s">
        <v>121</v>
      </c>
      <c r="C1358" s="198" t="s">
        <v>1110</v>
      </c>
      <c r="D1358" s="75">
        <v>3000</v>
      </c>
      <c r="E1358" s="8"/>
      <c r="F1358" s="8">
        <f t="shared" si="21"/>
        <v>2075</v>
      </c>
      <c r="G1358" s="26"/>
    </row>
    <row r="1359" spans="1:7" ht="30" x14ac:dyDescent="0.25">
      <c r="A1359" s="61">
        <v>42744</v>
      </c>
      <c r="B1359" s="26" t="s">
        <v>569</v>
      </c>
      <c r="C1359" s="87" t="s">
        <v>1113</v>
      </c>
      <c r="D1359" s="8">
        <v>50</v>
      </c>
      <c r="E1359" s="8"/>
      <c r="F1359" s="8">
        <f t="shared" si="21"/>
        <v>2025</v>
      </c>
      <c r="G1359" s="26"/>
    </row>
    <row r="1360" spans="1:7" x14ac:dyDescent="0.25">
      <c r="A1360" s="61">
        <v>42746</v>
      </c>
      <c r="B1360" s="26" t="s">
        <v>26</v>
      </c>
      <c r="C1360" s="87" t="s">
        <v>1117</v>
      </c>
      <c r="D1360" s="8">
        <v>140</v>
      </c>
      <c r="E1360" s="8"/>
      <c r="F1360" s="8">
        <f t="shared" si="21"/>
        <v>1885</v>
      </c>
      <c r="G1360" s="26"/>
    </row>
    <row r="1361" spans="1:7" x14ac:dyDescent="0.25">
      <c r="A1361" s="61">
        <v>42746</v>
      </c>
      <c r="B1361" s="26" t="s">
        <v>26</v>
      </c>
      <c r="C1361" s="87" t="s">
        <v>1118</v>
      </c>
      <c r="D1361" s="8">
        <v>134</v>
      </c>
      <c r="E1361" s="8"/>
      <c r="F1361" s="8">
        <f t="shared" si="21"/>
        <v>1751</v>
      </c>
      <c r="G1361" s="26"/>
    </row>
    <row r="1362" spans="1:7" x14ac:dyDescent="0.25">
      <c r="A1362" s="61">
        <v>42747</v>
      </c>
      <c r="B1362" s="26" t="s">
        <v>17</v>
      </c>
      <c r="C1362" s="87" t="s">
        <v>1115</v>
      </c>
      <c r="D1362" s="8">
        <v>300</v>
      </c>
      <c r="E1362" s="8"/>
      <c r="F1362" s="8">
        <f t="shared" si="21"/>
        <v>1451</v>
      </c>
      <c r="G1362" s="26"/>
    </row>
    <row r="1363" spans="1:7" x14ac:dyDescent="0.25">
      <c r="A1363" s="61">
        <v>42747</v>
      </c>
      <c r="B1363" s="26" t="s">
        <v>26</v>
      </c>
      <c r="C1363" s="87" t="s">
        <v>1116</v>
      </c>
      <c r="D1363" s="8">
        <v>350</v>
      </c>
      <c r="E1363" s="8"/>
      <c r="F1363" s="8">
        <f t="shared" si="21"/>
        <v>1101</v>
      </c>
      <c r="G1363" s="26"/>
    </row>
    <row r="1364" spans="1:7" x14ac:dyDescent="0.25">
      <c r="A1364" s="61">
        <v>42748</v>
      </c>
      <c r="B1364" s="26" t="s">
        <v>964</v>
      </c>
      <c r="C1364" s="87" t="s">
        <v>41</v>
      </c>
      <c r="D1364" s="8">
        <v>1000</v>
      </c>
      <c r="E1364" s="8"/>
      <c r="F1364" s="8">
        <f t="shared" si="21"/>
        <v>101</v>
      </c>
      <c r="G1364" s="26"/>
    </row>
    <row r="1365" spans="1:7" x14ac:dyDescent="0.25">
      <c r="A1365" s="61">
        <v>42748</v>
      </c>
      <c r="B1365" s="26" t="s">
        <v>17</v>
      </c>
      <c r="C1365" s="87" t="s">
        <v>1119</v>
      </c>
      <c r="D1365" s="8">
        <v>100</v>
      </c>
      <c r="E1365" s="8"/>
      <c r="F1365" s="8">
        <f t="shared" si="21"/>
        <v>1</v>
      </c>
      <c r="G1365" s="26"/>
    </row>
    <row r="1366" spans="1:7" x14ac:dyDescent="0.25">
      <c r="A1366" s="61">
        <v>42748</v>
      </c>
      <c r="B1366" s="462" t="s">
        <v>1122</v>
      </c>
      <c r="C1366" s="463"/>
      <c r="D1366" s="71"/>
      <c r="E1366" s="58">
        <v>50000</v>
      </c>
      <c r="F1366" s="8">
        <f t="shared" si="21"/>
        <v>50001</v>
      </c>
      <c r="G1366" s="26"/>
    </row>
    <row r="1367" spans="1:7" x14ac:dyDescent="0.25">
      <c r="A1367" s="61">
        <v>42748</v>
      </c>
      <c r="B1367" s="197" t="s">
        <v>59</v>
      </c>
      <c r="C1367" s="198" t="s">
        <v>1121</v>
      </c>
      <c r="D1367" s="75">
        <v>1000</v>
      </c>
      <c r="E1367" s="8"/>
      <c r="F1367" s="8">
        <f t="shared" si="21"/>
        <v>49001</v>
      </c>
      <c r="G1367" s="26"/>
    </row>
    <row r="1368" spans="1:7" ht="30" x14ac:dyDescent="0.25">
      <c r="A1368" s="61">
        <v>42748</v>
      </c>
      <c r="B1368" s="26" t="s">
        <v>1006</v>
      </c>
      <c r="C1368" s="87" t="s">
        <v>1123</v>
      </c>
      <c r="D1368" s="8">
        <v>3000</v>
      </c>
      <c r="E1368" s="8"/>
      <c r="F1368" s="8">
        <f t="shared" si="21"/>
        <v>46001</v>
      </c>
      <c r="G1368" s="26"/>
    </row>
    <row r="1369" spans="1:7" x14ac:dyDescent="0.25">
      <c r="A1369" s="61">
        <v>42748</v>
      </c>
      <c r="B1369" s="26" t="s">
        <v>26</v>
      </c>
      <c r="C1369" s="87" t="s">
        <v>52</v>
      </c>
      <c r="D1369" s="8">
        <v>39</v>
      </c>
      <c r="E1369" s="8"/>
      <c r="F1369" s="8">
        <f t="shared" si="21"/>
        <v>45962</v>
      </c>
      <c r="G1369" s="26"/>
    </row>
    <row r="1370" spans="1:7" x14ac:dyDescent="0.25">
      <c r="A1370" s="61">
        <v>42748</v>
      </c>
      <c r="B1370" s="26" t="s">
        <v>28</v>
      </c>
      <c r="C1370" s="87" t="s">
        <v>32</v>
      </c>
      <c r="D1370" s="8">
        <v>5000</v>
      </c>
      <c r="E1370" s="8"/>
      <c r="F1370" s="8">
        <f t="shared" si="21"/>
        <v>40962</v>
      </c>
      <c r="G1370" s="26"/>
    </row>
    <row r="1371" spans="1:7" x14ac:dyDescent="0.25">
      <c r="A1371" s="61">
        <v>42748</v>
      </c>
      <c r="B1371" s="26" t="s">
        <v>161</v>
      </c>
      <c r="C1371" s="87" t="s">
        <v>42</v>
      </c>
      <c r="D1371" s="8">
        <v>1000</v>
      </c>
      <c r="E1371" s="8"/>
      <c r="F1371" s="8">
        <f t="shared" si="21"/>
        <v>39962</v>
      </c>
      <c r="G1371" s="26"/>
    </row>
    <row r="1372" spans="1:7" x14ac:dyDescent="0.25">
      <c r="A1372" s="61">
        <v>42748</v>
      </c>
      <c r="B1372" s="26" t="s">
        <v>165</v>
      </c>
      <c r="C1372" s="87" t="s">
        <v>32</v>
      </c>
      <c r="D1372" s="8">
        <v>10000</v>
      </c>
      <c r="E1372" s="8"/>
      <c r="F1372" s="8">
        <f t="shared" si="21"/>
        <v>29962</v>
      </c>
      <c r="G1372" s="26"/>
    </row>
    <row r="1373" spans="1:7" x14ac:dyDescent="0.25">
      <c r="A1373" s="61">
        <v>42748</v>
      </c>
      <c r="B1373" s="26" t="s">
        <v>1006</v>
      </c>
      <c r="C1373" s="87" t="s">
        <v>1124</v>
      </c>
      <c r="D1373" s="8">
        <v>600</v>
      </c>
      <c r="E1373" s="8"/>
      <c r="F1373" s="8">
        <f t="shared" si="21"/>
        <v>29362</v>
      </c>
      <c r="G1373" s="26"/>
    </row>
    <row r="1374" spans="1:7" x14ac:dyDescent="0.25">
      <c r="A1374" s="61">
        <v>42751</v>
      </c>
      <c r="B1374" s="26" t="s">
        <v>446</v>
      </c>
      <c r="C1374" s="87" t="s">
        <v>32</v>
      </c>
      <c r="D1374" s="8">
        <v>5000</v>
      </c>
      <c r="E1374" s="8"/>
      <c r="F1374" s="8">
        <f t="shared" si="21"/>
        <v>24362</v>
      </c>
      <c r="G1374" s="26"/>
    </row>
    <row r="1375" spans="1:7" ht="45" x14ac:dyDescent="0.25">
      <c r="A1375" s="61">
        <v>42751</v>
      </c>
      <c r="B1375" s="29" t="s">
        <v>231</v>
      </c>
      <c r="C1375" s="89" t="s">
        <v>1135</v>
      </c>
      <c r="D1375" s="14">
        <v>6700</v>
      </c>
      <c r="E1375" s="8"/>
      <c r="F1375" s="8">
        <f t="shared" si="21"/>
        <v>17662</v>
      </c>
      <c r="G1375" s="26"/>
    </row>
    <row r="1376" spans="1:7" x14ac:dyDescent="0.25">
      <c r="A1376" s="61">
        <v>42751</v>
      </c>
      <c r="B1376" s="29" t="s">
        <v>1006</v>
      </c>
      <c r="C1376" s="89" t="s">
        <v>1133</v>
      </c>
      <c r="D1376" s="14">
        <v>5655</v>
      </c>
      <c r="E1376" s="8"/>
      <c r="F1376" s="8">
        <f t="shared" si="21"/>
        <v>12007</v>
      </c>
      <c r="G1376" s="26"/>
    </row>
    <row r="1377" spans="1:7" x14ac:dyDescent="0.25">
      <c r="A1377" s="61">
        <v>42751</v>
      </c>
      <c r="B1377" s="29" t="s">
        <v>53</v>
      </c>
      <c r="C1377" s="89" t="s">
        <v>1134</v>
      </c>
      <c r="D1377" s="14">
        <v>10500</v>
      </c>
      <c r="E1377" s="8"/>
      <c r="F1377" s="8">
        <f t="shared" si="21"/>
        <v>1507</v>
      </c>
      <c r="G1377" s="26"/>
    </row>
    <row r="1378" spans="1:7" x14ac:dyDescent="0.25">
      <c r="A1378" s="61">
        <v>42751</v>
      </c>
      <c r="B1378" s="29" t="s">
        <v>28</v>
      </c>
      <c r="C1378" s="89" t="s">
        <v>32</v>
      </c>
      <c r="D1378" s="14">
        <v>2500</v>
      </c>
      <c r="E1378" s="8"/>
      <c r="F1378" s="8">
        <f t="shared" si="21"/>
        <v>-993</v>
      </c>
      <c r="G1378" s="26"/>
    </row>
    <row r="1379" spans="1:7" x14ac:dyDescent="0.25">
      <c r="A1379" s="61">
        <v>42751</v>
      </c>
      <c r="B1379" s="462" t="s">
        <v>1130</v>
      </c>
      <c r="C1379" s="463"/>
      <c r="D1379" s="71"/>
      <c r="E1379" s="58">
        <v>50000</v>
      </c>
      <c r="F1379" s="8">
        <f t="shared" si="21"/>
        <v>49007</v>
      </c>
      <c r="G1379" s="26"/>
    </row>
    <row r="1380" spans="1:7" x14ac:dyDescent="0.25">
      <c r="A1380" s="61">
        <v>42751</v>
      </c>
      <c r="B1380" s="29" t="s">
        <v>964</v>
      </c>
      <c r="C1380" s="89" t="s">
        <v>1141</v>
      </c>
      <c r="D1380" s="14">
        <v>30000</v>
      </c>
      <c r="E1380" s="8"/>
      <c r="F1380" s="8">
        <f t="shared" si="21"/>
        <v>19007</v>
      </c>
      <c r="G1380" s="26"/>
    </row>
    <row r="1381" spans="1:7" x14ac:dyDescent="0.25">
      <c r="A1381" s="61">
        <v>42751</v>
      </c>
      <c r="B1381" s="26" t="s">
        <v>446</v>
      </c>
      <c r="C1381" s="87" t="s">
        <v>1126</v>
      </c>
      <c r="D1381" s="8">
        <v>10000</v>
      </c>
      <c r="E1381" s="8"/>
      <c r="F1381" s="8">
        <f t="shared" si="21"/>
        <v>9007</v>
      </c>
      <c r="G1381" s="26"/>
    </row>
    <row r="1382" spans="1:7" x14ac:dyDescent="0.25">
      <c r="A1382" s="61">
        <v>42751</v>
      </c>
      <c r="B1382" s="26" t="s">
        <v>28</v>
      </c>
      <c r="C1382" s="87" t="s">
        <v>32</v>
      </c>
      <c r="D1382" s="8">
        <v>2000</v>
      </c>
      <c r="E1382" s="8"/>
      <c r="F1382" s="8">
        <f t="shared" si="21"/>
        <v>7007</v>
      </c>
      <c r="G1382" s="26"/>
    </row>
    <row r="1383" spans="1:7" x14ac:dyDescent="0.25">
      <c r="A1383" s="61">
        <v>42751</v>
      </c>
      <c r="B1383" s="26" t="s">
        <v>155</v>
      </c>
      <c r="C1383" s="87" t="s">
        <v>32</v>
      </c>
      <c r="D1383" s="8">
        <v>3000</v>
      </c>
      <c r="E1383" s="8"/>
      <c r="F1383" s="8">
        <f t="shared" si="21"/>
        <v>4007</v>
      </c>
      <c r="G1383" s="26"/>
    </row>
    <row r="1384" spans="1:7" x14ac:dyDescent="0.25">
      <c r="A1384" s="61">
        <v>42751</v>
      </c>
      <c r="B1384" s="26" t="s">
        <v>17</v>
      </c>
      <c r="C1384" s="87" t="s">
        <v>32</v>
      </c>
      <c r="D1384" s="8">
        <v>3000</v>
      </c>
      <c r="E1384" s="8"/>
      <c r="F1384" s="8">
        <f t="shared" si="21"/>
        <v>1007</v>
      </c>
      <c r="G1384" s="26"/>
    </row>
    <row r="1385" spans="1:7" x14ac:dyDescent="0.25">
      <c r="A1385" s="61">
        <v>42751</v>
      </c>
      <c r="B1385" s="26" t="s">
        <v>26</v>
      </c>
      <c r="C1385" s="87" t="s">
        <v>1128</v>
      </c>
      <c r="D1385" s="8">
        <v>100</v>
      </c>
      <c r="E1385" s="8"/>
      <c r="F1385" s="8">
        <f t="shared" si="21"/>
        <v>907</v>
      </c>
      <c r="G1385" s="26"/>
    </row>
    <row r="1386" spans="1:7" x14ac:dyDescent="0.25">
      <c r="A1386" s="61">
        <v>42752</v>
      </c>
      <c r="B1386" s="26" t="s">
        <v>26</v>
      </c>
      <c r="C1386" s="87" t="s">
        <v>1127</v>
      </c>
      <c r="D1386" s="8">
        <v>625</v>
      </c>
      <c r="E1386" s="8"/>
      <c r="F1386" s="8">
        <f t="shared" si="21"/>
        <v>282</v>
      </c>
      <c r="G1386" s="26"/>
    </row>
    <row r="1387" spans="1:7" x14ac:dyDescent="0.25">
      <c r="A1387" s="61">
        <v>42752</v>
      </c>
      <c r="B1387" s="26" t="s">
        <v>1012</v>
      </c>
      <c r="C1387" s="87" t="s">
        <v>32</v>
      </c>
      <c r="D1387" s="8">
        <v>500</v>
      </c>
      <c r="E1387" s="8"/>
      <c r="F1387" s="8">
        <f t="shared" si="21"/>
        <v>-218</v>
      </c>
      <c r="G1387" s="26"/>
    </row>
    <row r="1388" spans="1:7" x14ac:dyDescent="0.25">
      <c r="A1388" s="61">
        <v>42752</v>
      </c>
      <c r="B1388" s="26" t="s">
        <v>1006</v>
      </c>
      <c r="C1388" s="87" t="s">
        <v>1129</v>
      </c>
      <c r="D1388" s="8">
        <v>500</v>
      </c>
      <c r="E1388" s="8"/>
      <c r="F1388" s="8">
        <f t="shared" si="21"/>
        <v>-718</v>
      </c>
      <c r="G1388" s="26"/>
    </row>
    <row r="1389" spans="1:7" x14ac:dyDescent="0.25">
      <c r="A1389" s="61">
        <v>42752</v>
      </c>
      <c r="B1389" s="462" t="s">
        <v>1130</v>
      </c>
      <c r="C1389" s="463"/>
      <c r="D1389" s="71"/>
      <c r="E1389" s="58">
        <v>50000</v>
      </c>
      <c r="F1389" s="8">
        <f t="shared" si="21"/>
        <v>49282</v>
      </c>
      <c r="G1389" s="26"/>
    </row>
    <row r="1390" spans="1:7" x14ac:dyDescent="0.25">
      <c r="A1390" s="61">
        <v>42752</v>
      </c>
      <c r="B1390" s="26" t="s">
        <v>1131</v>
      </c>
      <c r="C1390" s="87" t="s">
        <v>1132</v>
      </c>
      <c r="D1390" s="8">
        <v>25000</v>
      </c>
      <c r="E1390" s="8"/>
      <c r="F1390" s="8">
        <f t="shared" si="21"/>
        <v>24282</v>
      </c>
      <c r="G1390" s="26"/>
    </row>
    <row r="1391" spans="1:7" ht="30" x14ac:dyDescent="0.25">
      <c r="A1391" s="61">
        <v>42752</v>
      </c>
      <c r="B1391" s="26" t="s">
        <v>684</v>
      </c>
      <c r="C1391" s="87" t="s">
        <v>1136</v>
      </c>
      <c r="D1391" s="8">
        <v>400</v>
      </c>
      <c r="E1391" s="8"/>
      <c r="F1391" s="8">
        <f t="shared" si="21"/>
        <v>23882</v>
      </c>
      <c r="G1391" s="26"/>
    </row>
    <row r="1392" spans="1:7" x14ac:dyDescent="0.25">
      <c r="A1392" s="61">
        <v>42752</v>
      </c>
      <c r="B1392" s="26" t="s">
        <v>121</v>
      </c>
      <c r="C1392" s="87" t="s">
        <v>32</v>
      </c>
      <c r="D1392" s="8">
        <v>500</v>
      </c>
      <c r="E1392" s="8"/>
      <c r="F1392" s="8">
        <f t="shared" si="21"/>
        <v>23382</v>
      </c>
      <c r="G1392" s="26"/>
    </row>
    <row r="1393" spans="1:7" ht="30" x14ac:dyDescent="0.25">
      <c r="A1393" s="61">
        <v>42752</v>
      </c>
      <c r="B1393" s="26" t="s">
        <v>26</v>
      </c>
      <c r="C1393" s="87" t="s">
        <v>1137</v>
      </c>
      <c r="D1393" s="8">
        <v>3000</v>
      </c>
      <c r="E1393" s="8"/>
      <c r="F1393" s="8">
        <f t="shared" si="21"/>
        <v>20382</v>
      </c>
      <c r="G1393" s="26"/>
    </row>
    <row r="1394" spans="1:7" x14ac:dyDescent="0.25">
      <c r="A1394" s="61">
        <v>42752</v>
      </c>
      <c r="B1394" s="26" t="s">
        <v>1006</v>
      </c>
      <c r="C1394" s="87" t="s">
        <v>1138</v>
      </c>
      <c r="D1394" s="8">
        <v>5500</v>
      </c>
      <c r="E1394" s="8"/>
      <c r="F1394" s="8">
        <f t="shared" si="21"/>
        <v>14882</v>
      </c>
      <c r="G1394" s="26"/>
    </row>
    <row r="1395" spans="1:7" ht="30" x14ac:dyDescent="0.25">
      <c r="A1395" s="61">
        <v>42752</v>
      </c>
      <c r="B1395" s="26" t="s">
        <v>1139</v>
      </c>
      <c r="C1395" s="87" t="s">
        <v>1140</v>
      </c>
      <c r="D1395" s="8">
        <v>2000</v>
      </c>
      <c r="E1395" s="8"/>
      <c r="F1395" s="8">
        <f t="shared" si="21"/>
        <v>12882</v>
      </c>
      <c r="G1395" s="26"/>
    </row>
    <row r="1396" spans="1:7" x14ac:dyDescent="0.25">
      <c r="A1396" s="61">
        <v>42752</v>
      </c>
      <c r="B1396" s="26" t="s">
        <v>43</v>
      </c>
      <c r="C1396" s="87" t="s">
        <v>32</v>
      </c>
      <c r="D1396" s="8">
        <v>1500</v>
      </c>
      <c r="E1396" s="8"/>
      <c r="F1396" s="8">
        <f t="shared" si="21"/>
        <v>11382</v>
      </c>
      <c r="G1396" s="26"/>
    </row>
    <row r="1397" spans="1:7" x14ac:dyDescent="0.25">
      <c r="A1397" s="61">
        <v>42752</v>
      </c>
      <c r="B1397" s="26" t="s">
        <v>446</v>
      </c>
      <c r="C1397" s="87" t="s">
        <v>32</v>
      </c>
      <c r="D1397" s="8">
        <v>1000</v>
      </c>
      <c r="E1397" s="8"/>
      <c r="F1397" s="8">
        <f t="shared" si="21"/>
        <v>10382</v>
      </c>
      <c r="G1397" s="26"/>
    </row>
    <row r="1398" spans="1:7" ht="30" x14ac:dyDescent="0.25">
      <c r="A1398" s="61">
        <v>42752</v>
      </c>
      <c r="B1398" s="26" t="s">
        <v>26</v>
      </c>
      <c r="C1398" s="87" t="s">
        <v>1143</v>
      </c>
      <c r="D1398" s="8">
        <v>250</v>
      </c>
      <c r="E1398" s="8"/>
      <c r="F1398" s="8">
        <f t="shared" si="21"/>
        <v>10132</v>
      </c>
      <c r="G1398" s="26"/>
    </row>
    <row r="1399" spans="1:7" x14ac:dyDescent="0.25">
      <c r="A1399" s="61">
        <v>42753</v>
      </c>
      <c r="B1399" s="26" t="s">
        <v>121</v>
      </c>
      <c r="C1399" s="87" t="s">
        <v>32</v>
      </c>
      <c r="D1399" s="8">
        <v>2000</v>
      </c>
      <c r="E1399" s="8"/>
      <c r="F1399" s="8">
        <f t="shared" si="21"/>
        <v>8132</v>
      </c>
      <c r="G1399" s="26"/>
    </row>
    <row r="1400" spans="1:7" x14ac:dyDescent="0.25">
      <c r="A1400" s="61">
        <v>42753</v>
      </c>
      <c r="B1400" s="26" t="s">
        <v>26</v>
      </c>
      <c r="C1400" s="87" t="s">
        <v>1157</v>
      </c>
      <c r="D1400" s="8">
        <v>55</v>
      </c>
      <c r="E1400" s="8"/>
      <c r="F1400" s="8">
        <f t="shared" si="21"/>
        <v>8077</v>
      </c>
      <c r="G1400" s="26"/>
    </row>
    <row r="1401" spans="1:7" x14ac:dyDescent="0.25">
      <c r="A1401" s="61">
        <v>42753</v>
      </c>
      <c r="B1401" s="26" t="s">
        <v>17</v>
      </c>
      <c r="C1401" s="87" t="s">
        <v>32</v>
      </c>
      <c r="D1401" s="8">
        <v>500</v>
      </c>
      <c r="E1401" s="8"/>
      <c r="F1401" s="8">
        <f t="shared" si="21"/>
        <v>7577</v>
      </c>
      <c r="G1401" s="26"/>
    </row>
    <row r="1402" spans="1:7" x14ac:dyDescent="0.25">
      <c r="A1402" s="61">
        <v>42754</v>
      </c>
      <c r="B1402" s="26" t="s">
        <v>121</v>
      </c>
      <c r="C1402" s="87" t="s">
        <v>32</v>
      </c>
      <c r="D1402" s="8">
        <v>2000</v>
      </c>
      <c r="E1402" s="8"/>
      <c r="F1402" s="8">
        <f t="shared" si="21"/>
        <v>5577</v>
      </c>
      <c r="G1402" s="26"/>
    </row>
    <row r="1403" spans="1:7" x14ac:dyDescent="0.25">
      <c r="A1403" s="61">
        <v>42754</v>
      </c>
      <c r="B1403" s="29" t="s">
        <v>1144</v>
      </c>
      <c r="C1403" s="89" t="s">
        <v>1145</v>
      </c>
      <c r="D1403" s="14">
        <v>770</v>
      </c>
      <c r="E1403" s="8"/>
      <c r="F1403" s="8">
        <f t="shared" si="21"/>
        <v>4807</v>
      </c>
      <c r="G1403" s="26"/>
    </row>
    <row r="1404" spans="1:7" x14ac:dyDescent="0.25">
      <c r="A1404" s="61">
        <v>42754</v>
      </c>
      <c r="B1404" s="462" t="s">
        <v>1146</v>
      </c>
      <c r="C1404" s="463"/>
      <c r="D1404" s="71"/>
      <c r="E1404" s="58">
        <v>50000</v>
      </c>
      <c r="F1404" s="8">
        <f t="shared" si="21"/>
        <v>54807</v>
      </c>
      <c r="G1404" s="26"/>
    </row>
    <row r="1405" spans="1:7" ht="45" x14ac:dyDescent="0.25">
      <c r="A1405" s="61">
        <v>42754</v>
      </c>
      <c r="B1405" s="26" t="s">
        <v>1147</v>
      </c>
      <c r="C1405" s="87" t="s">
        <v>1148</v>
      </c>
      <c r="D1405" s="8">
        <v>12250</v>
      </c>
      <c r="E1405" s="8"/>
      <c r="F1405" s="8">
        <f t="shared" si="21"/>
        <v>42557</v>
      </c>
      <c r="G1405" s="26"/>
    </row>
    <row r="1406" spans="1:7" ht="30" x14ac:dyDescent="0.25">
      <c r="A1406" s="61">
        <v>42754</v>
      </c>
      <c r="B1406" s="26" t="s">
        <v>26</v>
      </c>
      <c r="C1406" s="87" t="s">
        <v>1158</v>
      </c>
      <c r="D1406" s="8">
        <v>195</v>
      </c>
      <c r="E1406" s="8"/>
      <c r="F1406" s="8">
        <f t="shared" si="21"/>
        <v>42362</v>
      </c>
      <c r="G1406" s="26"/>
    </row>
    <row r="1407" spans="1:7" x14ac:dyDescent="0.25">
      <c r="A1407" s="61">
        <v>42754</v>
      </c>
      <c r="B1407" s="26" t="s">
        <v>161</v>
      </c>
      <c r="C1407" s="87" t="s">
        <v>1149</v>
      </c>
      <c r="D1407" s="8">
        <v>5000</v>
      </c>
      <c r="E1407" s="8"/>
      <c r="F1407" s="8">
        <f t="shared" si="21"/>
        <v>37362</v>
      </c>
      <c r="G1407" s="26"/>
    </row>
    <row r="1408" spans="1:7" x14ac:dyDescent="0.25">
      <c r="A1408" s="61">
        <v>42754</v>
      </c>
      <c r="B1408" s="26" t="s">
        <v>165</v>
      </c>
      <c r="C1408" s="87" t="s">
        <v>32</v>
      </c>
      <c r="D1408" s="8">
        <v>10000</v>
      </c>
      <c r="E1408" s="8"/>
      <c r="F1408" s="8">
        <f t="shared" si="21"/>
        <v>27362</v>
      </c>
      <c r="G1408" s="26"/>
    </row>
    <row r="1409" spans="1:7" x14ac:dyDescent="0.25">
      <c r="A1409" s="61">
        <v>42754</v>
      </c>
      <c r="B1409" s="192" t="s">
        <v>128</v>
      </c>
      <c r="C1409" s="193" t="s">
        <v>1151</v>
      </c>
      <c r="D1409" s="15">
        <v>4130</v>
      </c>
      <c r="E1409" s="8"/>
      <c r="F1409" s="8">
        <f t="shared" si="21"/>
        <v>23232</v>
      </c>
      <c r="G1409" s="26"/>
    </row>
    <row r="1410" spans="1:7" x14ac:dyDescent="0.25">
      <c r="A1410" s="61">
        <v>42754</v>
      </c>
      <c r="B1410" s="26" t="s">
        <v>446</v>
      </c>
      <c r="C1410" s="87" t="s">
        <v>1150</v>
      </c>
      <c r="D1410" s="8">
        <v>5000</v>
      </c>
      <c r="E1410" s="8"/>
      <c r="F1410" s="8">
        <f t="shared" si="21"/>
        <v>18232</v>
      </c>
      <c r="G1410" s="26"/>
    </row>
    <row r="1411" spans="1:7" x14ac:dyDescent="0.25">
      <c r="A1411" s="61">
        <v>42754</v>
      </c>
      <c r="B1411" s="26" t="s">
        <v>121</v>
      </c>
      <c r="C1411" s="87" t="s">
        <v>32</v>
      </c>
      <c r="D1411" s="8">
        <v>10000</v>
      </c>
      <c r="E1411" s="8"/>
      <c r="F1411" s="8">
        <f t="shared" ref="F1411:F1474" si="22">F1410-D1411+E1411</f>
        <v>8232</v>
      </c>
      <c r="G1411" s="26"/>
    </row>
    <row r="1412" spans="1:7" x14ac:dyDescent="0.25">
      <c r="A1412" s="61">
        <v>42754</v>
      </c>
      <c r="B1412" s="26" t="s">
        <v>446</v>
      </c>
      <c r="C1412" s="87" t="s">
        <v>1162</v>
      </c>
      <c r="D1412" s="8">
        <v>1000</v>
      </c>
      <c r="E1412" s="8"/>
      <c r="F1412" s="8">
        <f t="shared" si="22"/>
        <v>7232</v>
      </c>
      <c r="G1412" s="26"/>
    </row>
    <row r="1413" spans="1:7" ht="30" x14ac:dyDescent="0.25">
      <c r="A1413" s="61">
        <v>42755</v>
      </c>
      <c r="B1413" s="26" t="s">
        <v>117</v>
      </c>
      <c r="C1413" s="87" t="s">
        <v>1152</v>
      </c>
      <c r="D1413" s="8">
        <v>300</v>
      </c>
      <c r="E1413" s="8"/>
      <c r="F1413" s="8">
        <f t="shared" si="22"/>
        <v>6932</v>
      </c>
      <c r="G1413" s="26"/>
    </row>
    <row r="1414" spans="1:7" x14ac:dyDescent="0.25">
      <c r="A1414" s="61">
        <v>42755</v>
      </c>
      <c r="B1414" s="462" t="s">
        <v>1153</v>
      </c>
      <c r="C1414" s="463"/>
      <c r="D1414" s="71"/>
      <c r="E1414" s="58">
        <v>90000</v>
      </c>
      <c r="F1414" s="8">
        <f t="shared" si="22"/>
        <v>96932</v>
      </c>
      <c r="G1414" s="26"/>
    </row>
    <row r="1415" spans="1:7" x14ac:dyDescent="0.25">
      <c r="A1415" s="61">
        <v>42755</v>
      </c>
      <c r="B1415" s="29" t="s">
        <v>28</v>
      </c>
      <c r="C1415" s="89" t="s">
        <v>32</v>
      </c>
      <c r="D1415" s="14">
        <v>10000</v>
      </c>
      <c r="E1415" s="14"/>
      <c r="F1415" s="8">
        <f t="shared" si="22"/>
        <v>86932</v>
      </c>
      <c r="G1415" s="26"/>
    </row>
    <row r="1416" spans="1:7" x14ac:dyDescent="0.25">
      <c r="A1416" s="61">
        <v>42755</v>
      </c>
      <c r="B1416" s="29" t="s">
        <v>446</v>
      </c>
      <c r="C1416" s="89" t="s">
        <v>32</v>
      </c>
      <c r="D1416" s="14">
        <v>35000</v>
      </c>
      <c r="E1416" s="14"/>
      <c r="F1416" s="8">
        <f t="shared" si="22"/>
        <v>51932</v>
      </c>
      <c r="G1416" s="26"/>
    </row>
    <row r="1417" spans="1:7" x14ac:dyDescent="0.25">
      <c r="A1417" s="203">
        <v>42755</v>
      </c>
      <c r="B1417" s="197" t="s">
        <v>231</v>
      </c>
      <c r="C1417" s="198" t="s">
        <v>1180</v>
      </c>
      <c r="D1417" s="75">
        <v>9800</v>
      </c>
      <c r="E1417" s="75"/>
      <c r="F1417" s="8">
        <f t="shared" si="22"/>
        <v>42132</v>
      </c>
      <c r="G1417" s="197"/>
    </row>
    <row r="1418" spans="1:7" ht="30" x14ac:dyDescent="0.25">
      <c r="A1418" s="61">
        <v>42755</v>
      </c>
      <c r="B1418" s="29" t="s">
        <v>231</v>
      </c>
      <c r="C1418" s="89" t="s">
        <v>1178</v>
      </c>
      <c r="D1418" s="14">
        <v>9200</v>
      </c>
      <c r="E1418" s="14"/>
      <c r="F1418" s="8">
        <f t="shared" si="22"/>
        <v>32932</v>
      </c>
      <c r="G1418" s="29"/>
    </row>
    <row r="1419" spans="1:7" ht="30" x14ac:dyDescent="0.25">
      <c r="A1419" s="61">
        <v>42755</v>
      </c>
      <c r="B1419" s="29" t="s">
        <v>542</v>
      </c>
      <c r="C1419" s="89" t="s">
        <v>1154</v>
      </c>
      <c r="D1419" s="14">
        <v>400</v>
      </c>
      <c r="E1419" s="14"/>
      <c r="F1419" s="8">
        <f t="shared" si="22"/>
        <v>32532</v>
      </c>
      <c r="G1419" s="26"/>
    </row>
    <row r="1420" spans="1:7" x14ac:dyDescent="0.25">
      <c r="A1420" s="61">
        <v>42756</v>
      </c>
      <c r="B1420" s="26" t="s">
        <v>17</v>
      </c>
      <c r="C1420" s="87" t="s">
        <v>1155</v>
      </c>
      <c r="D1420" s="8">
        <v>5000</v>
      </c>
      <c r="E1420" s="8"/>
      <c r="F1420" s="8">
        <f t="shared" si="22"/>
        <v>27532</v>
      </c>
      <c r="G1420" s="26"/>
    </row>
    <row r="1421" spans="1:7" x14ac:dyDescent="0.25">
      <c r="A1421" s="61">
        <v>42756</v>
      </c>
      <c r="B1421" s="26" t="s">
        <v>161</v>
      </c>
      <c r="C1421" s="87" t="s">
        <v>1156</v>
      </c>
      <c r="D1421" s="8">
        <v>1000</v>
      </c>
      <c r="E1421" s="8"/>
      <c r="F1421" s="8">
        <f t="shared" si="22"/>
        <v>26532</v>
      </c>
      <c r="G1421" s="26"/>
    </row>
    <row r="1422" spans="1:7" x14ac:dyDescent="0.25">
      <c r="A1422" s="61">
        <v>42756</v>
      </c>
      <c r="B1422" s="26" t="s">
        <v>26</v>
      </c>
      <c r="C1422" s="87" t="s">
        <v>1166</v>
      </c>
      <c r="D1422" s="8"/>
      <c r="E1422" s="8"/>
      <c r="F1422" s="8">
        <f t="shared" si="22"/>
        <v>26532</v>
      </c>
      <c r="G1422" s="26"/>
    </row>
    <row r="1423" spans="1:7" x14ac:dyDescent="0.25">
      <c r="A1423" s="61">
        <v>42756</v>
      </c>
      <c r="B1423" s="26" t="s">
        <v>121</v>
      </c>
      <c r="C1423" s="87" t="s">
        <v>1161</v>
      </c>
      <c r="D1423" s="8">
        <v>5500</v>
      </c>
      <c r="E1423" s="8"/>
      <c r="F1423" s="8">
        <f t="shared" si="22"/>
        <v>21032</v>
      </c>
      <c r="G1423" s="26"/>
    </row>
    <row r="1424" spans="1:7" x14ac:dyDescent="0.25">
      <c r="A1424" s="61">
        <v>42756</v>
      </c>
      <c r="B1424" s="26" t="s">
        <v>1006</v>
      </c>
      <c r="C1424" s="87" t="s">
        <v>1159</v>
      </c>
      <c r="D1424" s="8">
        <v>600</v>
      </c>
      <c r="E1424" s="8"/>
      <c r="F1424" s="8">
        <f t="shared" si="22"/>
        <v>20432</v>
      </c>
      <c r="G1424" s="26"/>
    </row>
    <row r="1425" spans="1:7" x14ac:dyDescent="0.25">
      <c r="A1425" s="61">
        <v>42756</v>
      </c>
      <c r="B1425" s="26" t="s">
        <v>155</v>
      </c>
      <c r="C1425" s="87" t="s">
        <v>32</v>
      </c>
      <c r="D1425" s="8">
        <v>500</v>
      </c>
      <c r="E1425" s="8"/>
      <c r="F1425" s="8">
        <f t="shared" si="22"/>
        <v>19932</v>
      </c>
      <c r="G1425" s="26"/>
    </row>
    <row r="1426" spans="1:7" x14ac:dyDescent="0.25">
      <c r="A1426" s="61">
        <v>42756</v>
      </c>
      <c r="B1426" s="26" t="s">
        <v>28</v>
      </c>
      <c r="C1426" s="87" t="s">
        <v>1160</v>
      </c>
      <c r="D1426" s="8">
        <v>5000</v>
      </c>
      <c r="E1426" s="8"/>
      <c r="F1426" s="8">
        <f t="shared" si="22"/>
        <v>14932</v>
      </c>
      <c r="G1426" s="26"/>
    </row>
    <row r="1427" spans="1:7" x14ac:dyDescent="0.25">
      <c r="A1427" s="61">
        <v>42758</v>
      </c>
      <c r="B1427" s="26" t="s">
        <v>155</v>
      </c>
      <c r="C1427" s="87" t="s">
        <v>1163</v>
      </c>
      <c r="D1427" s="8">
        <v>4000</v>
      </c>
      <c r="E1427" s="8"/>
      <c r="F1427" s="8">
        <f t="shared" si="22"/>
        <v>10932</v>
      </c>
      <c r="G1427" s="26"/>
    </row>
    <row r="1428" spans="1:7" x14ac:dyDescent="0.25">
      <c r="A1428" s="61">
        <v>42758</v>
      </c>
      <c r="B1428" s="26" t="s">
        <v>17</v>
      </c>
      <c r="C1428" s="87" t="s">
        <v>1164</v>
      </c>
      <c r="D1428" s="8">
        <v>500</v>
      </c>
      <c r="E1428" s="8"/>
      <c r="F1428" s="8">
        <f t="shared" si="22"/>
        <v>10432</v>
      </c>
      <c r="G1428" s="26"/>
    </row>
    <row r="1429" spans="1:7" x14ac:dyDescent="0.25">
      <c r="A1429" s="61">
        <v>42758</v>
      </c>
      <c r="B1429" s="26" t="s">
        <v>69</v>
      </c>
      <c r="C1429" s="87" t="s">
        <v>32</v>
      </c>
      <c r="D1429" s="8">
        <v>4000</v>
      </c>
      <c r="E1429" s="8"/>
      <c r="F1429" s="8">
        <f t="shared" si="22"/>
        <v>6432</v>
      </c>
      <c r="G1429" s="26"/>
    </row>
    <row r="1430" spans="1:7" x14ac:dyDescent="0.25">
      <c r="A1430" s="61">
        <v>42758</v>
      </c>
      <c r="B1430" s="26" t="s">
        <v>446</v>
      </c>
      <c r="C1430" s="87" t="s">
        <v>32</v>
      </c>
      <c r="D1430" s="8">
        <v>1000</v>
      </c>
      <c r="E1430" s="8"/>
      <c r="F1430" s="8">
        <f t="shared" si="22"/>
        <v>5432</v>
      </c>
      <c r="G1430" s="26"/>
    </row>
    <row r="1431" spans="1:7" ht="45" x14ac:dyDescent="0.25">
      <c r="A1431" s="61">
        <v>42758</v>
      </c>
      <c r="B1431" s="26" t="s">
        <v>26</v>
      </c>
      <c r="C1431" s="87" t="s">
        <v>1165</v>
      </c>
      <c r="D1431" s="8">
        <v>715</v>
      </c>
      <c r="E1431" s="8"/>
      <c r="F1431" s="8">
        <f t="shared" si="22"/>
        <v>4717</v>
      </c>
      <c r="G1431" s="26"/>
    </row>
    <row r="1432" spans="1:7" x14ac:dyDescent="0.25">
      <c r="A1432" s="61">
        <v>42758</v>
      </c>
      <c r="B1432" s="462" t="s">
        <v>1182</v>
      </c>
      <c r="C1432" s="463"/>
      <c r="D1432" s="71"/>
      <c r="E1432" s="58">
        <v>50000</v>
      </c>
      <c r="F1432" s="8">
        <f t="shared" si="22"/>
        <v>54717</v>
      </c>
      <c r="G1432" s="26"/>
    </row>
    <row r="1433" spans="1:7" x14ac:dyDescent="0.25">
      <c r="A1433" s="61">
        <v>42758</v>
      </c>
      <c r="B1433" s="26" t="s">
        <v>161</v>
      </c>
      <c r="C1433" s="87" t="s">
        <v>1167</v>
      </c>
      <c r="D1433" s="8">
        <v>4000</v>
      </c>
      <c r="E1433" s="8"/>
      <c r="F1433" s="8">
        <f t="shared" si="22"/>
        <v>50717</v>
      </c>
      <c r="G1433" s="26"/>
    </row>
    <row r="1434" spans="1:7" x14ac:dyDescent="0.25">
      <c r="A1434" s="61">
        <v>42758</v>
      </c>
      <c r="B1434" s="26" t="s">
        <v>17</v>
      </c>
      <c r="C1434" s="87" t="s">
        <v>78</v>
      </c>
      <c r="D1434" s="8">
        <v>6000</v>
      </c>
      <c r="E1434" s="8"/>
      <c r="F1434" s="8">
        <f t="shared" si="22"/>
        <v>44717</v>
      </c>
      <c r="G1434" s="26"/>
    </row>
    <row r="1435" spans="1:7" ht="30" x14ac:dyDescent="0.25">
      <c r="A1435" s="61">
        <v>42758</v>
      </c>
      <c r="B1435" s="29" t="s">
        <v>231</v>
      </c>
      <c r="C1435" s="89" t="s">
        <v>1176</v>
      </c>
      <c r="D1435" s="14">
        <v>7750</v>
      </c>
      <c r="E1435" s="8"/>
      <c r="F1435" s="8">
        <f t="shared" si="22"/>
        <v>36967</v>
      </c>
      <c r="G1435" s="26"/>
    </row>
    <row r="1436" spans="1:7" ht="45" x14ac:dyDescent="0.25">
      <c r="A1436" s="61">
        <v>42758</v>
      </c>
      <c r="B1436" s="29" t="s">
        <v>231</v>
      </c>
      <c r="C1436" s="89" t="s">
        <v>1177</v>
      </c>
      <c r="D1436" s="14">
        <v>740</v>
      </c>
      <c r="E1436" s="8"/>
      <c r="F1436" s="8">
        <f t="shared" si="22"/>
        <v>36227</v>
      </c>
      <c r="G1436" s="26"/>
    </row>
    <row r="1437" spans="1:7" x14ac:dyDescent="0.25">
      <c r="A1437" s="61">
        <v>42758</v>
      </c>
      <c r="B1437" s="26" t="s">
        <v>28</v>
      </c>
      <c r="C1437" s="87" t="s">
        <v>32</v>
      </c>
      <c r="D1437" s="8">
        <v>50</v>
      </c>
      <c r="E1437" s="8"/>
      <c r="F1437" s="8">
        <f t="shared" si="22"/>
        <v>36177</v>
      </c>
      <c r="G1437" s="26"/>
    </row>
    <row r="1438" spans="1:7" ht="30" x14ac:dyDescent="0.25">
      <c r="A1438" s="61">
        <v>42758</v>
      </c>
      <c r="B1438" s="29" t="s">
        <v>128</v>
      </c>
      <c r="C1438" s="89" t="s">
        <v>1179</v>
      </c>
      <c r="D1438" s="14">
        <v>16000</v>
      </c>
      <c r="E1438" s="14"/>
      <c r="F1438" s="8">
        <f t="shared" si="22"/>
        <v>20177</v>
      </c>
      <c r="G1438" s="29"/>
    </row>
    <row r="1439" spans="1:7" x14ac:dyDescent="0.25">
      <c r="A1439" s="61">
        <v>42758</v>
      </c>
      <c r="B1439" s="26" t="s">
        <v>964</v>
      </c>
      <c r="C1439" s="87" t="s">
        <v>1168</v>
      </c>
      <c r="D1439" s="8">
        <v>1000</v>
      </c>
      <c r="E1439" s="8"/>
      <c r="F1439" s="8">
        <f t="shared" si="22"/>
        <v>19177</v>
      </c>
      <c r="G1439" s="26"/>
    </row>
    <row r="1440" spans="1:7" ht="30" x14ac:dyDescent="0.25">
      <c r="A1440" s="61">
        <v>42758</v>
      </c>
      <c r="B1440" s="26" t="s">
        <v>26</v>
      </c>
      <c r="C1440" s="87" t="s">
        <v>1172</v>
      </c>
      <c r="D1440" s="8">
        <v>1029</v>
      </c>
      <c r="E1440" s="8"/>
      <c r="F1440" s="8">
        <f t="shared" si="22"/>
        <v>18148</v>
      </c>
      <c r="G1440" s="26"/>
    </row>
    <row r="1441" spans="1:7" x14ac:dyDescent="0.25">
      <c r="A1441" s="61">
        <v>42759</v>
      </c>
      <c r="B1441" s="26" t="s">
        <v>69</v>
      </c>
      <c r="C1441" s="87" t="s">
        <v>32</v>
      </c>
      <c r="D1441" s="8">
        <v>2000</v>
      </c>
      <c r="E1441" s="8"/>
      <c r="F1441" s="8">
        <f t="shared" si="22"/>
        <v>16148</v>
      </c>
      <c r="G1441" s="26"/>
    </row>
    <row r="1442" spans="1:7" x14ac:dyDescent="0.25">
      <c r="A1442" s="61">
        <v>42759</v>
      </c>
      <c r="B1442" s="26" t="s">
        <v>446</v>
      </c>
      <c r="C1442" s="87" t="s">
        <v>32</v>
      </c>
      <c r="D1442" s="8">
        <v>1000</v>
      </c>
      <c r="E1442" s="8"/>
      <c r="F1442" s="8">
        <f t="shared" si="22"/>
        <v>15148</v>
      </c>
      <c r="G1442" s="26"/>
    </row>
    <row r="1443" spans="1:7" x14ac:dyDescent="0.25">
      <c r="A1443" s="61">
        <v>42759</v>
      </c>
      <c r="B1443" s="26" t="s">
        <v>964</v>
      </c>
      <c r="C1443" s="87" t="s">
        <v>1169</v>
      </c>
      <c r="D1443" s="8">
        <v>3000</v>
      </c>
      <c r="E1443" s="8"/>
      <c r="F1443" s="8">
        <f t="shared" si="22"/>
        <v>12148</v>
      </c>
      <c r="G1443" s="26"/>
    </row>
    <row r="1444" spans="1:7" x14ac:dyDescent="0.25">
      <c r="A1444" s="61">
        <v>42759</v>
      </c>
      <c r="B1444" s="26" t="s">
        <v>121</v>
      </c>
      <c r="C1444" s="87" t="s">
        <v>41</v>
      </c>
      <c r="D1444" s="8">
        <v>2000</v>
      </c>
      <c r="E1444" s="8"/>
      <c r="F1444" s="8">
        <f t="shared" si="22"/>
        <v>10148</v>
      </c>
      <c r="G1444" s="26"/>
    </row>
    <row r="1445" spans="1:7" x14ac:dyDescent="0.25">
      <c r="A1445" s="61">
        <v>42759</v>
      </c>
      <c r="B1445" s="26" t="s">
        <v>392</v>
      </c>
      <c r="C1445" s="87" t="s">
        <v>1170</v>
      </c>
      <c r="D1445" s="8">
        <v>500</v>
      </c>
      <c r="E1445" s="8"/>
      <c r="F1445" s="8">
        <f t="shared" si="22"/>
        <v>9648</v>
      </c>
      <c r="G1445" s="26"/>
    </row>
    <row r="1446" spans="1:7" x14ac:dyDescent="0.25">
      <c r="A1446" s="61">
        <v>42759</v>
      </c>
      <c r="B1446" s="26" t="s">
        <v>446</v>
      </c>
      <c r="C1446" s="87" t="s">
        <v>1171</v>
      </c>
      <c r="D1446" s="8">
        <v>1000</v>
      </c>
      <c r="E1446" s="8"/>
      <c r="F1446" s="8">
        <f t="shared" si="22"/>
        <v>8648</v>
      </c>
      <c r="G1446" s="26"/>
    </row>
    <row r="1447" spans="1:7" x14ac:dyDescent="0.25">
      <c r="A1447" s="61">
        <v>42759</v>
      </c>
      <c r="B1447" s="26" t="s">
        <v>26</v>
      </c>
      <c r="C1447" s="87" t="s">
        <v>606</v>
      </c>
      <c r="D1447" s="8">
        <v>100</v>
      </c>
      <c r="E1447" s="8"/>
      <c r="F1447" s="8">
        <f t="shared" si="22"/>
        <v>8548</v>
      </c>
      <c r="G1447" s="26"/>
    </row>
    <row r="1448" spans="1:7" x14ac:dyDescent="0.25">
      <c r="A1448" s="61">
        <v>42759</v>
      </c>
      <c r="B1448" s="26" t="s">
        <v>26</v>
      </c>
      <c r="C1448" s="87" t="s">
        <v>1173</v>
      </c>
      <c r="D1448" s="8">
        <v>100</v>
      </c>
      <c r="E1448" s="8"/>
      <c r="F1448" s="8">
        <f t="shared" si="22"/>
        <v>8448</v>
      </c>
      <c r="G1448" s="26"/>
    </row>
    <row r="1449" spans="1:7" x14ac:dyDescent="0.25">
      <c r="A1449" s="61">
        <v>42759</v>
      </c>
      <c r="B1449" s="26" t="s">
        <v>26</v>
      </c>
      <c r="C1449" s="87" t="s">
        <v>1174</v>
      </c>
      <c r="D1449" s="8">
        <v>500</v>
      </c>
      <c r="E1449" s="8"/>
      <c r="F1449" s="8">
        <f t="shared" si="22"/>
        <v>7948</v>
      </c>
      <c r="G1449" s="26"/>
    </row>
    <row r="1450" spans="1:7" x14ac:dyDescent="0.25">
      <c r="A1450" s="61">
        <v>42759</v>
      </c>
      <c r="B1450" s="26" t="s">
        <v>71</v>
      </c>
      <c r="C1450" s="87" t="s">
        <v>1175</v>
      </c>
      <c r="D1450" s="8">
        <v>240</v>
      </c>
      <c r="E1450" s="8"/>
      <c r="F1450" s="8">
        <f t="shared" si="22"/>
        <v>7708</v>
      </c>
      <c r="G1450" s="26"/>
    </row>
    <row r="1451" spans="1:7" x14ac:dyDescent="0.25">
      <c r="A1451" s="61">
        <v>42759</v>
      </c>
      <c r="B1451" s="26" t="s">
        <v>28</v>
      </c>
      <c r="C1451" s="87" t="s">
        <v>32</v>
      </c>
      <c r="D1451" s="8">
        <v>1000</v>
      </c>
      <c r="E1451" s="8"/>
      <c r="F1451" s="8">
        <f t="shared" si="22"/>
        <v>6708</v>
      </c>
      <c r="G1451" s="26"/>
    </row>
    <row r="1452" spans="1:7" x14ac:dyDescent="0.25">
      <c r="A1452" s="61">
        <v>42759</v>
      </c>
      <c r="B1452" s="26" t="s">
        <v>117</v>
      </c>
      <c r="C1452" s="87" t="s">
        <v>799</v>
      </c>
      <c r="D1452" s="8">
        <v>700</v>
      </c>
      <c r="E1452" s="8"/>
      <c r="F1452" s="8">
        <f t="shared" si="22"/>
        <v>6008</v>
      </c>
      <c r="G1452" s="26"/>
    </row>
    <row r="1453" spans="1:7" x14ac:dyDescent="0.25">
      <c r="A1453" s="61">
        <v>42759</v>
      </c>
      <c r="B1453" s="462" t="s">
        <v>1183</v>
      </c>
      <c r="C1453" s="463"/>
      <c r="D1453" s="71"/>
      <c r="E1453" s="58">
        <v>50000</v>
      </c>
      <c r="F1453" s="8">
        <f t="shared" si="22"/>
        <v>56008</v>
      </c>
      <c r="G1453" s="26"/>
    </row>
    <row r="1454" spans="1:7" x14ac:dyDescent="0.25">
      <c r="A1454" s="61">
        <v>42759</v>
      </c>
      <c r="B1454" s="26" t="s">
        <v>161</v>
      </c>
      <c r="C1454" s="87" t="s">
        <v>1181</v>
      </c>
      <c r="D1454" s="8">
        <v>2000</v>
      </c>
      <c r="E1454" s="8"/>
      <c r="F1454" s="8">
        <f t="shared" si="22"/>
        <v>54008</v>
      </c>
      <c r="G1454" s="26"/>
    </row>
    <row r="1455" spans="1:7" x14ac:dyDescent="0.25">
      <c r="A1455" s="61">
        <v>42759</v>
      </c>
      <c r="B1455" s="26" t="s">
        <v>161</v>
      </c>
      <c r="C1455" s="87" t="s">
        <v>1189</v>
      </c>
      <c r="D1455" s="8">
        <v>2000</v>
      </c>
      <c r="E1455" s="8"/>
      <c r="F1455" s="8">
        <f t="shared" si="22"/>
        <v>52008</v>
      </c>
      <c r="G1455" s="26"/>
    </row>
    <row r="1456" spans="1:7" x14ac:dyDescent="0.25">
      <c r="A1456" s="61">
        <v>42759</v>
      </c>
      <c r="B1456" s="26" t="s">
        <v>161</v>
      </c>
      <c r="C1456" s="87" t="s">
        <v>1190</v>
      </c>
      <c r="D1456" s="8">
        <v>2000</v>
      </c>
      <c r="E1456" s="8"/>
      <c r="F1456" s="8">
        <f t="shared" si="22"/>
        <v>50008</v>
      </c>
      <c r="G1456" s="26"/>
    </row>
    <row r="1457" spans="1:7" x14ac:dyDescent="0.25">
      <c r="A1457" s="61">
        <v>42759</v>
      </c>
      <c r="B1457" s="26" t="s">
        <v>4</v>
      </c>
      <c r="C1457" s="87" t="s">
        <v>295</v>
      </c>
      <c r="D1457" s="8">
        <v>2000</v>
      </c>
      <c r="E1457" s="8"/>
      <c r="F1457" s="8">
        <f t="shared" si="22"/>
        <v>48008</v>
      </c>
      <c r="G1457" s="26"/>
    </row>
    <row r="1458" spans="1:7" x14ac:dyDescent="0.25">
      <c r="A1458" s="61">
        <v>42759</v>
      </c>
      <c r="B1458" s="26" t="s">
        <v>1184</v>
      </c>
      <c r="C1458" s="87" t="s">
        <v>1185</v>
      </c>
      <c r="D1458" s="8">
        <v>25418</v>
      </c>
      <c r="E1458" s="8"/>
      <c r="F1458" s="8">
        <f t="shared" si="22"/>
        <v>22590</v>
      </c>
      <c r="G1458" s="26"/>
    </row>
    <row r="1459" spans="1:7" x14ac:dyDescent="0.25">
      <c r="A1459" s="61">
        <v>42759</v>
      </c>
      <c r="B1459" s="26" t="s">
        <v>248</v>
      </c>
      <c r="C1459" s="87" t="s">
        <v>967</v>
      </c>
      <c r="D1459" s="8">
        <v>50</v>
      </c>
      <c r="E1459" s="8"/>
      <c r="F1459" s="8">
        <f t="shared" si="22"/>
        <v>22540</v>
      </c>
      <c r="G1459" s="26"/>
    </row>
    <row r="1460" spans="1:7" x14ac:dyDescent="0.25">
      <c r="A1460" s="61">
        <v>42759</v>
      </c>
      <c r="B1460" s="26" t="s">
        <v>28</v>
      </c>
      <c r="C1460" s="87" t="s">
        <v>1186</v>
      </c>
      <c r="D1460" s="8">
        <v>10000</v>
      </c>
      <c r="E1460" s="8"/>
      <c r="F1460" s="8">
        <f t="shared" si="22"/>
        <v>12540</v>
      </c>
      <c r="G1460" s="26"/>
    </row>
    <row r="1461" spans="1:7" x14ac:dyDescent="0.25">
      <c r="A1461" s="61">
        <v>42759</v>
      </c>
      <c r="B1461" s="26" t="s">
        <v>1087</v>
      </c>
      <c r="C1461" s="87" t="s">
        <v>78</v>
      </c>
      <c r="D1461" s="8">
        <v>500</v>
      </c>
      <c r="E1461" s="8"/>
      <c r="F1461" s="8">
        <f t="shared" si="22"/>
        <v>12040</v>
      </c>
      <c r="G1461" s="26"/>
    </row>
    <row r="1462" spans="1:7" x14ac:dyDescent="0.25">
      <c r="A1462" s="61">
        <v>42759</v>
      </c>
      <c r="B1462" s="26" t="s">
        <v>1012</v>
      </c>
      <c r="C1462" s="87" t="s">
        <v>1187</v>
      </c>
      <c r="D1462" s="8">
        <v>200</v>
      </c>
      <c r="E1462" s="8"/>
      <c r="F1462" s="8">
        <f t="shared" si="22"/>
        <v>11840</v>
      </c>
      <c r="G1462" s="26"/>
    </row>
    <row r="1463" spans="1:7" ht="48.75" customHeight="1" x14ac:dyDescent="0.25">
      <c r="A1463" s="61">
        <v>42760</v>
      </c>
      <c r="B1463" s="464" t="s">
        <v>1197</v>
      </c>
      <c r="C1463" s="465"/>
      <c r="D1463" s="71"/>
      <c r="E1463" s="58">
        <v>3400</v>
      </c>
      <c r="F1463" s="8">
        <f t="shared" si="22"/>
        <v>15240</v>
      </c>
      <c r="G1463" s="26"/>
    </row>
    <row r="1464" spans="1:7" x14ac:dyDescent="0.25">
      <c r="A1464" s="61">
        <v>42760</v>
      </c>
      <c r="B1464" s="26" t="s">
        <v>105</v>
      </c>
      <c r="C1464" s="87" t="s">
        <v>32</v>
      </c>
      <c r="D1464" s="8">
        <v>500</v>
      </c>
      <c r="E1464" s="8"/>
      <c r="F1464" s="8">
        <f t="shared" si="22"/>
        <v>14740</v>
      </c>
      <c r="G1464" s="26"/>
    </row>
    <row r="1465" spans="1:7" x14ac:dyDescent="0.25">
      <c r="A1465" s="61">
        <v>42760</v>
      </c>
      <c r="B1465" s="26" t="s">
        <v>1188</v>
      </c>
      <c r="C1465" s="87" t="s">
        <v>693</v>
      </c>
      <c r="D1465" s="8">
        <v>4400</v>
      </c>
      <c r="E1465" s="8"/>
      <c r="F1465" s="8">
        <f t="shared" si="22"/>
        <v>10340</v>
      </c>
      <c r="G1465" s="26"/>
    </row>
    <row r="1466" spans="1:7" x14ac:dyDescent="0.25">
      <c r="A1466" s="61">
        <v>42760</v>
      </c>
      <c r="B1466" s="26" t="s">
        <v>28</v>
      </c>
      <c r="C1466" s="87" t="s">
        <v>295</v>
      </c>
      <c r="D1466" s="8">
        <v>3500</v>
      </c>
      <c r="E1466" s="8"/>
      <c r="F1466" s="8">
        <f t="shared" si="22"/>
        <v>6840</v>
      </c>
      <c r="G1466" s="26"/>
    </row>
    <row r="1467" spans="1:7" x14ac:dyDescent="0.25">
      <c r="A1467" s="61">
        <v>42761</v>
      </c>
      <c r="B1467" s="462" t="s">
        <v>1191</v>
      </c>
      <c r="C1467" s="463"/>
      <c r="D1467" s="71"/>
      <c r="E1467" s="58">
        <v>100000</v>
      </c>
      <c r="F1467" s="8">
        <f t="shared" si="22"/>
        <v>106840</v>
      </c>
      <c r="G1467" s="26"/>
    </row>
    <row r="1468" spans="1:7" x14ac:dyDescent="0.25">
      <c r="A1468" s="61">
        <v>42761</v>
      </c>
      <c r="B1468" s="26" t="s">
        <v>1192</v>
      </c>
      <c r="C1468" s="87" t="s">
        <v>1193</v>
      </c>
      <c r="D1468" s="8">
        <v>30000</v>
      </c>
      <c r="E1468" s="8"/>
      <c r="F1468" s="8">
        <f t="shared" si="22"/>
        <v>76840</v>
      </c>
      <c r="G1468" s="26"/>
    </row>
    <row r="1469" spans="1:7" x14ac:dyDescent="0.25">
      <c r="A1469" s="61">
        <v>42761</v>
      </c>
      <c r="B1469" s="26" t="s">
        <v>155</v>
      </c>
      <c r="C1469" s="87" t="s">
        <v>32</v>
      </c>
      <c r="D1469" s="8">
        <v>3000</v>
      </c>
      <c r="E1469" s="8"/>
      <c r="F1469" s="8">
        <f t="shared" si="22"/>
        <v>73840</v>
      </c>
      <c r="G1469" s="26"/>
    </row>
    <row r="1470" spans="1:7" x14ac:dyDescent="0.25">
      <c r="A1470" s="61">
        <v>42761</v>
      </c>
      <c r="B1470" s="197" t="s">
        <v>1194</v>
      </c>
      <c r="C1470" s="198" t="s">
        <v>32</v>
      </c>
      <c r="D1470" s="75">
        <v>1000</v>
      </c>
      <c r="E1470" s="8"/>
      <c r="F1470" s="8">
        <f t="shared" si="22"/>
        <v>72840</v>
      </c>
      <c r="G1470" s="26"/>
    </row>
    <row r="1471" spans="1:7" x14ac:dyDescent="0.25">
      <c r="A1471" s="61">
        <v>42761</v>
      </c>
      <c r="B1471" s="26" t="s">
        <v>161</v>
      </c>
      <c r="C1471" s="87" t="s">
        <v>1199</v>
      </c>
      <c r="D1471" s="8">
        <v>3000</v>
      </c>
      <c r="E1471" s="8"/>
      <c r="F1471" s="8">
        <f t="shared" si="22"/>
        <v>69840</v>
      </c>
      <c r="G1471" s="26"/>
    </row>
    <row r="1472" spans="1:7" x14ac:dyDescent="0.25">
      <c r="A1472" s="61">
        <v>42761</v>
      </c>
      <c r="B1472" s="26" t="s">
        <v>4</v>
      </c>
      <c r="C1472" s="87" t="s">
        <v>799</v>
      </c>
      <c r="D1472" s="8">
        <v>20000</v>
      </c>
      <c r="E1472" s="8"/>
      <c r="F1472" s="8">
        <f t="shared" si="22"/>
        <v>49840</v>
      </c>
      <c r="G1472" s="26"/>
    </row>
    <row r="1473" spans="1:7" x14ac:dyDescent="0.25">
      <c r="A1473" s="61">
        <v>42761</v>
      </c>
      <c r="B1473" s="26" t="s">
        <v>69</v>
      </c>
      <c r="C1473" s="87" t="s">
        <v>32</v>
      </c>
      <c r="D1473" s="8">
        <v>2000</v>
      </c>
      <c r="E1473" s="8"/>
      <c r="F1473" s="8">
        <f t="shared" si="22"/>
        <v>47840</v>
      </c>
      <c r="G1473" s="26"/>
    </row>
    <row r="1474" spans="1:7" x14ac:dyDescent="0.25">
      <c r="A1474" s="61">
        <v>42761</v>
      </c>
      <c r="B1474" s="26" t="s">
        <v>964</v>
      </c>
      <c r="C1474" s="87" t="s">
        <v>1195</v>
      </c>
      <c r="D1474" s="8">
        <v>10000</v>
      </c>
      <c r="E1474" s="8"/>
      <c r="F1474" s="8">
        <f t="shared" si="22"/>
        <v>37840</v>
      </c>
      <c r="G1474" s="26"/>
    </row>
    <row r="1475" spans="1:7" ht="45" x14ac:dyDescent="0.25">
      <c r="A1475" s="61">
        <v>42761</v>
      </c>
      <c r="B1475" s="26" t="s">
        <v>26</v>
      </c>
      <c r="C1475" s="87" t="s">
        <v>1205</v>
      </c>
      <c r="D1475" s="8">
        <v>395</v>
      </c>
      <c r="E1475" s="8"/>
      <c r="F1475" s="8">
        <f t="shared" ref="F1475:F1538" si="23">F1474-D1475+E1475</f>
        <v>37445</v>
      </c>
      <c r="G1475" s="26"/>
    </row>
    <row r="1476" spans="1:7" x14ac:dyDescent="0.25">
      <c r="A1476" s="61">
        <v>42761</v>
      </c>
      <c r="B1476" s="26" t="s">
        <v>1196</v>
      </c>
      <c r="C1476" s="87" t="s">
        <v>1198</v>
      </c>
      <c r="D1476" s="8">
        <v>600</v>
      </c>
      <c r="E1476" s="8"/>
      <c r="F1476" s="8">
        <f t="shared" si="23"/>
        <v>36845</v>
      </c>
      <c r="G1476" s="26"/>
    </row>
    <row r="1477" spans="1:7" x14ac:dyDescent="0.25">
      <c r="A1477" s="61">
        <v>42762</v>
      </c>
      <c r="B1477" s="26" t="s">
        <v>128</v>
      </c>
      <c r="C1477" s="87" t="s">
        <v>1200</v>
      </c>
      <c r="D1477" s="8">
        <v>2900</v>
      </c>
      <c r="E1477" s="8"/>
      <c r="F1477" s="8">
        <f t="shared" si="23"/>
        <v>33945</v>
      </c>
      <c r="G1477" s="26"/>
    </row>
    <row r="1478" spans="1:7" x14ac:dyDescent="0.25">
      <c r="A1478" s="61">
        <v>42762</v>
      </c>
      <c r="B1478" s="26" t="s">
        <v>28</v>
      </c>
      <c r="C1478" s="87" t="s">
        <v>32</v>
      </c>
      <c r="D1478" s="8">
        <v>7000</v>
      </c>
      <c r="E1478" s="8"/>
      <c r="F1478" s="8">
        <f t="shared" si="23"/>
        <v>26945</v>
      </c>
      <c r="G1478" s="26"/>
    </row>
    <row r="1479" spans="1:7" x14ac:dyDescent="0.25">
      <c r="A1479" s="61">
        <v>42762</v>
      </c>
      <c r="B1479" s="26" t="s">
        <v>161</v>
      </c>
      <c r="C1479" s="87" t="s">
        <v>28</v>
      </c>
      <c r="D1479" s="8">
        <v>10000</v>
      </c>
      <c r="E1479" s="8"/>
      <c r="F1479" s="8">
        <f t="shared" si="23"/>
        <v>16945</v>
      </c>
      <c r="G1479" s="26"/>
    </row>
    <row r="1480" spans="1:7" x14ac:dyDescent="0.25">
      <c r="A1480" s="61">
        <v>42762</v>
      </c>
      <c r="B1480" s="26" t="s">
        <v>248</v>
      </c>
      <c r="C1480" s="87" t="s">
        <v>1201</v>
      </c>
      <c r="D1480" s="8">
        <v>1200</v>
      </c>
      <c r="E1480" s="8"/>
      <c r="F1480" s="8">
        <f t="shared" si="23"/>
        <v>15745</v>
      </c>
      <c r="G1480" s="26"/>
    </row>
    <row r="1481" spans="1:7" x14ac:dyDescent="0.25">
      <c r="A1481" s="61">
        <v>42762</v>
      </c>
      <c r="B1481" s="26" t="s">
        <v>231</v>
      </c>
      <c r="C1481" s="87" t="s">
        <v>37</v>
      </c>
      <c r="D1481" s="8">
        <v>1500</v>
      </c>
      <c r="E1481" s="8"/>
      <c r="F1481" s="8">
        <f t="shared" si="23"/>
        <v>14245</v>
      </c>
      <c r="G1481" s="26"/>
    </row>
    <row r="1482" spans="1:7" x14ac:dyDescent="0.25">
      <c r="A1482" s="61">
        <v>42762</v>
      </c>
      <c r="B1482" s="197" t="s">
        <v>248</v>
      </c>
      <c r="C1482" s="198" t="s">
        <v>140</v>
      </c>
      <c r="D1482" s="75">
        <v>1000</v>
      </c>
      <c r="E1482" s="8"/>
      <c r="F1482" s="8">
        <f t="shared" si="23"/>
        <v>13245</v>
      </c>
      <c r="G1482" s="26"/>
    </row>
    <row r="1483" spans="1:7" x14ac:dyDescent="0.25">
      <c r="A1483" s="61">
        <v>42762</v>
      </c>
      <c r="B1483" s="462" t="s">
        <v>1191</v>
      </c>
      <c r="C1483" s="463"/>
      <c r="D1483" s="71"/>
      <c r="E1483" s="58">
        <v>20000</v>
      </c>
      <c r="F1483" s="8">
        <f t="shared" si="23"/>
        <v>33245</v>
      </c>
      <c r="G1483" s="26"/>
    </row>
    <row r="1484" spans="1:7" ht="30" x14ac:dyDescent="0.25">
      <c r="A1484" s="61">
        <v>42763</v>
      </c>
      <c r="B1484" s="29" t="s">
        <v>71</v>
      </c>
      <c r="C1484" s="89" t="s">
        <v>1202</v>
      </c>
      <c r="D1484" s="14">
        <v>1220</v>
      </c>
      <c r="E1484" s="8"/>
      <c r="F1484" s="8">
        <f t="shared" si="23"/>
        <v>32025</v>
      </c>
      <c r="G1484" s="26"/>
    </row>
    <row r="1485" spans="1:7" ht="30" x14ac:dyDescent="0.25">
      <c r="A1485" s="61">
        <v>42763</v>
      </c>
      <c r="B1485" s="26" t="s">
        <v>231</v>
      </c>
      <c r="C1485" s="87" t="s">
        <v>1203</v>
      </c>
      <c r="D1485" s="8">
        <v>300</v>
      </c>
      <c r="E1485" s="8"/>
      <c r="F1485" s="8">
        <f t="shared" si="23"/>
        <v>31725</v>
      </c>
      <c r="G1485" s="26"/>
    </row>
    <row r="1486" spans="1:7" x14ac:dyDescent="0.25">
      <c r="A1486" s="61">
        <v>42763</v>
      </c>
      <c r="B1486" s="26" t="s">
        <v>17</v>
      </c>
      <c r="C1486" s="87" t="s">
        <v>32</v>
      </c>
      <c r="D1486" s="8">
        <v>2000</v>
      </c>
      <c r="E1486" s="8"/>
      <c r="F1486" s="8">
        <f t="shared" si="23"/>
        <v>29725</v>
      </c>
      <c r="G1486" s="26"/>
    </row>
    <row r="1487" spans="1:7" x14ac:dyDescent="0.25">
      <c r="A1487" s="61">
        <v>42763</v>
      </c>
      <c r="B1487" s="26" t="s">
        <v>964</v>
      </c>
      <c r="C1487" s="87" t="s">
        <v>41</v>
      </c>
      <c r="D1487" s="8">
        <v>20000</v>
      </c>
      <c r="E1487" s="8"/>
      <c r="F1487" s="8">
        <f t="shared" si="23"/>
        <v>9725</v>
      </c>
      <c r="G1487" s="26"/>
    </row>
    <row r="1488" spans="1:7" x14ac:dyDescent="0.25">
      <c r="A1488" s="61">
        <v>42763</v>
      </c>
      <c r="B1488" s="26" t="s">
        <v>1006</v>
      </c>
      <c r="C1488" s="87" t="s">
        <v>1204</v>
      </c>
      <c r="D1488" s="8">
        <v>1500</v>
      </c>
      <c r="E1488" s="8"/>
      <c r="F1488" s="8">
        <f t="shared" si="23"/>
        <v>8225</v>
      </c>
      <c r="G1488" s="26"/>
    </row>
    <row r="1489" spans="1:10" x14ac:dyDescent="0.25">
      <c r="A1489" s="61">
        <v>42763</v>
      </c>
      <c r="B1489" s="26" t="s">
        <v>161</v>
      </c>
      <c r="C1489" s="87" t="s">
        <v>1206</v>
      </c>
      <c r="D1489" s="8">
        <v>1000</v>
      </c>
      <c r="E1489" s="8"/>
      <c r="F1489" s="8">
        <f t="shared" si="23"/>
        <v>7225</v>
      </c>
      <c r="G1489" s="26"/>
    </row>
    <row r="1490" spans="1:10" ht="30" x14ac:dyDescent="0.25">
      <c r="A1490" s="61">
        <v>42763</v>
      </c>
      <c r="B1490" s="26" t="s">
        <v>26</v>
      </c>
      <c r="C1490" s="87" t="s">
        <v>1211</v>
      </c>
      <c r="D1490" s="8">
        <v>510</v>
      </c>
      <c r="E1490" s="8"/>
      <c r="F1490" s="8">
        <f t="shared" si="23"/>
        <v>6715</v>
      </c>
      <c r="G1490" s="26"/>
    </row>
    <row r="1491" spans="1:10" x14ac:dyDescent="0.25">
      <c r="A1491" s="61">
        <v>42765</v>
      </c>
      <c r="B1491" s="26" t="s">
        <v>40</v>
      </c>
      <c r="C1491" s="87" t="s">
        <v>1207</v>
      </c>
      <c r="D1491" s="8">
        <v>100</v>
      </c>
      <c r="E1491" s="8"/>
      <c r="F1491" s="8">
        <f t="shared" si="23"/>
        <v>6615</v>
      </c>
      <c r="G1491" s="26"/>
    </row>
    <row r="1492" spans="1:10" x14ac:dyDescent="0.25">
      <c r="A1492" s="61">
        <v>42765</v>
      </c>
      <c r="B1492" s="462" t="s">
        <v>1191</v>
      </c>
      <c r="C1492" s="463"/>
      <c r="D1492" s="71"/>
      <c r="E1492" s="58">
        <v>50000</v>
      </c>
      <c r="F1492" s="8">
        <f t="shared" si="23"/>
        <v>56615</v>
      </c>
      <c r="G1492" s="26"/>
    </row>
    <row r="1493" spans="1:10" s="20" customFormat="1" x14ac:dyDescent="0.25">
      <c r="A1493" s="61">
        <v>42765</v>
      </c>
      <c r="B1493" s="84" t="s">
        <v>1131</v>
      </c>
      <c r="C1493" s="84" t="s">
        <v>1208</v>
      </c>
      <c r="D1493" s="81">
        <v>20180</v>
      </c>
      <c r="E1493" s="41"/>
      <c r="F1493" s="8">
        <f t="shared" si="23"/>
        <v>36435</v>
      </c>
      <c r="G1493" s="29"/>
      <c r="H1493" s="24"/>
      <c r="I1493" s="24"/>
      <c r="J1493" s="24"/>
    </row>
    <row r="1494" spans="1:10" s="20" customFormat="1" x14ac:dyDescent="0.25">
      <c r="A1494" s="61">
        <v>42765</v>
      </c>
      <c r="B1494" s="84" t="s">
        <v>568</v>
      </c>
      <c r="C1494" s="84" t="s">
        <v>1208</v>
      </c>
      <c r="D1494" s="81">
        <v>5000</v>
      </c>
      <c r="E1494" s="41"/>
      <c r="F1494" s="8">
        <f t="shared" si="23"/>
        <v>31435</v>
      </c>
      <c r="G1494" s="29"/>
      <c r="H1494" s="24"/>
      <c r="I1494" s="24"/>
      <c r="J1494" s="24"/>
    </row>
    <row r="1495" spans="1:10" s="20" customFormat="1" x14ac:dyDescent="0.25">
      <c r="A1495" s="61">
        <v>42765</v>
      </c>
      <c r="B1495" s="84" t="s">
        <v>53</v>
      </c>
      <c r="C1495" s="84" t="s">
        <v>1209</v>
      </c>
      <c r="D1495" s="81">
        <v>500</v>
      </c>
      <c r="E1495" s="41"/>
      <c r="F1495" s="8">
        <f t="shared" si="23"/>
        <v>30935</v>
      </c>
      <c r="G1495" s="29"/>
      <c r="H1495" s="24"/>
      <c r="I1495" s="24"/>
      <c r="J1495" s="24"/>
    </row>
    <row r="1496" spans="1:10" s="20" customFormat="1" x14ac:dyDescent="0.25">
      <c r="A1496" s="61">
        <v>42765</v>
      </c>
      <c r="B1496" s="84" t="s">
        <v>165</v>
      </c>
      <c r="C1496" s="84" t="s">
        <v>750</v>
      </c>
      <c r="D1496" s="81">
        <v>10000</v>
      </c>
      <c r="E1496" s="41"/>
      <c r="F1496" s="8">
        <f t="shared" si="23"/>
        <v>20935</v>
      </c>
      <c r="G1496" s="29"/>
      <c r="H1496" s="24"/>
      <c r="I1496" s="24"/>
      <c r="J1496" s="24"/>
    </row>
    <row r="1497" spans="1:10" ht="30" x14ac:dyDescent="0.25">
      <c r="A1497" s="61">
        <v>42766</v>
      </c>
      <c r="B1497" s="29" t="s">
        <v>108</v>
      </c>
      <c r="C1497" s="89" t="s">
        <v>1231</v>
      </c>
      <c r="D1497" s="14">
        <v>1400</v>
      </c>
      <c r="E1497" s="8"/>
      <c r="F1497" s="8">
        <f t="shared" si="23"/>
        <v>19535</v>
      </c>
      <c r="G1497" s="26"/>
    </row>
    <row r="1498" spans="1:10" x14ac:dyDescent="0.25">
      <c r="A1498" s="61">
        <v>42766</v>
      </c>
      <c r="B1498" s="26" t="s">
        <v>446</v>
      </c>
      <c r="C1498" s="87" t="s">
        <v>32</v>
      </c>
      <c r="D1498" s="8">
        <v>10000</v>
      </c>
      <c r="E1498" s="8"/>
      <c r="F1498" s="8">
        <f t="shared" si="23"/>
        <v>9535</v>
      </c>
      <c r="G1498" s="26"/>
    </row>
    <row r="1499" spans="1:10" ht="30" x14ac:dyDescent="0.25">
      <c r="A1499" s="61">
        <v>42766</v>
      </c>
      <c r="B1499" s="26" t="s">
        <v>26</v>
      </c>
      <c r="C1499" s="87" t="s">
        <v>1210</v>
      </c>
      <c r="D1499" s="8">
        <v>1000</v>
      </c>
      <c r="E1499" s="8"/>
      <c r="F1499" s="8">
        <f t="shared" si="23"/>
        <v>8535</v>
      </c>
      <c r="G1499" s="26"/>
    </row>
    <row r="1500" spans="1:10" x14ac:dyDescent="0.25">
      <c r="A1500" s="61">
        <v>42766</v>
      </c>
      <c r="B1500" s="462" t="s">
        <v>1191</v>
      </c>
      <c r="C1500" s="463"/>
      <c r="D1500" s="71"/>
      <c r="E1500" s="58">
        <v>50000</v>
      </c>
      <c r="F1500" s="8">
        <f t="shared" si="23"/>
        <v>58535</v>
      </c>
      <c r="G1500" s="26"/>
    </row>
    <row r="1501" spans="1:10" ht="30" x14ac:dyDescent="0.25">
      <c r="A1501" s="61">
        <v>42766</v>
      </c>
      <c r="B1501" s="26" t="s">
        <v>231</v>
      </c>
      <c r="C1501" s="87" t="s">
        <v>1212</v>
      </c>
      <c r="D1501" s="8">
        <v>3610</v>
      </c>
      <c r="E1501" s="8">
        <v>-7000</v>
      </c>
      <c r="F1501" s="8">
        <f t="shared" si="23"/>
        <v>47925</v>
      </c>
      <c r="G1501" s="26"/>
    </row>
    <row r="1502" spans="1:10" x14ac:dyDescent="0.25">
      <c r="A1502" s="61">
        <v>42767</v>
      </c>
      <c r="B1502" s="29" t="s">
        <v>1213</v>
      </c>
      <c r="C1502" s="89" t="s">
        <v>1214</v>
      </c>
      <c r="D1502" s="14">
        <v>5000</v>
      </c>
      <c r="E1502" s="8"/>
      <c r="F1502" s="8">
        <f t="shared" si="23"/>
        <v>42925</v>
      </c>
      <c r="G1502" s="26"/>
    </row>
    <row r="1503" spans="1:10" x14ac:dyDescent="0.25">
      <c r="A1503" s="61">
        <v>42767</v>
      </c>
      <c r="B1503" s="26" t="s">
        <v>117</v>
      </c>
      <c r="C1503" s="87" t="s">
        <v>41</v>
      </c>
      <c r="D1503" s="8">
        <v>5000</v>
      </c>
      <c r="E1503" s="8"/>
      <c r="F1503" s="8">
        <f t="shared" si="23"/>
        <v>37925</v>
      </c>
      <c r="G1503" s="26"/>
    </row>
    <row r="1504" spans="1:10" x14ac:dyDescent="0.25">
      <c r="A1504" s="61">
        <v>42767</v>
      </c>
      <c r="B1504" s="26" t="s">
        <v>1087</v>
      </c>
      <c r="C1504" s="87" t="s">
        <v>41</v>
      </c>
      <c r="D1504" s="8">
        <v>1780</v>
      </c>
      <c r="E1504" s="8"/>
      <c r="F1504" s="8">
        <f t="shared" si="23"/>
        <v>36145</v>
      </c>
      <c r="G1504" s="26"/>
    </row>
    <row r="1505" spans="1:7" ht="30" x14ac:dyDescent="0.25">
      <c r="A1505" s="61">
        <v>42767</v>
      </c>
      <c r="B1505" s="178" t="s">
        <v>121</v>
      </c>
      <c r="C1505" s="87" t="s">
        <v>1226</v>
      </c>
      <c r="D1505" s="8">
        <v>5411</v>
      </c>
      <c r="E1505" s="8"/>
      <c r="F1505" s="8">
        <f t="shared" si="23"/>
        <v>30734</v>
      </c>
      <c r="G1505" s="26"/>
    </row>
    <row r="1506" spans="1:7" x14ac:dyDescent="0.25">
      <c r="A1506" s="61">
        <v>42767</v>
      </c>
      <c r="B1506" s="26" t="s">
        <v>69</v>
      </c>
      <c r="C1506" s="87" t="s">
        <v>295</v>
      </c>
      <c r="D1506" s="8">
        <v>500</v>
      </c>
      <c r="E1506" s="8"/>
      <c r="F1506" s="8">
        <f t="shared" si="23"/>
        <v>30234</v>
      </c>
      <c r="G1506" s="26"/>
    </row>
    <row r="1507" spans="1:7" ht="30" x14ac:dyDescent="0.25">
      <c r="A1507" s="61">
        <v>42767</v>
      </c>
      <c r="B1507" s="26" t="s">
        <v>1215</v>
      </c>
      <c r="C1507" s="87" t="s">
        <v>1216</v>
      </c>
      <c r="D1507" s="8">
        <v>8700</v>
      </c>
      <c r="E1507" s="8"/>
      <c r="F1507" s="8">
        <f t="shared" si="23"/>
        <v>21534</v>
      </c>
      <c r="G1507" s="26"/>
    </row>
    <row r="1508" spans="1:7" x14ac:dyDescent="0.25">
      <c r="A1508" s="61">
        <v>42767</v>
      </c>
      <c r="B1508" s="26" t="s">
        <v>43</v>
      </c>
      <c r="C1508" s="87" t="s">
        <v>32</v>
      </c>
      <c r="D1508" s="8">
        <v>1500</v>
      </c>
      <c r="E1508" s="8"/>
      <c r="F1508" s="8">
        <f t="shared" si="23"/>
        <v>20034</v>
      </c>
      <c r="G1508" s="26"/>
    </row>
    <row r="1509" spans="1:7" x14ac:dyDescent="0.25">
      <c r="A1509" s="61">
        <v>42767</v>
      </c>
      <c r="B1509" s="26" t="s">
        <v>1006</v>
      </c>
      <c r="C1509" s="87" t="s">
        <v>1217</v>
      </c>
      <c r="D1509" s="8">
        <v>1040</v>
      </c>
      <c r="E1509" s="8"/>
      <c r="F1509" s="8">
        <f t="shared" si="23"/>
        <v>18994</v>
      </c>
      <c r="G1509" s="26"/>
    </row>
    <row r="1510" spans="1:7" ht="29.25" customHeight="1" x14ac:dyDescent="0.25">
      <c r="A1510" s="61">
        <v>42767</v>
      </c>
      <c r="B1510" s="464" t="s">
        <v>1218</v>
      </c>
      <c r="C1510" s="465"/>
      <c r="D1510" s="71"/>
      <c r="E1510" s="58">
        <v>11700</v>
      </c>
      <c r="F1510" s="8">
        <f t="shared" si="23"/>
        <v>30694</v>
      </c>
      <c r="G1510" s="26"/>
    </row>
    <row r="1511" spans="1:7" ht="30" x14ac:dyDescent="0.25">
      <c r="A1511" s="61">
        <v>42767</v>
      </c>
      <c r="B1511" s="26" t="s">
        <v>231</v>
      </c>
      <c r="C1511" s="87" t="s">
        <v>1219</v>
      </c>
      <c r="D1511" s="8">
        <v>200</v>
      </c>
      <c r="E1511" s="8"/>
      <c r="F1511" s="8">
        <f t="shared" si="23"/>
        <v>30494</v>
      </c>
      <c r="G1511" s="26"/>
    </row>
    <row r="1512" spans="1:7" x14ac:dyDescent="0.25">
      <c r="A1512" s="61">
        <v>42767</v>
      </c>
      <c r="B1512" s="26" t="s">
        <v>4</v>
      </c>
      <c r="C1512" s="87" t="s">
        <v>1220</v>
      </c>
      <c r="D1512" s="8">
        <v>500</v>
      </c>
      <c r="E1512" s="8"/>
      <c r="F1512" s="8">
        <f t="shared" si="23"/>
        <v>29994</v>
      </c>
      <c r="G1512" s="26"/>
    </row>
    <row r="1513" spans="1:7" x14ac:dyDescent="0.25">
      <c r="A1513" s="61">
        <v>42767</v>
      </c>
      <c r="B1513" s="26" t="s">
        <v>26</v>
      </c>
      <c r="C1513" s="87" t="s">
        <v>1221</v>
      </c>
      <c r="D1513" s="8">
        <v>420</v>
      </c>
      <c r="E1513" s="8"/>
      <c r="F1513" s="8">
        <f t="shared" si="23"/>
        <v>29574</v>
      </c>
      <c r="G1513" s="26"/>
    </row>
    <row r="1514" spans="1:7" ht="28.5" customHeight="1" x14ac:dyDescent="0.25">
      <c r="A1514" s="61">
        <v>42767</v>
      </c>
      <c r="B1514" s="26" t="s">
        <v>26</v>
      </c>
      <c r="C1514" s="87" t="s">
        <v>1222</v>
      </c>
      <c r="D1514" s="8">
        <v>10000</v>
      </c>
      <c r="E1514" s="8"/>
      <c r="F1514" s="8">
        <f t="shared" si="23"/>
        <v>19574</v>
      </c>
      <c r="G1514" s="26"/>
    </row>
    <row r="1515" spans="1:7" x14ac:dyDescent="0.25">
      <c r="A1515" s="61">
        <v>42767</v>
      </c>
      <c r="B1515" s="26" t="s">
        <v>26</v>
      </c>
      <c r="C1515" s="87" t="s">
        <v>1223</v>
      </c>
      <c r="D1515" s="8">
        <v>2400</v>
      </c>
      <c r="E1515" s="8"/>
      <c r="F1515" s="8">
        <f t="shared" si="23"/>
        <v>17174</v>
      </c>
      <c r="G1515" s="26"/>
    </row>
    <row r="1516" spans="1:7" x14ac:dyDescent="0.25">
      <c r="A1516" s="61">
        <v>42767</v>
      </c>
      <c r="B1516" s="26" t="s">
        <v>26</v>
      </c>
      <c r="C1516" s="87" t="s">
        <v>1224</v>
      </c>
      <c r="D1516" s="8">
        <v>50</v>
      </c>
      <c r="E1516" s="8"/>
      <c r="F1516" s="8">
        <f t="shared" si="23"/>
        <v>17124</v>
      </c>
      <c r="G1516" s="26"/>
    </row>
    <row r="1517" spans="1:7" ht="30" x14ac:dyDescent="0.25">
      <c r="A1517" s="61">
        <v>42767</v>
      </c>
      <c r="B1517" s="26" t="s">
        <v>231</v>
      </c>
      <c r="C1517" s="87" t="s">
        <v>1228</v>
      </c>
      <c r="D1517" s="8">
        <v>1000</v>
      </c>
      <c r="E1517" s="8"/>
      <c r="F1517" s="8">
        <f t="shared" si="23"/>
        <v>16124</v>
      </c>
      <c r="G1517" s="26"/>
    </row>
    <row r="1518" spans="1:7" ht="30" x14ac:dyDescent="0.25">
      <c r="A1518" s="61">
        <v>42767</v>
      </c>
      <c r="B1518" s="26" t="s">
        <v>26</v>
      </c>
      <c r="C1518" s="87" t="s">
        <v>1225</v>
      </c>
      <c r="D1518" s="8">
        <v>140</v>
      </c>
      <c r="E1518" s="8"/>
      <c r="F1518" s="8">
        <f t="shared" si="23"/>
        <v>15984</v>
      </c>
      <c r="G1518" s="26"/>
    </row>
    <row r="1519" spans="1:7" x14ac:dyDescent="0.25">
      <c r="A1519" s="61">
        <v>42767</v>
      </c>
      <c r="B1519" s="462" t="s">
        <v>1191</v>
      </c>
      <c r="C1519" s="463"/>
      <c r="D1519" s="71"/>
      <c r="E1519" s="58">
        <v>50000</v>
      </c>
      <c r="F1519" s="8">
        <f t="shared" si="23"/>
        <v>65984</v>
      </c>
      <c r="G1519" s="26"/>
    </row>
    <row r="1520" spans="1:7" x14ac:dyDescent="0.25">
      <c r="A1520" s="61">
        <v>42767</v>
      </c>
      <c r="B1520" s="26" t="s">
        <v>964</v>
      </c>
      <c r="C1520" s="87" t="s">
        <v>32</v>
      </c>
      <c r="D1520" s="8">
        <v>22000</v>
      </c>
      <c r="E1520" s="8"/>
      <c r="F1520" s="8">
        <f t="shared" si="23"/>
        <v>43984</v>
      </c>
      <c r="G1520" s="26"/>
    </row>
    <row r="1521" spans="1:7" x14ac:dyDescent="0.25">
      <c r="A1521" s="61">
        <v>42767</v>
      </c>
      <c r="B1521" s="26" t="s">
        <v>17</v>
      </c>
      <c r="C1521" s="87" t="s">
        <v>32</v>
      </c>
      <c r="D1521" s="8">
        <v>2000</v>
      </c>
      <c r="E1521" s="8"/>
      <c r="F1521" s="8">
        <f t="shared" si="23"/>
        <v>41984</v>
      </c>
      <c r="G1521" s="26"/>
    </row>
    <row r="1522" spans="1:7" x14ac:dyDescent="0.25">
      <c r="A1522" s="61">
        <v>42767</v>
      </c>
      <c r="B1522" s="26" t="s">
        <v>1006</v>
      </c>
      <c r="C1522" s="87" t="s">
        <v>1227</v>
      </c>
      <c r="D1522" s="8">
        <v>10534</v>
      </c>
      <c r="E1522" s="8"/>
      <c r="F1522" s="8">
        <f t="shared" si="23"/>
        <v>31450</v>
      </c>
      <c r="G1522" s="26"/>
    </row>
    <row r="1523" spans="1:7" x14ac:dyDescent="0.25">
      <c r="A1523" s="61">
        <v>42768</v>
      </c>
      <c r="B1523" s="26" t="s">
        <v>124</v>
      </c>
      <c r="C1523" s="87" t="s">
        <v>32</v>
      </c>
      <c r="D1523" s="8">
        <v>200</v>
      </c>
      <c r="E1523" s="8"/>
      <c r="F1523" s="8">
        <f t="shared" si="23"/>
        <v>31250</v>
      </c>
      <c r="G1523" s="26"/>
    </row>
    <row r="1524" spans="1:7" x14ac:dyDescent="0.25">
      <c r="A1524" s="61">
        <v>42768</v>
      </c>
      <c r="B1524" s="26" t="s">
        <v>69</v>
      </c>
      <c r="C1524" s="87" t="s">
        <v>32</v>
      </c>
      <c r="D1524" s="8">
        <v>4000</v>
      </c>
      <c r="E1524" s="8"/>
      <c r="F1524" s="8">
        <f t="shared" si="23"/>
        <v>27250</v>
      </c>
      <c r="G1524" s="26"/>
    </row>
    <row r="1525" spans="1:7" x14ac:dyDescent="0.25">
      <c r="A1525" s="61">
        <v>42768</v>
      </c>
      <c r="B1525" s="26" t="s">
        <v>161</v>
      </c>
      <c r="C1525" s="87" t="s">
        <v>1229</v>
      </c>
      <c r="D1525" s="8">
        <v>1000</v>
      </c>
      <c r="E1525" s="8"/>
      <c r="F1525" s="8">
        <f t="shared" si="23"/>
        <v>26250</v>
      </c>
      <c r="G1525" s="26"/>
    </row>
    <row r="1526" spans="1:7" x14ac:dyDescent="0.25">
      <c r="A1526" s="61">
        <v>42768</v>
      </c>
      <c r="B1526" s="26" t="s">
        <v>10</v>
      </c>
      <c r="C1526" s="87" t="s">
        <v>32</v>
      </c>
      <c r="D1526" s="8">
        <v>2000</v>
      </c>
      <c r="E1526" s="8"/>
      <c r="F1526" s="8">
        <f t="shared" si="23"/>
        <v>24250</v>
      </c>
      <c r="G1526" s="26"/>
    </row>
    <row r="1527" spans="1:7" x14ac:dyDescent="0.25">
      <c r="A1527" s="61">
        <v>42768</v>
      </c>
      <c r="B1527" s="26" t="s">
        <v>121</v>
      </c>
      <c r="C1527" s="87" t="s">
        <v>32</v>
      </c>
      <c r="D1527" s="8">
        <v>100</v>
      </c>
      <c r="E1527" s="8"/>
      <c r="F1527" s="8">
        <f t="shared" si="23"/>
        <v>24150</v>
      </c>
      <c r="G1527" s="26"/>
    </row>
    <row r="1528" spans="1:7" x14ac:dyDescent="0.25">
      <c r="A1528" s="61">
        <v>42768</v>
      </c>
      <c r="B1528" s="26" t="s">
        <v>121</v>
      </c>
      <c r="C1528" s="87" t="s">
        <v>1230</v>
      </c>
      <c r="D1528" s="8">
        <v>2162</v>
      </c>
      <c r="E1528" s="8"/>
      <c r="F1528" s="8">
        <f t="shared" si="23"/>
        <v>21988</v>
      </c>
      <c r="G1528" s="26"/>
    </row>
    <row r="1529" spans="1:7" x14ac:dyDescent="0.25">
      <c r="A1529" s="61">
        <v>42768</v>
      </c>
      <c r="B1529" s="26" t="s">
        <v>121</v>
      </c>
      <c r="C1529" s="87" t="s">
        <v>32</v>
      </c>
      <c r="D1529" s="8">
        <v>4000</v>
      </c>
      <c r="E1529" s="8"/>
      <c r="F1529" s="8">
        <f t="shared" si="23"/>
        <v>17988</v>
      </c>
      <c r="G1529" s="26"/>
    </row>
    <row r="1530" spans="1:7" x14ac:dyDescent="0.25">
      <c r="A1530" s="61">
        <v>42768</v>
      </c>
      <c r="B1530" s="26" t="s">
        <v>17</v>
      </c>
      <c r="C1530" s="87" t="s">
        <v>32</v>
      </c>
      <c r="D1530" s="8">
        <v>250</v>
      </c>
      <c r="E1530" s="8"/>
      <c r="F1530" s="8">
        <f t="shared" si="23"/>
        <v>17738</v>
      </c>
      <c r="G1530" s="26"/>
    </row>
    <row r="1531" spans="1:7" x14ac:dyDescent="0.25">
      <c r="A1531" s="61">
        <v>42768</v>
      </c>
      <c r="B1531" s="26" t="s">
        <v>161</v>
      </c>
      <c r="C1531" s="87" t="s">
        <v>1206</v>
      </c>
      <c r="D1531" s="8">
        <v>500</v>
      </c>
      <c r="E1531" s="8"/>
      <c r="F1531" s="8">
        <f t="shared" si="23"/>
        <v>17238</v>
      </c>
      <c r="G1531" s="26"/>
    </row>
    <row r="1532" spans="1:7" x14ac:dyDescent="0.25">
      <c r="A1532" s="61">
        <v>42768</v>
      </c>
      <c r="B1532" s="26" t="s">
        <v>121</v>
      </c>
      <c r="C1532" s="87" t="s">
        <v>1265</v>
      </c>
      <c r="D1532" s="8">
        <v>12000</v>
      </c>
      <c r="E1532" s="8"/>
      <c r="F1532" s="8">
        <f t="shared" si="23"/>
        <v>5238</v>
      </c>
      <c r="G1532" s="26"/>
    </row>
    <row r="1533" spans="1:7" x14ac:dyDescent="0.25">
      <c r="A1533" s="61">
        <v>42769</v>
      </c>
      <c r="B1533" s="26" t="s">
        <v>26</v>
      </c>
      <c r="C1533" s="87" t="s">
        <v>1232</v>
      </c>
      <c r="D1533" s="8">
        <v>270</v>
      </c>
      <c r="E1533" s="8"/>
      <c r="F1533" s="8">
        <f t="shared" si="23"/>
        <v>4968</v>
      </c>
      <c r="G1533" s="26"/>
    </row>
    <row r="1534" spans="1:7" x14ac:dyDescent="0.25">
      <c r="A1534" s="61">
        <v>42769</v>
      </c>
      <c r="B1534" s="462" t="s">
        <v>1191</v>
      </c>
      <c r="C1534" s="463"/>
      <c r="D1534" s="71"/>
      <c r="E1534" s="58">
        <v>50000</v>
      </c>
      <c r="F1534" s="8">
        <f t="shared" si="23"/>
        <v>54968</v>
      </c>
      <c r="G1534" s="26"/>
    </row>
    <row r="1535" spans="1:7" x14ac:dyDescent="0.25">
      <c r="A1535" s="61">
        <v>42769</v>
      </c>
      <c r="B1535" s="26" t="s">
        <v>128</v>
      </c>
      <c r="C1535" s="87" t="s">
        <v>1204</v>
      </c>
      <c r="D1535" s="8">
        <v>2000</v>
      </c>
      <c r="E1535" s="8"/>
      <c r="F1535" s="8">
        <f t="shared" si="23"/>
        <v>52968</v>
      </c>
      <c r="G1535" s="26"/>
    </row>
    <row r="1536" spans="1:7" x14ac:dyDescent="0.25">
      <c r="A1536" s="61">
        <v>42769</v>
      </c>
      <c r="B1536" s="29" t="s">
        <v>231</v>
      </c>
      <c r="C1536" s="89" t="s">
        <v>1325</v>
      </c>
      <c r="D1536" s="14">
        <v>3750</v>
      </c>
      <c r="E1536" s="8"/>
      <c r="F1536" s="8">
        <f t="shared" si="23"/>
        <v>49218</v>
      </c>
      <c r="G1536" s="26"/>
    </row>
    <row r="1537" spans="1:7" x14ac:dyDescent="0.25">
      <c r="A1537" s="61">
        <v>42769</v>
      </c>
      <c r="B1537" s="26" t="s">
        <v>26</v>
      </c>
      <c r="C1537" s="87" t="s">
        <v>1233</v>
      </c>
      <c r="D1537" s="8">
        <v>270</v>
      </c>
      <c r="E1537" s="8"/>
      <c r="F1537" s="8">
        <f t="shared" si="23"/>
        <v>48948</v>
      </c>
      <c r="G1537" s="26"/>
    </row>
    <row r="1538" spans="1:7" x14ac:dyDescent="0.25">
      <c r="A1538" s="61">
        <v>42769</v>
      </c>
      <c r="B1538" s="26" t="s">
        <v>117</v>
      </c>
      <c r="C1538" s="87" t="s">
        <v>1234</v>
      </c>
      <c r="D1538" s="8">
        <v>2000</v>
      </c>
      <c r="E1538" s="8"/>
      <c r="F1538" s="8">
        <f t="shared" si="23"/>
        <v>46948</v>
      </c>
      <c r="G1538" s="26"/>
    </row>
    <row r="1539" spans="1:7" x14ac:dyDescent="0.25">
      <c r="A1539" s="61">
        <v>42769</v>
      </c>
      <c r="B1539" s="26" t="s">
        <v>4</v>
      </c>
      <c r="C1539" s="87" t="s">
        <v>1264</v>
      </c>
      <c r="D1539" s="8">
        <v>850</v>
      </c>
      <c r="E1539" s="8"/>
      <c r="F1539" s="8">
        <f t="shared" ref="F1539:F1602" si="24">F1538-D1539+E1539</f>
        <v>46098</v>
      </c>
      <c r="G1539" s="26"/>
    </row>
    <row r="1540" spans="1:7" x14ac:dyDescent="0.25">
      <c r="A1540" s="61">
        <v>42770</v>
      </c>
      <c r="B1540" s="29" t="s">
        <v>108</v>
      </c>
      <c r="C1540" s="89" t="s">
        <v>1246</v>
      </c>
      <c r="D1540" s="14">
        <v>2000</v>
      </c>
      <c r="E1540" s="8"/>
      <c r="F1540" s="8">
        <f t="shared" si="24"/>
        <v>44098</v>
      </c>
      <c r="G1540" s="26"/>
    </row>
    <row r="1541" spans="1:7" x14ac:dyDescent="0.25">
      <c r="A1541" s="61">
        <v>42770</v>
      </c>
      <c r="B1541" s="26" t="s">
        <v>1006</v>
      </c>
      <c r="C1541" s="87" t="s">
        <v>1235</v>
      </c>
      <c r="D1541" s="8">
        <v>2400</v>
      </c>
      <c r="E1541" s="8"/>
      <c r="F1541" s="8">
        <f t="shared" si="24"/>
        <v>41698</v>
      </c>
      <c r="G1541" s="26"/>
    </row>
    <row r="1542" spans="1:7" x14ac:dyDescent="0.25">
      <c r="A1542" s="61">
        <v>42770</v>
      </c>
      <c r="B1542" s="26" t="s">
        <v>964</v>
      </c>
      <c r="C1542" s="87" t="s">
        <v>41</v>
      </c>
      <c r="D1542" s="8">
        <v>5000</v>
      </c>
      <c r="E1542" s="8"/>
      <c r="F1542" s="8">
        <f t="shared" si="24"/>
        <v>36698</v>
      </c>
      <c r="G1542" s="26"/>
    </row>
    <row r="1543" spans="1:7" x14ac:dyDescent="0.25">
      <c r="A1543" s="61">
        <v>42770</v>
      </c>
      <c r="B1543" s="26" t="s">
        <v>26</v>
      </c>
      <c r="C1543" s="87" t="s">
        <v>1236</v>
      </c>
      <c r="D1543" s="8">
        <v>95</v>
      </c>
      <c r="E1543" s="8"/>
      <c r="F1543" s="8">
        <f t="shared" si="24"/>
        <v>36603</v>
      </c>
      <c r="G1543" s="26"/>
    </row>
    <row r="1544" spans="1:7" x14ac:dyDescent="0.25">
      <c r="A1544" s="61">
        <v>42770</v>
      </c>
      <c r="B1544" s="26" t="s">
        <v>446</v>
      </c>
      <c r="C1544" s="87" t="s">
        <v>1237</v>
      </c>
      <c r="D1544" s="8">
        <v>250</v>
      </c>
      <c r="E1544" s="8"/>
      <c r="F1544" s="8">
        <f t="shared" si="24"/>
        <v>36353</v>
      </c>
      <c r="G1544" s="26"/>
    </row>
    <row r="1545" spans="1:7" x14ac:dyDescent="0.25">
      <c r="A1545" s="61">
        <v>42772</v>
      </c>
      <c r="B1545" s="26" t="s">
        <v>446</v>
      </c>
      <c r="C1545" s="87" t="s">
        <v>1238</v>
      </c>
      <c r="D1545" s="8">
        <v>4000</v>
      </c>
      <c r="E1545" s="8"/>
      <c r="F1545" s="8">
        <f t="shared" si="24"/>
        <v>32353</v>
      </c>
      <c r="G1545" s="26"/>
    </row>
    <row r="1546" spans="1:7" x14ac:dyDescent="0.25">
      <c r="A1546" s="61">
        <v>42772</v>
      </c>
      <c r="B1546" s="26" t="s">
        <v>26</v>
      </c>
      <c r="C1546" s="87" t="s">
        <v>1239</v>
      </c>
      <c r="D1546" s="8">
        <v>50</v>
      </c>
      <c r="E1546" s="8"/>
      <c r="F1546" s="8">
        <f t="shared" si="24"/>
        <v>32303</v>
      </c>
      <c r="G1546" s="26"/>
    </row>
    <row r="1547" spans="1:7" x14ac:dyDescent="0.25">
      <c r="A1547" s="61">
        <v>42772</v>
      </c>
      <c r="B1547" s="26" t="s">
        <v>26</v>
      </c>
      <c r="C1547" s="87" t="s">
        <v>1240</v>
      </c>
      <c r="D1547" s="8">
        <v>35</v>
      </c>
      <c r="E1547" s="8"/>
      <c r="F1547" s="8">
        <f t="shared" si="24"/>
        <v>32268</v>
      </c>
      <c r="G1547" s="26"/>
    </row>
    <row r="1548" spans="1:7" x14ac:dyDescent="0.25">
      <c r="A1548" s="61">
        <v>42772</v>
      </c>
      <c r="B1548" s="26" t="s">
        <v>182</v>
      </c>
      <c r="C1548" s="87" t="s">
        <v>1241</v>
      </c>
      <c r="D1548" s="8">
        <v>5000</v>
      </c>
      <c r="E1548" s="8"/>
      <c r="F1548" s="8">
        <f t="shared" si="24"/>
        <v>27268</v>
      </c>
      <c r="G1548" s="26"/>
    </row>
    <row r="1549" spans="1:7" x14ac:dyDescent="0.25">
      <c r="A1549" s="61">
        <v>42772</v>
      </c>
      <c r="B1549" s="26" t="s">
        <v>163</v>
      </c>
      <c r="C1549" s="87" t="s">
        <v>1242</v>
      </c>
      <c r="D1549" s="8">
        <v>50</v>
      </c>
      <c r="E1549" s="8"/>
      <c r="F1549" s="8">
        <f t="shared" si="24"/>
        <v>27218</v>
      </c>
      <c r="G1549" s="26"/>
    </row>
    <row r="1550" spans="1:7" x14ac:dyDescent="0.25">
      <c r="A1550" s="61">
        <v>42772</v>
      </c>
      <c r="B1550" s="26" t="s">
        <v>4</v>
      </c>
      <c r="C1550" s="87" t="s">
        <v>1243</v>
      </c>
      <c r="D1550" s="8">
        <v>1500</v>
      </c>
      <c r="E1550" s="8"/>
      <c r="F1550" s="8">
        <f t="shared" si="24"/>
        <v>25718</v>
      </c>
      <c r="G1550" s="26"/>
    </row>
    <row r="1551" spans="1:7" x14ac:dyDescent="0.25">
      <c r="A1551" s="61">
        <v>42772</v>
      </c>
      <c r="B1551" s="462" t="s">
        <v>1191</v>
      </c>
      <c r="C1551" s="463"/>
      <c r="D1551" s="71"/>
      <c r="E1551" s="58">
        <v>80000</v>
      </c>
      <c r="F1551" s="8">
        <f t="shared" si="24"/>
        <v>105718</v>
      </c>
      <c r="G1551" s="26"/>
    </row>
    <row r="1552" spans="1:7" x14ac:dyDescent="0.25">
      <c r="A1552" s="61">
        <v>42773</v>
      </c>
      <c r="B1552" s="26" t="s">
        <v>28</v>
      </c>
      <c r="C1552" s="87" t="s">
        <v>1244</v>
      </c>
      <c r="D1552" s="8">
        <v>3000</v>
      </c>
      <c r="E1552" s="8"/>
      <c r="F1552" s="8">
        <f t="shared" si="24"/>
        <v>102718</v>
      </c>
      <c r="G1552" s="26"/>
    </row>
    <row r="1553" spans="1:7" x14ac:dyDescent="0.25">
      <c r="A1553" s="61">
        <v>42773</v>
      </c>
      <c r="B1553" s="26" t="s">
        <v>121</v>
      </c>
      <c r="C1553" s="87" t="s">
        <v>1245</v>
      </c>
      <c r="D1553" s="8">
        <v>50000</v>
      </c>
      <c r="E1553" s="8"/>
      <c r="F1553" s="8">
        <f t="shared" si="24"/>
        <v>52718</v>
      </c>
      <c r="G1553" s="26"/>
    </row>
    <row r="1554" spans="1:7" x14ac:dyDescent="0.25">
      <c r="A1554" s="61">
        <v>42773</v>
      </c>
      <c r="B1554" s="26" t="s">
        <v>53</v>
      </c>
      <c r="C1554" s="87" t="s">
        <v>1247</v>
      </c>
      <c r="D1554" s="8">
        <v>414</v>
      </c>
      <c r="E1554" s="8"/>
      <c r="F1554" s="8">
        <f t="shared" si="24"/>
        <v>52304</v>
      </c>
      <c r="G1554" s="26"/>
    </row>
    <row r="1555" spans="1:7" x14ac:dyDescent="0.25">
      <c r="A1555" s="61">
        <v>42773</v>
      </c>
      <c r="B1555" s="29" t="s">
        <v>17</v>
      </c>
      <c r="C1555" s="89" t="s">
        <v>799</v>
      </c>
      <c r="D1555" s="14">
        <v>13740</v>
      </c>
      <c r="E1555" s="8"/>
      <c r="F1555" s="8">
        <f t="shared" si="24"/>
        <v>38564</v>
      </c>
      <c r="G1555" s="26"/>
    </row>
    <row r="1556" spans="1:7" x14ac:dyDescent="0.25">
      <c r="A1556" s="61">
        <v>42773</v>
      </c>
      <c r="B1556" s="29" t="s">
        <v>17</v>
      </c>
      <c r="C1556" s="89" t="s">
        <v>32</v>
      </c>
      <c r="D1556" s="14">
        <v>1260</v>
      </c>
      <c r="E1556" s="8"/>
      <c r="F1556" s="8">
        <f t="shared" si="24"/>
        <v>37304</v>
      </c>
      <c r="G1556" s="26"/>
    </row>
    <row r="1557" spans="1:7" x14ac:dyDescent="0.25">
      <c r="A1557" s="61">
        <v>42773</v>
      </c>
      <c r="B1557" s="26" t="s">
        <v>17</v>
      </c>
      <c r="C1557" s="87" t="s">
        <v>1248</v>
      </c>
      <c r="D1557" s="8">
        <v>200</v>
      </c>
      <c r="E1557" s="8"/>
      <c r="F1557" s="8">
        <f t="shared" si="24"/>
        <v>37104</v>
      </c>
      <c r="G1557" s="26"/>
    </row>
    <row r="1558" spans="1:7" x14ac:dyDescent="0.25">
      <c r="A1558" s="61">
        <v>42773</v>
      </c>
      <c r="B1558" s="26" t="s">
        <v>26</v>
      </c>
      <c r="C1558" s="87" t="s">
        <v>1249</v>
      </c>
      <c r="D1558" s="8">
        <v>270</v>
      </c>
      <c r="E1558" s="8"/>
      <c r="F1558" s="8">
        <f t="shared" si="24"/>
        <v>36834</v>
      </c>
      <c r="G1558" s="26"/>
    </row>
    <row r="1559" spans="1:7" x14ac:dyDescent="0.25">
      <c r="A1559" s="61">
        <v>42774</v>
      </c>
      <c r="B1559" s="26" t="s">
        <v>17</v>
      </c>
      <c r="C1559" s="87" t="s">
        <v>1250</v>
      </c>
      <c r="D1559" s="8">
        <v>2000</v>
      </c>
      <c r="E1559" s="8"/>
      <c r="F1559" s="8">
        <f t="shared" si="24"/>
        <v>34834</v>
      </c>
      <c r="G1559" s="26"/>
    </row>
    <row r="1560" spans="1:7" x14ac:dyDescent="0.25">
      <c r="A1560" s="61">
        <v>42774</v>
      </c>
      <c r="B1560" s="26" t="s">
        <v>48</v>
      </c>
      <c r="C1560" s="87" t="s">
        <v>1251</v>
      </c>
      <c r="D1560" s="8">
        <v>50</v>
      </c>
      <c r="E1560" s="8"/>
      <c r="F1560" s="8">
        <f t="shared" si="24"/>
        <v>34784</v>
      </c>
      <c r="G1560" s="26"/>
    </row>
    <row r="1561" spans="1:7" x14ac:dyDescent="0.25">
      <c r="A1561" s="61">
        <v>42774</v>
      </c>
      <c r="B1561" s="26" t="s">
        <v>17</v>
      </c>
      <c r="C1561" s="87" t="s">
        <v>1252</v>
      </c>
      <c r="D1561" s="8">
        <v>100</v>
      </c>
      <c r="E1561" s="8"/>
      <c r="F1561" s="8">
        <f t="shared" si="24"/>
        <v>34684</v>
      </c>
      <c r="G1561" s="26"/>
    </row>
    <row r="1562" spans="1:7" x14ac:dyDescent="0.25">
      <c r="A1562" s="61">
        <v>42774</v>
      </c>
      <c r="B1562" s="26" t="s">
        <v>165</v>
      </c>
      <c r="C1562" s="87" t="s">
        <v>1253</v>
      </c>
      <c r="D1562" s="8">
        <v>1000</v>
      </c>
      <c r="E1562" s="8"/>
      <c r="F1562" s="8">
        <f t="shared" si="24"/>
        <v>33684</v>
      </c>
      <c r="G1562" s="26"/>
    </row>
    <row r="1563" spans="1:7" ht="30" x14ac:dyDescent="0.25">
      <c r="A1563" s="61">
        <v>42774</v>
      </c>
      <c r="B1563" s="29" t="s">
        <v>231</v>
      </c>
      <c r="C1563" s="89" t="s">
        <v>1263</v>
      </c>
      <c r="D1563" s="14">
        <v>21490</v>
      </c>
      <c r="E1563" s="8"/>
      <c r="F1563" s="8">
        <f t="shared" si="24"/>
        <v>12194</v>
      </c>
      <c r="G1563" s="26"/>
    </row>
    <row r="1564" spans="1:7" x14ac:dyDescent="0.25">
      <c r="A1564" s="61">
        <v>42775</v>
      </c>
      <c r="B1564" s="26" t="s">
        <v>26</v>
      </c>
      <c r="C1564" s="87" t="s">
        <v>1254</v>
      </c>
      <c r="D1564" s="8">
        <v>120</v>
      </c>
      <c r="E1564" s="8"/>
      <c r="F1564" s="8">
        <f t="shared" si="24"/>
        <v>12074</v>
      </c>
      <c r="G1564" s="26"/>
    </row>
    <row r="1565" spans="1:7" x14ac:dyDescent="0.25">
      <c r="A1565" s="61">
        <v>42775</v>
      </c>
      <c r="B1565" s="26" t="s">
        <v>17</v>
      </c>
      <c r="C1565" s="87" t="s">
        <v>1255</v>
      </c>
      <c r="D1565" s="8">
        <v>100</v>
      </c>
      <c r="E1565" s="8"/>
      <c r="F1565" s="8">
        <f t="shared" si="24"/>
        <v>11974</v>
      </c>
      <c r="G1565" s="26"/>
    </row>
    <row r="1566" spans="1:7" x14ac:dyDescent="0.25">
      <c r="A1566" s="61">
        <v>42775</v>
      </c>
      <c r="B1566" s="26" t="s">
        <v>569</v>
      </c>
      <c r="C1566" s="87" t="s">
        <v>888</v>
      </c>
      <c r="D1566" s="8">
        <v>85</v>
      </c>
      <c r="E1566" s="8"/>
      <c r="F1566" s="8">
        <f t="shared" si="24"/>
        <v>11889</v>
      </c>
      <c r="G1566" s="26"/>
    </row>
    <row r="1567" spans="1:7" x14ac:dyDescent="0.25">
      <c r="A1567" s="61">
        <v>42775</v>
      </c>
      <c r="B1567" s="26" t="s">
        <v>569</v>
      </c>
      <c r="C1567" s="87" t="s">
        <v>1256</v>
      </c>
      <c r="D1567" s="8">
        <v>420</v>
      </c>
      <c r="E1567" s="8"/>
      <c r="F1567" s="8">
        <f t="shared" si="24"/>
        <v>11469</v>
      </c>
      <c r="G1567" s="26"/>
    </row>
    <row r="1568" spans="1:7" x14ac:dyDescent="0.25">
      <c r="A1568" s="61">
        <v>42776</v>
      </c>
      <c r="B1568" s="26" t="s">
        <v>1257</v>
      </c>
      <c r="C1568" s="87" t="s">
        <v>1255</v>
      </c>
      <c r="D1568" s="8">
        <v>150</v>
      </c>
      <c r="E1568" s="8"/>
      <c r="F1568" s="8">
        <f t="shared" si="24"/>
        <v>11319</v>
      </c>
      <c r="G1568" s="26"/>
    </row>
    <row r="1569" spans="1:7" x14ac:dyDescent="0.25">
      <c r="A1569" s="61">
        <v>42776</v>
      </c>
      <c r="B1569" s="26" t="s">
        <v>26</v>
      </c>
      <c r="C1569" s="87" t="s">
        <v>1258</v>
      </c>
      <c r="D1569" s="8">
        <v>120</v>
      </c>
      <c r="E1569" s="8"/>
      <c r="F1569" s="8">
        <f t="shared" si="24"/>
        <v>11199</v>
      </c>
      <c r="G1569" s="26"/>
    </row>
    <row r="1570" spans="1:7" x14ac:dyDescent="0.25">
      <c r="A1570" s="61">
        <v>42776</v>
      </c>
      <c r="B1570" s="462" t="s">
        <v>1191</v>
      </c>
      <c r="C1570" s="463"/>
      <c r="D1570" s="71"/>
      <c r="E1570" s="58">
        <v>50000</v>
      </c>
      <c r="F1570" s="8">
        <f t="shared" si="24"/>
        <v>61199</v>
      </c>
      <c r="G1570" s="26"/>
    </row>
    <row r="1571" spans="1:7" x14ac:dyDescent="0.25">
      <c r="A1571" s="61">
        <v>42776</v>
      </c>
      <c r="B1571" s="26" t="s">
        <v>182</v>
      </c>
      <c r="C1571" s="87" t="s">
        <v>1259</v>
      </c>
      <c r="D1571" s="8">
        <v>5000</v>
      </c>
      <c r="E1571" s="8"/>
      <c r="F1571" s="8">
        <f t="shared" si="24"/>
        <v>56199</v>
      </c>
      <c r="G1571" s="26"/>
    </row>
    <row r="1572" spans="1:7" ht="30" x14ac:dyDescent="0.25">
      <c r="A1572" s="61">
        <v>42776</v>
      </c>
      <c r="B1572" s="29" t="s">
        <v>1260</v>
      </c>
      <c r="C1572" s="89" t="s">
        <v>1262</v>
      </c>
      <c r="D1572" s="14">
        <v>19845</v>
      </c>
      <c r="E1572" s="8"/>
      <c r="F1572" s="8">
        <f t="shared" si="24"/>
        <v>36354</v>
      </c>
      <c r="G1572" s="26"/>
    </row>
    <row r="1573" spans="1:7" x14ac:dyDescent="0.25">
      <c r="A1573" s="61">
        <v>42776</v>
      </c>
      <c r="B1573" s="26" t="s">
        <v>26</v>
      </c>
      <c r="C1573" s="87" t="s">
        <v>470</v>
      </c>
      <c r="D1573" s="8">
        <v>100</v>
      </c>
      <c r="E1573" s="8"/>
      <c r="F1573" s="8">
        <f t="shared" si="24"/>
        <v>36254</v>
      </c>
      <c r="G1573" s="26"/>
    </row>
    <row r="1574" spans="1:7" x14ac:dyDescent="0.25">
      <c r="A1574" s="61">
        <v>42776</v>
      </c>
      <c r="B1574" s="26" t="s">
        <v>165</v>
      </c>
      <c r="C1574" s="87" t="s">
        <v>32</v>
      </c>
      <c r="D1574" s="8">
        <v>10000</v>
      </c>
      <c r="E1574" s="8"/>
      <c r="F1574" s="8">
        <f t="shared" si="24"/>
        <v>26254</v>
      </c>
      <c r="G1574" s="26"/>
    </row>
    <row r="1575" spans="1:7" x14ac:dyDescent="0.25">
      <c r="A1575" s="61">
        <v>42776</v>
      </c>
      <c r="B1575" s="26" t="s">
        <v>28</v>
      </c>
      <c r="C1575" s="87" t="s">
        <v>1261</v>
      </c>
      <c r="D1575" s="8">
        <v>600</v>
      </c>
      <c r="E1575" s="8"/>
      <c r="F1575" s="8">
        <f t="shared" si="24"/>
        <v>25654</v>
      </c>
      <c r="G1575" s="26"/>
    </row>
    <row r="1576" spans="1:7" x14ac:dyDescent="0.25">
      <c r="A1576" s="61">
        <v>42776</v>
      </c>
      <c r="B1576" s="26" t="s">
        <v>17</v>
      </c>
      <c r="C1576" s="87" t="s">
        <v>799</v>
      </c>
      <c r="D1576" s="8">
        <v>5000</v>
      </c>
      <c r="E1576" s="8"/>
      <c r="F1576" s="8">
        <f t="shared" si="24"/>
        <v>20654</v>
      </c>
      <c r="G1576" s="26"/>
    </row>
    <row r="1577" spans="1:7" x14ac:dyDescent="0.25">
      <c r="A1577" s="61">
        <v>42777</v>
      </c>
      <c r="B1577" s="26" t="s">
        <v>105</v>
      </c>
      <c r="C1577" s="26" t="s">
        <v>1266</v>
      </c>
      <c r="D1577" s="8">
        <v>1000</v>
      </c>
      <c r="E1577" s="8"/>
      <c r="F1577" s="8">
        <f t="shared" si="24"/>
        <v>19654</v>
      </c>
      <c r="G1577" s="26"/>
    </row>
    <row r="1578" spans="1:7" ht="45" x14ac:dyDescent="0.25">
      <c r="A1578" s="61">
        <v>42777</v>
      </c>
      <c r="B1578" s="29" t="s">
        <v>1267</v>
      </c>
      <c r="C1578" s="89" t="s">
        <v>1281</v>
      </c>
      <c r="D1578" s="14">
        <v>1000</v>
      </c>
      <c r="E1578" s="8"/>
      <c r="F1578" s="8">
        <f t="shared" si="24"/>
        <v>18654</v>
      </c>
      <c r="G1578" s="26"/>
    </row>
    <row r="1579" spans="1:7" x14ac:dyDescent="0.25">
      <c r="A1579" s="61">
        <v>42777</v>
      </c>
      <c r="B1579" s="26" t="s">
        <v>542</v>
      </c>
      <c r="C1579" s="87" t="s">
        <v>1011</v>
      </c>
      <c r="D1579" s="8">
        <v>4000</v>
      </c>
      <c r="E1579" s="8"/>
      <c r="F1579" s="8">
        <f t="shared" si="24"/>
        <v>14654</v>
      </c>
      <c r="G1579" s="26"/>
    </row>
    <row r="1580" spans="1:7" ht="30" x14ac:dyDescent="0.25">
      <c r="A1580" s="61">
        <v>42777</v>
      </c>
      <c r="B1580" s="29" t="s">
        <v>248</v>
      </c>
      <c r="C1580" s="89" t="s">
        <v>1269</v>
      </c>
      <c r="D1580" s="14">
        <v>820</v>
      </c>
      <c r="E1580" s="14"/>
      <c r="F1580" s="8">
        <f t="shared" si="24"/>
        <v>13834</v>
      </c>
      <c r="G1580" s="26"/>
    </row>
    <row r="1581" spans="1:7" x14ac:dyDescent="0.25">
      <c r="A1581" s="61">
        <v>42777</v>
      </c>
      <c r="B1581" s="26" t="s">
        <v>28</v>
      </c>
      <c r="C1581" s="87" t="s">
        <v>32</v>
      </c>
      <c r="D1581" s="8">
        <v>6000</v>
      </c>
      <c r="E1581" s="8"/>
      <c r="F1581" s="8">
        <f t="shared" si="24"/>
        <v>7834</v>
      </c>
      <c r="G1581" s="26"/>
    </row>
    <row r="1582" spans="1:7" x14ac:dyDescent="0.25">
      <c r="A1582" s="61">
        <v>42777</v>
      </c>
      <c r="B1582" s="26" t="s">
        <v>43</v>
      </c>
      <c r="C1582" s="87" t="s">
        <v>32</v>
      </c>
      <c r="D1582" s="8">
        <v>2000</v>
      </c>
      <c r="E1582" s="8"/>
      <c r="F1582" s="8">
        <f t="shared" si="24"/>
        <v>5834</v>
      </c>
      <c r="G1582" s="26"/>
    </row>
    <row r="1583" spans="1:7" x14ac:dyDescent="0.25">
      <c r="A1583" s="61">
        <v>42779</v>
      </c>
      <c r="B1583" s="26" t="s">
        <v>69</v>
      </c>
      <c r="C1583" s="87" t="s">
        <v>1268</v>
      </c>
      <c r="D1583" s="8">
        <v>1380</v>
      </c>
      <c r="E1583" s="8"/>
      <c r="F1583" s="8">
        <f t="shared" si="24"/>
        <v>4454</v>
      </c>
      <c r="G1583" s="26"/>
    </row>
    <row r="1584" spans="1:7" x14ac:dyDescent="0.25">
      <c r="A1584" s="61">
        <v>42779</v>
      </c>
      <c r="B1584" s="462" t="s">
        <v>1191</v>
      </c>
      <c r="C1584" s="463"/>
      <c r="D1584" s="71"/>
      <c r="E1584" s="58">
        <v>64000</v>
      </c>
      <c r="F1584" s="8">
        <f t="shared" si="24"/>
        <v>68454</v>
      </c>
      <c r="G1584" s="26"/>
    </row>
    <row r="1585" spans="1:7" x14ac:dyDescent="0.25">
      <c r="A1585" s="61">
        <v>42779</v>
      </c>
      <c r="B1585" s="26" t="s">
        <v>964</v>
      </c>
      <c r="C1585" s="87" t="s">
        <v>41</v>
      </c>
      <c r="D1585" s="8">
        <v>2000</v>
      </c>
      <c r="E1585" s="8"/>
      <c r="F1585" s="8">
        <f t="shared" si="24"/>
        <v>66454</v>
      </c>
      <c r="G1585" s="26"/>
    </row>
    <row r="1586" spans="1:7" x14ac:dyDescent="0.25">
      <c r="A1586" s="61">
        <v>42779</v>
      </c>
      <c r="B1586" s="26" t="s">
        <v>248</v>
      </c>
      <c r="C1586" s="87" t="s">
        <v>1270</v>
      </c>
      <c r="D1586" s="8">
        <v>365</v>
      </c>
      <c r="E1586" s="8"/>
      <c r="F1586" s="8">
        <f t="shared" si="24"/>
        <v>66089</v>
      </c>
      <c r="G1586" s="26"/>
    </row>
    <row r="1587" spans="1:7" ht="30" x14ac:dyDescent="0.25">
      <c r="A1587" s="61">
        <v>42779</v>
      </c>
      <c r="B1587" s="26" t="s">
        <v>1271</v>
      </c>
      <c r="C1587" s="87" t="s">
        <v>1272</v>
      </c>
      <c r="D1587" s="8">
        <v>11350</v>
      </c>
      <c r="E1587" s="8"/>
      <c r="F1587" s="8">
        <f t="shared" si="24"/>
        <v>54739</v>
      </c>
      <c r="G1587" s="26"/>
    </row>
    <row r="1588" spans="1:7" x14ac:dyDescent="0.25">
      <c r="A1588" s="61">
        <v>42779</v>
      </c>
      <c r="B1588" s="26" t="s">
        <v>569</v>
      </c>
      <c r="C1588" s="87" t="s">
        <v>1273</v>
      </c>
      <c r="D1588" s="8">
        <v>28</v>
      </c>
      <c r="E1588" s="8"/>
      <c r="F1588" s="8">
        <f t="shared" si="24"/>
        <v>54711</v>
      </c>
      <c r="G1588" s="26"/>
    </row>
    <row r="1589" spans="1:7" x14ac:dyDescent="0.25">
      <c r="A1589" s="61">
        <v>42779</v>
      </c>
      <c r="B1589" s="26" t="s">
        <v>121</v>
      </c>
      <c r="C1589" s="87" t="s">
        <v>1274</v>
      </c>
      <c r="D1589" s="8">
        <v>40</v>
      </c>
      <c r="E1589" s="8"/>
      <c r="F1589" s="8">
        <f t="shared" si="24"/>
        <v>54671</v>
      </c>
      <c r="G1589" s="26"/>
    </row>
    <row r="1590" spans="1:7" x14ac:dyDescent="0.25">
      <c r="A1590" s="61">
        <v>42779</v>
      </c>
      <c r="B1590" s="26" t="s">
        <v>26</v>
      </c>
      <c r="C1590" s="87" t="s">
        <v>1275</v>
      </c>
      <c r="D1590" s="8">
        <v>50</v>
      </c>
      <c r="E1590" s="8"/>
      <c r="F1590" s="8">
        <f t="shared" si="24"/>
        <v>54621</v>
      </c>
      <c r="G1590" s="26"/>
    </row>
    <row r="1591" spans="1:7" x14ac:dyDescent="0.25">
      <c r="A1591" s="61">
        <v>42779</v>
      </c>
      <c r="B1591" s="29" t="s">
        <v>248</v>
      </c>
      <c r="C1591" s="89" t="s">
        <v>1385</v>
      </c>
      <c r="D1591" s="14">
        <v>1500</v>
      </c>
      <c r="E1591" s="8"/>
      <c r="F1591" s="8">
        <f t="shared" si="24"/>
        <v>53121</v>
      </c>
      <c r="G1591" s="26"/>
    </row>
    <row r="1592" spans="1:7" x14ac:dyDescent="0.25">
      <c r="A1592" s="61">
        <v>42780</v>
      </c>
      <c r="B1592" s="29" t="s">
        <v>77</v>
      </c>
      <c r="C1592" s="89" t="s">
        <v>1302</v>
      </c>
      <c r="D1592" s="14">
        <v>790</v>
      </c>
      <c r="E1592" s="8"/>
      <c r="F1592" s="8">
        <f t="shared" si="24"/>
        <v>52331</v>
      </c>
      <c r="G1592" s="26"/>
    </row>
    <row r="1593" spans="1:7" x14ac:dyDescent="0.25">
      <c r="A1593" s="61">
        <v>42780</v>
      </c>
      <c r="B1593" s="26" t="s">
        <v>108</v>
      </c>
      <c r="C1593" s="87" t="s">
        <v>1276</v>
      </c>
      <c r="D1593" s="8">
        <v>250</v>
      </c>
      <c r="E1593" s="8"/>
      <c r="F1593" s="8">
        <f t="shared" si="24"/>
        <v>52081</v>
      </c>
      <c r="G1593" s="26"/>
    </row>
    <row r="1594" spans="1:7" x14ac:dyDescent="0.25">
      <c r="A1594" s="61">
        <v>42780</v>
      </c>
      <c r="B1594" s="26" t="s">
        <v>117</v>
      </c>
      <c r="C1594" s="87" t="s">
        <v>1278</v>
      </c>
      <c r="D1594" s="8">
        <v>100</v>
      </c>
      <c r="E1594" s="8"/>
      <c r="F1594" s="8">
        <f t="shared" si="24"/>
        <v>51981</v>
      </c>
      <c r="G1594" s="26"/>
    </row>
    <row r="1595" spans="1:7" ht="45" x14ac:dyDescent="0.25">
      <c r="A1595" s="61">
        <v>42780</v>
      </c>
      <c r="B1595" s="26" t="s">
        <v>69</v>
      </c>
      <c r="C1595" s="87" t="s">
        <v>1279</v>
      </c>
      <c r="D1595" s="8">
        <v>1500</v>
      </c>
      <c r="E1595" s="8"/>
      <c r="F1595" s="8">
        <f t="shared" si="24"/>
        <v>50481</v>
      </c>
      <c r="G1595" s="26"/>
    </row>
    <row r="1596" spans="1:7" x14ac:dyDescent="0.25">
      <c r="A1596" s="61">
        <v>42780</v>
      </c>
      <c r="B1596" s="26" t="s">
        <v>69</v>
      </c>
      <c r="C1596" s="87" t="s">
        <v>32</v>
      </c>
      <c r="D1596" s="8">
        <v>1000</v>
      </c>
      <c r="E1596" s="8"/>
      <c r="F1596" s="8">
        <f t="shared" si="24"/>
        <v>49481</v>
      </c>
      <c r="G1596" s="26"/>
    </row>
    <row r="1597" spans="1:7" x14ac:dyDescent="0.25">
      <c r="A1597" s="61">
        <v>42780</v>
      </c>
      <c r="B1597" s="26" t="s">
        <v>165</v>
      </c>
      <c r="C1597" s="87" t="s">
        <v>1280</v>
      </c>
      <c r="D1597" s="8">
        <v>1500</v>
      </c>
      <c r="E1597" s="8"/>
      <c r="F1597" s="8">
        <f t="shared" si="24"/>
        <v>47981</v>
      </c>
      <c r="G1597" s="26"/>
    </row>
    <row r="1598" spans="1:7" x14ac:dyDescent="0.25">
      <c r="A1598" s="61">
        <v>42780</v>
      </c>
      <c r="B1598" s="462" t="s">
        <v>1288</v>
      </c>
      <c r="C1598" s="463"/>
      <c r="D1598" s="71"/>
      <c r="E1598" s="58">
        <v>200000</v>
      </c>
      <c r="F1598" s="8">
        <f t="shared" si="24"/>
        <v>247981</v>
      </c>
      <c r="G1598" s="26"/>
    </row>
    <row r="1599" spans="1:7" x14ac:dyDescent="0.25">
      <c r="A1599" s="61">
        <v>42780</v>
      </c>
      <c r="B1599" s="26" t="s">
        <v>26</v>
      </c>
      <c r="C1599" s="87" t="s">
        <v>1285</v>
      </c>
      <c r="D1599" s="8">
        <v>230</v>
      </c>
      <c r="E1599" s="8"/>
      <c r="F1599" s="8">
        <f t="shared" si="24"/>
        <v>247751</v>
      </c>
      <c r="G1599" s="26"/>
    </row>
    <row r="1600" spans="1:7" x14ac:dyDescent="0.25">
      <c r="A1600" s="61">
        <v>42780</v>
      </c>
      <c r="B1600" s="26" t="s">
        <v>231</v>
      </c>
      <c r="C1600" s="87" t="s">
        <v>1282</v>
      </c>
      <c r="D1600" s="8">
        <v>135000</v>
      </c>
      <c r="E1600" s="8"/>
      <c r="F1600" s="8">
        <f t="shared" si="24"/>
        <v>112751</v>
      </c>
      <c r="G1600" s="26"/>
    </row>
    <row r="1601" spans="1:7" x14ac:dyDescent="0.25">
      <c r="A1601" s="61">
        <v>42780</v>
      </c>
      <c r="B1601" s="26" t="s">
        <v>17</v>
      </c>
      <c r="C1601" s="87" t="s">
        <v>32</v>
      </c>
      <c r="D1601" s="8">
        <v>3000</v>
      </c>
      <c r="E1601" s="8"/>
      <c r="F1601" s="8">
        <f t="shared" si="24"/>
        <v>109751</v>
      </c>
      <c r="G1601" s="26"/>
    </row>
    <row r="1602" spans="1:7" x14ac:dyDescent="0.25">
      <c r="A1602" s="61">
        <v>42780</v>
      </c>
      <c r="B1602" s="26" t="s">
        <v>59</v>
      </c>
      <c r="C1602" s="87" t="s">
        <v>32</v>
      </c>
      <c r="D1602" s="8">
        <v>250</v>
      </c>
      <c r="E1602" s="8"/>
      <c r="F1602" s="8">
        <f t="shared" si="24"/>
        <v>109501</v>
      </c>
      <c r="G1602" s="26"/>
    </row>
    <row r="1603" spans="1:7" x14ac:dyDescent="0.25">
      <c r="A1603" s="61">
        <v>42780</v>
      </c>
      <c r="B1603" s="26" t="s">
        <v>1006</v>
      </c>
      <c r="C1603" s="87" t="s">
        <v>1283</v>
      </c>
      <c r="D1603" s="8">
        <v>1500</v>
      </c>
      <c r="E1603" s="8"/>
      <c r="F1603" s="8">
        <f t="shared" ref="F1603:F1666" si="25">F1602-D1603+E1603</f>
        <v>108001</v>
      </c>
      <c r="G1603" s="26"/>
    </row>
    <row r="1604" spans="1:7" ht="30" x14ac:dyDescent="0.25">
      <c r="A1604" s="61">
        <v>42780</v>
      </c>
      <c r="B1604" s="29" t="s">
        <v>1284</v>
      </c>
      <c r="C1604" s="89" t="s">
        <v>1323</v>
      </c>
      <c r="D1604" s="14">
        <v>800</v>
      </c>
      <c r="E1604" s="8"/>
      <c r="F1604" s="8">
        <f t="shared" si="25"/>
        <v>107201</v>
      </c>
      <c r="G1604" s="26"/>
    </row>
    <row r="1605" spans="1:7" x14ac:dyDescent="0.25">
      <c r="A1605" s="61">
        <v>42780</v>
      </c>
      <c r="B1605" s="26" t="s">
        <v>165</v>
      </c>
      <c r="C1605" s="87" t="s">
        <v>32</v>
      </c>
      <c r="D1605" s="8">
        <v>5000</v>
      </c>
      <c r="E1605" s="8"/>
      <c r="F1605" s="8">
        <f t="shared" si="25"/>
        <v>102201</v>
      </c>
      <c r="G1605" s="26"/>
    </row>
    <row r="1606" spans="1:7" ht="30" x14ac:dyDescent="0.25">
      <c r="A1606" s="61">
        <v>42781</v>
      </c>
      <c r="B1606" s="29" t="s">
        <v>59</v>
      </c>
      <c r="C1606" s="89" t="s">
        <v>1290</v>
      </c>
      <c r="D1606" s="14">
        <v>550</v>
      </c>
      <c r="E1606" s="8"/>
      <c r="F1606" s="8">
        <f t="shared" si="25"/>
        <v>101651</v>
      </c>
      <c r="G1606" s="26"/>
    </row>
    <row r="1607" spans="1:7" x14ac:dyDescent="0.25">
      <c r="A1607" s="61">
        <v>42781</v>
      </c>
      <c r="B1607" s="26" t="s">
        <v>105</v>
      </c>
      <c r="C1607" s="87" t="s">
        <v>1286</v>
      </c>
      <c r="D1607" s="8">
        <v>3000</v>
      </c>
      <c r="E1607" s="8"/>
      <c r="F1607" s="8">
        <f t="shared" si="25"/>
        <v>98651</v>
      </c>
      <c r="G1607" s="26"/>
    </row>
    <row r="1608" spans="1:7" x14ac:dyDescent="0.25">
      <c r="A1608" s="61">
        <v>42781</v>
      </c>
      <c r="B1608" s="26" t="s">
        <v>630</v>
      </c>
      <c r="C1608" s="87" t="s">
        <v>1287</v>
      </c>
      <c r="D1608" s="8">
        <v>41000</v>
      </c>
      <c r="E1608" s="8"/>
      <c r="F1608" s="8">
        <f t="shared" si="25"/>
        <v>57651</v>
      </c>
      <c r="G1608" s="26"/>
    </row>
    <row r="1609" spans="1:7" x14ac:dyDescent="0.25">
      <c r="A1609" s="61">
        <v>42781</v>
      </c>
      <c r="B1609" s="26" t="s">
        <v>17</v>
      </c>
      <c r="C1609" s="87" t="s">
        <v>32</v>
      </c>
      <c r="D1609" s="8">
        <v>5000</v>
      </c>
      <c r="E1609" s="8"/>
      <c r="F1609" s="8">
        <f t="shared" si="25"/>
        <v>52651</v>
      </c>
      <c r="G1609" s="26"/>
    </row>
    <row r="1610" spans="1:7" x14ac:dyDescent="0.25">
      <c r="A1610" s="61">
        <v>42781</v>
      </c>
      <c r="B1610" s="26" t="s">
        <v>28</v>
      </c>
      <c r="C1610" s="87" t="s">
        <v>32</v>
      </c>
      <c r="D1610" s="8">
        <v>2000</v>
      </c>
      <c r="E1610" s="8"/>
      <c r="F1610" s="8">
        <f t="shared" si="25"/>
        <v>50651</v>
      </c>
      <c r="G1610" s="26"/>
    </row>
    <row r="1611" spans="1:7" x14ac:dyDescent="0.25">
      <c r="A1611" s="61">
        <v>42781</v>
      </c>
      <c r="B1611" s="18" t="s">
        <v>128</v>
      </c>
      <c r="C1611" s="196" t="s">
        <v>1295</v>
      </c>
      <c r="D1611" s="8">
        <v>45000</v>
      </c>
      <c r="E1611" s="8"/>
      <c r="F1611" s="8">
        <f t="shared" si="25"/>
        <v>5651</v>
      </c>
      <c r="G1611" s="26"/>
    </row>
    <row r="1612" spans="1:7" x14ac:dyDescent="0.25">
      <c r="A1612" s="61">
        <v>42781</v>
      </c>
      <c r="B1612" s="462" t="s">
        <v>1292</v>
      </c>
      <c r="C1612" s="463"/>
      <c r="D1612" s="71"/>
      <c r="E1612" s="58">
        <v>50000</v>
      </c>
      <c r="F1612" s="8">
        <f t="shared" si="25"/>
        <v>55651</v>
      </c>
      <c r="G1612" s="26"/>
    </row>
    <row r="1613" spans="1:7" x14ac:dyDescent="0.25">
      <c r="A1613" s="61">
        <v>42781</v>
      </c>
      <c r="B1613" s="26" t="s">
        <v>1087</v>
      </c>
      <c r="C1613" s="87" t="s">
        <v>1387</v>
      </c>
      <c r="D1613" s="8">
        <v>10000</v>
      </c>
      <c r="E1613" s="8"/>
      <c r="F1613" s="8">
        <f t="shared" si="25"/>
        <v>45651</v>
      </c>
      <c r="G1613" s="26"/>
    </row>
    <row r="1614" spans="1:7" x14ac:dyDescent="0.25">
      <c r="A1614" s="61">
        <v>42781</v>
      </c>
      <c r="B1614" s="26" t="s">
        <v>914</v>
      </c>
      <c r="C1614" s="87" t="s">
        <v>1289</v>
      </c>
      <c r="D1614" s="8">
        <v>20000</v>
      </c>
      <c r="E1614" s="8"/>
      <c r="F1614" s="8">
        <f t="shared" si="25"/>
        <v>25651</v>
      </c>
      <c r="G1614" s="26"/>
    </row>
    <row r="1615" spans="1:7" ht="30" x14ac:dyDescent="0.25">
      <c r="A1615" s="61">
        <v>42781</v>
      </c>
      <c r="B1615" s="26" t="s">
        <v>59</v>
      </c>
      <c r="C1615" s="87" t="s">
        <v>1291</v>
      </c>
      <c r="D1615" s="8">
        <v>1000</v>
      </c>
      <c r="E1615" s="8"/>
      <c r="F1615" s="8">
        <f t="shared" si="25"/>
        <v>24651</v>
      </c>
      <c r="G1615" s="26"/>
    </row>
    <row r="1616" spans="1:7" x14ac:dyDescent="0.25">
      <c r="A1616" s="61">
        <v>42781</v>
      </c>
      <c r="B1616" s="26" t="s">
        <v>163</v>
      </c>
      <c r="C1616" s="87" t="s">
        <v>1293</v>
      </c>
      <c r="D1616" s="8">
        <v>10000</v>
      </c>
      <c r="E1616" s="8"/>
      <c r="F1616" s="8">
        <f t="shared" si="25"/>
        <v>14651</v>
      </c>
      <c r="G1616" s="26"/>
    </row>
    <row r="1617" spans="1:7" x14ac:dyDescent="0.25">
      <c r="A1617" s="61">
        <v>42781</v>
      </c>
      <c r="B1617" s="26" t="s">
        <v>964</v>
      </c>
      <c r="C1617" s="87" t="s">
        <v>41</v>
      </c>
      <c r="D1617" s="8">
        <v>10000</v>
      </c>
      <c r="E1617" s="8"/>
      <c r="F1617" s="8">
        <f t="shared" si="25"/>
        <v>4651</v>
      </c>
      <c r="G1617" s="26"/>
    </row>
    <row r="1618" spans="1:7" x14ac:dyDescent="0.25">
      <c r="A1618" s="61">
        <v>42782</v>
      </c>
      <c r="B1618" s="462" t="s">
        <v>1298</v>
      </c>
      <c r="C1618" s="463"/>
      <c r="D1618" s="71"/>
      <c r="E1618" s="58">
        <v>50000</v>
      </c>
      <c r="F1618" s="8">
        <f t="shared" si="25"/>
        <v>54651</v>
      </c>
      <c r="G1618" s="26"/>
    </row>
    <row r="1619" spans="1:7" x14ac:dyDescent="0.25">
      <c r="A1619" s="61">
        <v>42782</v>
      </c>
      <c r="B1619" s="26" t="s">
        <v>1006</v>
      </c>
      <c r="C1619" s="87" t="s">
        <v>1294</v>
      </c>
      <c r="D1619" s="8">
        <v>1000</v>
      </c>
      <c r="E1619" s="8"/>
      <c r="F1619" s="8">
        <f t="shared" si="25"/>
        <v>53651</v>
      </c>
      <c r="G1619" s="26"/>
    </row>
    <row r="1620" spans="1:7" x14ac:dyDescent="0.25">
      <c r="A1620" s="61">
        <v>42782</v>
      </c>
      <c r="B1620" s="26" t="s">
        <v>121</v>
      </c>
      <c r="C1620" s="87" t="s">
        <v>32</v>
      </c>
      <c r="D1620" s="8">
        <v>400</v>
      </c>
      <c r="E1620" s="8"/>
      <c r="F1620" s="8">
        <f t="shared" si="25"/>
        <v>53251</v>
      </c>
      <c r="G1620" s="26"/>
    </row>
    <row r="1621" spans="1:7" x14ac:dyDescent="0.25">
      <c r="A1621" s="61">
        <v>42782</v>
      </c>
      <c r="B1621" s="26" t="s">
        <v>105</v>
      </c>
      <c r="C1621" s="87" t="s">
        <v>32</v>
      </c>
      <c r="D1621" s="8">
        <v>6000</v>
      </c>
      <c r="E1621" s="8"/>
      <c r="F1621" s="8">
        <f t="shared" si="25"/>
        <v>47251</v>
      </c>
      <c r="G1621" s="26"/>
    </row>
    <row r="1622" spans="1:7" ht="30" x14ac:dyDescent="0.25">
      <c r="A1622" s="61">
        <v>42782</v>
      </c>
      <c r="B1622" s="29" t="s">
        <v>128</v>
      </c>
      <c r="C1622" s="89" t="s">
        <v>1296</v>
      </c>
      <c r="D1622" s="14">
        <v>10015</v>
      </c>
      <c r="E1622" s="8"/>
      <c r="F1622" s="8">
        <f t="shared" si="25"/>
        <v>37236</v>
      </c>
      <c r="G1622" s="26"/>
    </row>
    <row r="1623" spans="1:7" x14ac:dyDescent="0.25">
      <c r="A1623" s="61">
        <v>42782</v>
      </c>
      <c r="B1623" s="26" t="s">
        <v>17</v>
      </c>
      <c r="C1623" s="87" t="s">
        <v>1297</v>
      </c>
      <c r="D1623" s="8">
        <v>5000</v>
      </c>
      <c r="E1623" s="8"/>
      <c r="F1623" s="8">
        <f t="shared" si="25"/>
        <v>32236</v>
      </c>
      <c r="G1623" s="26"/>
    </row>
    <row r="1624" spans="1:7" x14ac:dyDescent="0.25">
      <c r="A1624" s="61">
        <v>42782</v>
      </c>
      <c r="B1624" s="26" t="s">
        <v>117</v>
      </c>
      <c r="C1624" s="87" t="s">
        <v>1299</v>
      </c>
      <c r="D1624" s="8">
        <v>1500</v>
      </c>
      <c r="E1624" s="8"/>
      <c r="F1624" s="8">
        <f t="shared" si="25"/>
        <v>30736</v>
      </c>
      <c r="G1624" s="26"/>
    </row>
    <row r="1625" spans="1:7" x14ac:dyDescent="0.25">
      <c r="A1625" s="61">
        <v>42782</v>
      </c>
      <c r="B1625" s="29" t="s">
        <v>59</v>
      </c>
      <c r="C1625" s="89" t="s">
        <v>1324</v>
      </c>
      <c r="D1625" s="14">
        <v>10400</v>
      </c>
      <c r="E1625" s="8"/>
      <c r="F1625" s="8">
        <f t="shared" si="25"/>
        <v>20336</v>
      </c>
      <c r="G1625" s="26"/>
    </row>
    <row r="1626" spans="1:7" x14ac:dyDescent="0.25">
      <c r="A1626" s="61">
        <v>42782</v>
      </c>
      <c r="B1626" s="26" t="s">
        <v>165</v>
      </c>
      <c r="C1626" s="87" t="s">
        <v>32</v>
      </c>
      <c r="D1626" s="8">
        <v>10000</v>
      </c>
      <c r="E1626" s="8"/>
      <c r="F1626" s="8">
        <f t="shared" si="25"/>
        <v>10336</v>
      </c>
      <c r="G1626" s="26"/>
    </row>
    <row r="1627" spans="1:7" x14ac:dyDescent="0.25">
      <c r="A1627" s="61">
        <v>42782</v>
      </c>
      <c r="B1627" s="26" t="s">
        <v>40</v>
      </c>
      <c r="C1627" s="87" t="s">
        <v>1301</v>
      </c>
      <c r="D1627" s="8">
        <v>126</v>
      </c>
      <c r="E1627" s="8"/>
      <c r="F1627" s="8">
        <f t="shared" si="25"/>
        <v>10210</v>
      </c>
      <c r="G1627" s="26"/>
    </row>
    <row r="1628" spans="1:7" x14ac:dyDescent="0.25">
      <c r="A1628" s="61">
        <v>42782</v>
      </c>
      <c r="B1628" s="26" t="s">
        <v>26</v>
      </c>
      <c r="C1628" s="87" t="s">
        <v>1300</v>
      </c>
      <c r="D1628" s="8">
        <v>100</v>
      </c>
      <c r="E1628" s="8"/>
      <c r="F1628" s="8">
        <f t="shared" si="25"/>
        <v>10110</v>
      </c>
      <c r="G1628" s="26"/>
    </row>
    <row r="1629" spans="1:7" x14ac:dyDescent="0.25">
      <c r="A1629" s="61">
        <v>42783</v>
      </c>
      <c r="B1629" s="26" t="s">
        <v>446</v>
      </c>
      <c r="C1629" s="87" t="s">
        <v>32</v>
      </c>
      <c r="D1629" s="8">
        <v>2000</v>
      </c>
      <c r="E1629" s="8"/>
      <c r="F1629" s="8">
        <f t="shared" si="25"/>
        <v>8110</v>
      </c>
      <c r="G1629" s="26"/>
    </row>
    <row r="1630" spans="1:7" x14ac:dyDescent="0.25">
      <c r="A1630" s="61">
        <v>42783</v>
      </c>
      <c r="B1630" s="462" t="s">
        <v>1298</v>
      </c>
      <c r="C1630" s="463"/>
      <c r="D1630" s="71"/>
      <c r="E1630" s="58">
        <v>25000</v>
      </c>
      <c r="F1630" s="8">
        <f t="shared" si="25"/>
        <v>33110</v>
      </c>
      <c r="G1630" s="26"/>
    </row>
    <row r="1631" spans="1:7" x14ac:dyDescent="0.25">
      <c r="A1631" s="61">
        <v>42783</v>
      </c>
      <c r="B1631" s="462" t="s">
        <v>1298</v>
      </c>
      <c r="C1631" s="463"/>
      <c r="D1631" s="71"/>
      <c r="E1631" s="58">
        <v>25000</v>
      </c>
      <c r="F1631" s="8">
        <f t="shared" si="25"/>
        <v>58110</v>
      </c>
      <c r="G1631" s="26"/>
    </row>
    <row r="1632" spans="1:7" x14ac:dyDescent="0.25">
      <c r="A1632" s="61">
        <v>42783</v>
      </c>
      <c r="B1632" s="26" t="s">
        <v>17</v>
      </c>
      <c r="C1632" s="87" t="s">
        <v>799</v>
      </c>
      <c r="D1632" s="8">
        <v>5000</v>
      </c>
      <c r="E1632" s="8"/>
      <c r="F1632" s="8">
        <f t="shared" si="25"/>
        <v>53110</v>
      </c>
      <c r="G1632" s="26"/>
    </row>
    <row r="1633" spans="1:7" x14ac:dyDescent="0.25">
      <c r="A1633" s="61">
        <v>42783</v>
      </c>
      <c r="B1633" s="26" t="s">
        <v>4</v>
      </c>
      <c r="C1633" s="87" t="s">
        <v>1303</v>
      </c>
      <c r="D1633" s="8">
        <v>5000</v>
      </c>
      <c r="E1633" s="8"/>
      <c r="F1633" s="8">
        <f t="shared" si="25"/>
        <v>48110</v>
      </c>
      <c r="G1633" s="26"/>
    </row>
    <row r="1634" spans="1:7" x14ac:dyDescent="0.25">
      <c r="A1634" s="61">
        <v>42783</v>
      </c>
      <c r="B1634" s="26" t="s">
        <v>4</v>
      </c>
      <c r="C1634" s="87" t="s">
        <v>32</v>
      </c>
      <c r="D1634" s="8">
        <v>2000</v>
      </c>
      <c r="E1634" s="8"/>
      <c r="F1634" s="8">
        <f t="shared" si="25"/>
        <v>46110</v>
      </c>
      <c r="G1634" s="26"/>
    </row>
    <row r="1635" spans="1:7" x14ac:dyDescent="0.25">
      <c r="A1635" s="61">
        <v>42783</v>
      </c>
      <c r="B1635" s="26" t="s">
        <v>26</v>
      </c>
      <c r="C1635" s="87" t="s">
        <v>1304</v>
      </c>
      <c r="D1635" s="8">
        <v>460</v>
      </c>
      <c r="E1635" s="8"/>
      <c r="F1635" s="8">
        <f t="shared" si="25"/>
        <v>45650</v>
      </c>
      <c r="G1635" s="26"/>
    </row>
    <row r="1636" spans="1:7" x14ac:dyDescent="0.25">
      <c r="A1636" s="61">
        <v>42783</v>
      </c>
      <c r="B1636" s="26" t="s">
        <v>1064</v>
      </c>
      <c r="C1636" s="87" t="s">
        <v>1305</v>
      </c>
      <c r="D1636" s="8">
        <v>15000</v>
      </c>
      <c r="E1636" s="8"/>
      <c r="F1636" s="8">
        <f t="shared" si="25"/>
        <v>30650</v>
      </c>
      <c r="G1636" s="26"/>
    </row>
    <row r="1637" spans="1:7" x14ac:dyDescent="0.25">
      <c r="A1637" s="61">
        <v>42783</v>
      </c>
      <c r="B1637" s="26" t="s">
        <v>128</v>
      </c>
      <c r="C1637" s="87" t="s">
        <v>1306</v>
      </c>
      <c r="D1637" s="8">
        <v>13000</v>
      </c>
      <c r="E1637" s="8"/>
      <c r="F1637" s="8">
        <f t="shared" si="25"/>
        <v>17650</v>
      </c>
      <c r="G1637" s="26"/>
    </row>
    <row r="1638" spans="1:7" x14ac:dyDescent="0.25">
      <c r="A1638" s="61">
        <v>42783</v>
      </c>
      <c r="B1638" s="26" t="s">
        <v>446</v>
      </c>
      <c r="C1638" s="87" t="s">
        <v>32</v>
      </c>
      <c r="D1638" s="8">
        <v>2000</v>
      </c>
      <c r="E1638" s="8"/>
      <c r="F1638" s="8">
        <f t="shared" si="25"/>
        <v>15650</v>
      </c>
      <c r="G1638" s="26"/>
    </row>
    <row r="1639" spans="1:7" x14ac:dyDescent="0.25">
      <c r="A1639" s="61">
        <v>42783</v>
      </c>
      <c r="B1639" s="26" t="s">
        <v>964</v>
      </c>
      <c r="C1639" s="87" t="s">
        <v>1307</v>
      </c>
      <c r="D1639" s="8">
        <v>2000</v>
      </c>
      <c r="E1639" s="8"/>
      <c r="F1639" s="8">
        <f t="shared" si="25"/>
        <v>13650</v>
      </c>
      <c r="G1639" s="26"/>
    </row>
    <row r="1640" spans="1:7" x14ac:dyDescent="0.25">
      <c r="A1640" s="61">
        <v>42783</v>
      </c>
      <c r="B1640" s="26" t="s">
        <v>19</v>
      </c>
      <c r="C1640" s="87" t="s">
        <v>32</v>
      </c>
      <c r="D1640" s="8">
        <v>1000</v>
      </c>
      <c r="E1640" s="8"/>
      <c r="F1640" s="8">
        <f t="shared" si="25"/>
        <v>12650</v>
      </c>
      <c r="G1640" s="26"/>
    </row>
    <row r="1641" spans="1:7" x14ac:dyDescent="0.25">
      <c r="A1641" s="61">
        <v>42783</v>
      </c>
      <c r="B1641" s="197" t="s">
        <v>71</v>
      </c>
      <c r="C1641" s="198" t="s">
        <v>32</v>
      </c>
      <c r="D1641" s="75">
        <v>2000</v>
      </c>
      <c r="E1641" s="8"/>
      <c r="F1641" s="8">
        <f t="shared" si="25"/>
        <v>10650</v>
      </c>
      <c r="G1641" s="26"/>
    </row>
    <row r="1642" spans="1:7" x14ac:dyDescent="0.25">
      <c r="A1642" s="61">
        <v>42783</v>
      </c>
      <c r="B1642" s="462" t="s">
        <v>1298</v>
      </c>
      <c r="C1642" s="463"/>
      <c r="D1642" s="71"/>
      <c r="E1642" s="58">
        <v>100000</v>
      </c>
      <c r="F1642" s="8">
        <f t="shared" si="25"/>
        <v>110650</v>
      </c>
      <c r="G1642" s="26"/>
    </row>
    <row r="1643" spans="1:7" x14ac:dyDescent="0.25">
      <c r="A1643" s="61">
        <v>42783</v>
      </c>
      <c r="B1643" s="26" t="s">
        <v>125</v>
      </c>
      <c r="C1643" s="87" t="s">
        <v>1308</v>
      </c>
      <c r="D1643" s="8">
        <v>6000</v>
      </c>
      <c r="E1643" s="8"/>
      <c r="F1643" s="8">
        <f t="shared" si="25"/>
        <v>104650</v>
      </c>
      <c r="G1643" s="26"/>
    </row>
    <row r="1644" spans="1:7" x14ac:dyDescent="0.25">
      <c r="A1644" s="61">
        <v>42783</v>
      </c>
      <c r="B1644" s="26" t="s">
        <v>1309</v>
      </c>
      <c r="C1644" s="87" t="s">
        <v>1310</v>
      </c>
      <c r="D1644" s="8">
        <v>6315</v>
      </c>
      <c r="E1644" s="8"/>
      <c r="F1644" s="8">
        <f t="shared" si="25"/>
        <v>98335</v>
      </c>
      <c r="G1644" s="26"/>
    </row>
    <row r="1645" spans="1:7" x14ac:dyDescent="0.25">
      <c r="A1645" s="61">
        <v>42784</v>
      </c>
      <c r="B1645" s="197" t="s">
        <v>581</v>
      </c>
      <c r="C1645" s="198" t="s">
        <v>32</v>
      </c>
      <c r="D1645" s="75">
        <v>10000</v>
      </c>
      <c r="E1645" s="8"/>
      <c r="F1645" s="8">
        <f t="shared" si="25"/>
        <v>88335</v>
      </c>
      <c r="G1645" s="26"/>
    </row>
    <row r="1646" spans="1:7" ht="30" x14ac:dyDescent="0.25">
      <c r="A1646" s="61">
        <v>42784</v>
      </c>
      <c r="B1646" s="26" t="s">
        <v>108</v>
      </c>
      <c r="C1646" s="87" t="s">
        <v>1311</v>
      </c>
      <c r="D1646" s="8">
        <v>3530</v>
      </c>
      <c r="E1646" s="8"/>
      <c r="F1646" s="8">
        <f t="shared" si="25"/>
        <v>84805</v>
      </c>
      <c r="G1646" s="26"/>
    </row>
    <row r="1647" spans="1:7" x14ac:dyDescent="0.25">
      <c r="A1647" s="61">
        <v>42784</v>
      </c>
      <c r="B1647" s="26" t="s">
        <v>161</v>
      </c>
      <c r="C1647" s="87" t="s">
        <v>1312</v>
      </c>
      <c r="D1647" s="8">
        <v>2000</v>
      </c>
      <c r="E1647" s="8"/>
      <c r="F1647" s="8">
        <f t="shared" si="25"/>
        <v>82805</v>
      </c>
      <c r="G1647" s="26"/>
    </row>
    <row r="1648" spans="1:7" x14ac:dyDescent="0.25">
      <c r="A1648" s="61">
        <v>42784</v>
      </c>
      <c r="B1648" s="26" t="s">
        <v>161</v>
      </c>
      <c r="C1648" s="87" t="s">
        <v>1316</v>
      </c>
      <c r="D1648" s="8">
        <v>4000</v>
      </c>
      <c r="E1648" s="8"/>
      <c r="F1648" s="8">
        <f t="shared" si="25"/>
        <v>78805</v>
      </c>
      <c r="G1648" s="26"/>
    </row>
    <row r="1649" spans="1:7" x14ac:dyDescent="0.25">
      <c r="A1649" s="61">
        <v>42784</v>
      </c>
      <c r="B1649" s="26" t="s">
        <v>71</v>
      </c>
      <c r="C1649" s="87" t="s">
        <v>1315</v>
      </c>
      <c r="D1649" s="8">
        <v>3000</v>
      </c>
      <c r="E1649" s="8"/>
      <c r="F1649" s="8">
        <f t="shared" si="25"/>
        <v>75805</v>
      </c>
      <c r="G1649" s="26"/>
    </row>
    <row r="1650" spans="1:7" x14ac:dyDescent="0.25">
      <c r="A1650" s="61">
        <v>42786</v>
      </c>
      <c r="B1650" s="462" t="s">
        <v>1313</v>
      </c>
      <c r="C1650" s="463"/>
      <c r="D1650" s="71"/>
      <c r="E1650" s="58">
        <v>16000</v>
      </c>
      <c r="F1650" s="8">
        <f t="shared" si="25"/>
        <v>91805</v>
      </c>
      <c r="G1650" s="26"/>
    </row>
    <row r="1651" spans="1:7" x14ac:dyDescent="0.25">
      <c r="A1651" s="61">
        <v>42786</v>
      </c>
      <c r="B1651" s="26" t="s">
        <v>125</v>
      </c>
      <c r="C1651" s="87" t="s">
        <v>1314</v>
      </c>
      <c r="D1651" s="8">
        <v>2000</v>
      </c>
      <c r="E1651" s="8"/>
      <c r="F1651" s="8">
        <f t="shared" si="25"/>
        <v>89805</v>
      </c>
      <c r="G1651" s="26"/>
    </row>
    <row r="1652" spans="1:7" x14ac:dyDescent="0.25">
      <c r="A1652" s="61">
        <v>42786</v>
      </c>
      <c r="B1652" s="26" t="s">
        <v>28</v>
      </c>
      <c r="C1652" s="87" t="s">
        <v>32</v>
      </c>
      <c r="D1652" s="8">
        <v>2000</v>
      </c>
      <c r="E1652" s="8"/>
      <c r="F1652" s="8">
        <f t="shared" si="25"/>
        <v>87805</v>
      </c>
      <c r="G1652" s="26"/>
    </row>
    <row r="1653" spans="1:7" x14ac:dyDescent="0.25">
      <c r="A1653" s="61">
        <v>42786</v>
      </c>
      <c r="B1653" s="26" t="s">
        <v>121</v>
      </c>
      <c r="C1653" s="87" t="s">
        <v>32</v>
      </c>
      <c r="D1653" s="8">
        <v>12000</v>
      </c>
      <c r="E1653" s="8"/>
      <c r="F1653" s="8">
        <f t="shared" si="25"/>
        <v>75805</v>
      </c>
      <c r="G1653" s="26"/>
    </row>
    <row r="1654" spans="1:7" x14ac:dyDescent="0.25">
      <c r="A1654" s="61">
        <v>42786</v>
      </c>
      <c r="B1654" s="29" t="s">
        <v>59</v>
      </c>
      <c r="C1654" s="89" t="s">
        <v>799</v>
      </c>
      <c r="D1654" s="14">
        <v>3350</v>
      </c>
      <c r="E1654" s="8"/>
      <c r="F1654" s="8">
        <f t="shared" si="25"/>
        <v>72455</v>
      </c>
      <c r="G1654" s="26"/>
    </row>
    <row r="1655" spans="1:7" ht="30" x14ac:dyDescent="0.25">
      <c r="A1655" s="61">
        <v>42786</v>
      </c>
      <c r="B1655" s="26" t="s">
        <v>1196</v>
      </c>
      <c r="C1655" s="87" t="s">
        <v>1530</v>
      </c>
      <c r="D1655" s="8">
        <v>16000</v>
      </c>
      <c r="E1655" s="8"/>
      <c r="F1655" s="8">
        <f t="shared" si="25"/>
        <v>56455</v>
      </c>
      <c r="G1655" s="26"/>
    </row>
    <row r="1656" spans="1:7" ht="30" x14ac:dyDescent="0.25">
      <c r="A1656" s="61">
        <v>42786</v>
      </c>
      <c r="B1656" s="26" t="s">
        <v>117</v>
      </c>
      <c r="C1656" s="87" t="s">
        <v>1317</v>
      </c>
      <c r="D1656" s="8">
        <v>1450</v>
      </c>
      <c r="E1656" s="8"/>
      <c r="F1656" s="8">
        <f t="shared" si="25"/>
        <v>55005</v>
      </c>
      <c r="G1656" s="26"/>
    </row>
    <row r="1657" spans="1:7" x14ac:dyDescent="0.25">
      <c r="A1657" s="61">
        <v>42786</v>
      </c>
      <c r="B1657" s="26" t="s">
        <v>161</v>
      </c>
      <c r="C1657" s="87" t="s">
        <v>1318</v>
      </c>
      <c r="D1657" s="8">
        <v>5000</v>
      </c>
      <c r="E1657" s="8"/>
      <c r="F1657" s="8">
        <f t="shared" si="25"/>
        <v>50005</v>
      </c>
      <c r="G1657" s="26"/>
    </row>
    <row r="1658" spans="1:7" x14ac:dyDescent="0.25">
      <c r="A1658" s="61">
        <v>42786</v>
      </c>
      <c r="B1658" s="26" t="s">
        <v>1319</v>
      </c>
      <c r="C1658" s="87" t="s">
        <v>1320</v>
      </c>
      <c r="D1658" s="8">
        <v>10000</v>
      </c>
      <c r="E1658" s="8"/>
      <c r="F1658" s="8">
        <f t="shared" si="25"/>
        <v>40005</v>
      </c>
      <c r="G1658" s="26"/>
    </row>
    <row r="1659" spans="1:7" x14ac:dyDescent="0.25">
      <c r="A1659" s="61">
        <v>42786</v>
      </c>
      <c r="B1659" s="26" t="s">
        <v>964</v>
      </c>
      <c r="C1659" s="87" t="s">
        <v>41</v>
      </c>
      <c r="D1659" s="8">
        <v>3500</v>
      </c>
      <c r="E1659" s="8"/>
      <c r="F1659" s="8">
        <f t="shared" si="25"/>
        <v>36505</v>
      </c>
      <c r="G1659" s="26"/>
    </row>
    <row r="1660" spans="1:7" x14ac:dyDescent="0.25">
      <c r="A1660" s="61">
        <v>42786</v>
      </c>
      <c r="B1660" s="26" t="s">
        <v>128</v>
      </c>
      <c r="C1660" s="87" t="s">
        <v>1321</v>
      </c>
      <c r="D1660" s="8">
        <v>1500</v>
      </c>
      <c r="E1660" s="8"/>
      <c r="F1660" s="8">
        <f t="shared" si="25"/>
        <v>35005</v>
      </c>
      <c r="G1660" s="26"/>
    </row>
    <row r="1661" spans="1:7" ht="45" x14ac:dyDescent="0.25">
      <c r="A1661" s="61">
        <v>42786</v>
      </c>
      <c r="B1661" s="29" t="s">
        <v>1284</v>
      </c>
      <c r="C1661" s="89" t="s">
        <v>1350</v>
      </c>
      <c r="D1661" s="14">
        <v>850</v>
      </c>
      <c r="E1661" s="8"/>
      <c r="F1661" s="8">
        <f t="shared" si="25"/>
        <v>34155</v>
      </c>
      <c r="G1661" s="26"/>
    </row>
    <row r="1662" spans="1:7" x14ac:dyDescent="0.25">
      <c r="A1662" s="61">
        <v>42786</v>
      </c>
      <c r="B1662" s="26" t="s">
        <v>1006</v>
      </c>
      <c r="C1662" s="87" t="s">
        <v>1322</v>
      </c>
      <c r="D1662" s="8">
        <v>450</v>
      </c>
      <c r="E1662" s="8"/>
      <c r="F1662" s="8">
        <f t="shared" si="25"/>
        <v>33705</v>
      </c>
      <c r="G1662" s="26"/>
    </row>
    <row r="1663" spans="1:7" x14ac:dyDescent="0.25">
      <c r="A1663" s="61">
        <v>42786</v>
      </c>
      <c r="B1663" s="26" t="s">
        <v>17</v>
      </c>
      <c r="C1663" s="87" t="s">
        <v>32</v>
      </c>
      <c r="D1663" s="8">
        <v>5000</v>
      </c>
      <c r="E1663" s="8"/>
      <c r="F1663" s="8">
        <f t="shared" si="25"/>
        <v>28705</v>
      </c>
      <c r="G1663" s="26"/>
    </row>
    <row r="1664" spans="1:7" x14ac:dyDescent="0.25">
      <c r="A1664" s="61">
        <v>42787</v>
      </c>
      <c r="B1664" s="26" t="s">
        <v>19</v>
      </c>
      <c r="C1664" s="87" t="s">
        <v>1388</v>
      </c>
      <c r="D1664" s="8">
        <v>7000</v>
      </c>
      <c r="E1664" s="8"/>
      <c r="F1664" s="8">
        <f t="shared" si="25"/>
        <v>21705</v>
      </c>
      <c r="G1664" s="26"/>
    </row>
    <row r="1665" spans="1:7" x14ac:dyDescent="0.25">
      <c r="A1665" s="61">
        <v>42787</v>
      </c>
      <c r="B1665" s="26" t="s">
        <v>28</v>
      </c>
      <c r="C1665" s="87" t="s">
        <v>32</v>
      </c>
      <c r="D1665" s="8">
        <v>8000</v>
      </c>
      <c r="E1665" s="8"/>
      <c r="F1665" s="8">
        <f t="shared" si="25"/>
        <v>13705</v>
      </c>
      <c r="G1665" s="26"/>
    </row>
    <row r="1666" spans="1:7" x14ac:dyDescent="0.25">
      <c r="A1666" s="61">
        <v>42787</v>
      </c>
      <c r="B1666" s="462" t="s">
        <v>1298</v>
      </c>
      <c r="C1666" s="463"/>
      <c r="D1666" s="71"/>
      <c r="E1666" s="58">
        <v>50000</v>
      </c>
      <c r="F1666" s="8">
        <f t="shared" si="25"/>
        <v>63705</v>
      </c>
      <c r="G1666" s="26"/>
    </row>
    <row r="1667" spans="1:7" x14ac:dyDescent="0.25">
      <c r="A1667" s="61">
        <v>42787</v>
      </c>
      <c r="B1667" s="26" t="s">
        <v>446</v>
      </c>
      <c r="C1667" s="87" t="s">
        <v>1326</v>
      </c>
      <c r="D1667" s="8">
        <v>1070</v>
      </c>
      <c r="E1667" s="8"/>
      <c r="F1667" s="8">
        <f t="shared" ref="F1667:F1730" si="26">F1666-D1667+E1667</f>
        <v>62635</v>
      </c>
      <c r="G1667" s="26"/>
    </row>
    <row r="1668" spans="1:7" x14ac:dyDescent="0.25">
      <c r="A1668" s="61">
        <v>42787</v>
      </c>
      <c r="B1668" s="29" t="s">
        <v>59</v>
      </c>
      <c r="C1668" s="89" t="s">
        <v>1371</v>
      </c>
      <c r="D1668" s="14">
        <v>23940</v>
      </c>
      <c r="E1668" s="8"/>
      <c r="F1668" s="8">
        <f t="shared" si="26"/>
        <v>38695</v>
      </c>
      <c r="G1668" s="26"/>
    </row>
    <row r="1669" spans="1:7" x14ac:dyDescent="0.25">
      <c r="A1669" s="61">
        <v>42787</v>
      </c>
      <c r="B1669" s="26" t="s">
        <v>1319</v>
      </c>
      <c r="C1669" s="87" t="s">
        <v>1327</v>
      </c>
      <c r="D1669" s="8">
        <v>15000</v>
      </c>
      <c r="E1669" s="8"/>
      <c r="F1669" s="8">
        <f t="shared" si="26"/>
        <v>23695</v>
      </c>
      <c r="G1669" s="26"/>
    </row>
    <row r="1670" spans="1:7" x14ac:dyDescent="0.25">
      <c r="A1670" s="61">
        <v>42787</v>
      </c>
      <c r="B1670" s="26" t="s">
        <v>161</v>
      </c>
      <c r="C1670" s="87" t="s">
        <v>1328</v>
      </c>
      <c r="D1670" s="8">
        <v>5000</v>
      </c>
      <c r="E1670" s="8"/>
      <c r="F1670" s="8">
        <f t="shared" si="26"/>
        <v>18695</v>
      </c>
      <c r="G1670" s="26"/>
    </row>
    <row r="1671" spans="1:7" x14ac:dyDescent="0.25">
      <c r="A1671" s="61">
        <v>42787</v>
      </c>
      <c r="B1671" s="26" t="s">
        <v>28</v>
      </c>
      <c r="C1671" s="87" t="s">
        <v>1329</v>
      </c>
      <c r="D1671" s="8">
        <v>4000</v>
      </c>
      <c r="E1671" s="8"/>
      <c r="F1671" s="8">
        <f t="shared" si="26"/>
        <v>14695</v>
      </c>
      <c r="G1671" s="26"/>
    </row>
    <row r="1672" spans="1:7" x14ac:dyDescent="0.25">
      <c r="A1672" s="61">
        <v>42787</v>
      </c>
      <c r="B1672" s="26" t="s">
        <v>964</v>
      </c>
      <c r="C1672" s="87" t="s">
        <v>41</v>
      </c>
      <c r="D1672" s="8">
        <v>3500</v>
      </c>
      <c r="E1672" s="8"/>
      <c r="F1672" s="8">
        <f t="shared" si="26"/>
        <v>11195</v>
      </c>
      <c r="G1672" s="26"/>
    </row>
    <row r="1673" spans="1:7" x14ac:dyDescent="0.25">
      <c r="A1673" s="61">
        <v>42788</v>
      </c>
      <c r="B1673" s="197" t="s">
        <v>59</v>
      </c>
      <c r="C1673" s="198" t="s">
        <v>32</v>
      </c>
      <c r="D1673" s="75">
        <v>500</v>
      </c>
      <c r="E1673" s="8"/>
      <c r="F1673" s="8">
        <f t="shared" si="26"/>
        <v>10695</v>
      </c>
      <c r="G1673" s="26"/>
    </row>
    <row r="1674" spans="1:7" x14ac:dyDescent="0.25">
      <c r="A1674" s="61">
        <v>42788</v>
      </c>
      <c r="B1674" s="26" t="s">
        <v>17</v>
      </c>
      <c r="C1674" s="87" t="s">
        <v>32</v>
      </c>
      <c r="D1674" s="8">
        <v>3000</v>
      </c>
      <c r="E1674" s="8"/>
      <c r="F1674" s="8">
        <f t="shared" si="26"/>
        <v>7695</v>
      </c>
      <c r="G1674" s="26"/>
    </row>
    <row r="1675" spans="1:7" x14ac:dyDescent="0.25">
      <c r="A1675" s="61">
        <v>42789</v>
      </c>
      <c r="B1675" s="462" t="s">
        <v>1298</v>
      </c>
      <c r="C1675" s="463"/>
      <c r="D1675" s="71"/>
      <c r="E1675" s="58">
        <v>50000</v>
      </c>
      <c r="F1675" s="8">
        <f t="shared" si="26"/>
        <v>57695</v>
      </c>
      <c r="G1675" s="26"/>
    </row>
    <row r="1676" spans="1:7" ht="30" x14ac:dyDescent="0.25">
      <c r="A1676" s="61">
        <v>42789</v>
      </c>
      <c r="B1676" s="26" t="s">
        <v>59</v>
      </c>
      <c r="C1676" s="87" t="s">
        <v>1343</v>
      </c>
      <c r="D1676" s="8">
        <v>10232</v>
      </c>
      <c r="E1676" s="8"/>
      <c r="F1676" s="8">
        <f t="shared" si="26"/>
        <v>47463</v>
      </c>
      <c r="G1676" s="26"/>
    </row>
    <row r="1677" spans="1:7" ht="30" x14ac:dyDescent="0.25">
      <c r="A1677" s="61">
        <v>42789</v>
      </c>
      <c r="B1677" s="26" t="s">
        <v>1006</v>
      </c>
      <c r="C1677" s="87" t="s">
        <v>1330</v>
      </c>
      <c r="D1677" s="8">
        <v>2100</v>
      </c>
      <c r="E1677" s="8"/>
      <c r="F1677" s="8">
        <f t="shared" si="26"/>
        <v>45363</v>
      </c>
      <c r="G1677" s="26"/>
    </row>
    <row r="1678" spans="1:7" x14ac:dyDescent="0.25">
      <c r="A1678" s="61">
        <v>42789</v>
      </c>
      <c r="B1678" s="26" t="s">
        <v>161</v>
      </c>
      <c r="C1678" s="87" t="s">
        <v>1345</v>
      </c>
      <c r="D1678" s="8">
        <v>500</v>
      </c>
      <c r="E1678" s="8"/>
      <c r="F1678" s="8">
        <f t="shared" si="26"/>
        <v>44863</v>
      </c>
      <c r="G1678" s="26"/>
    </row>
    <row r="1679" spans="1:7" x14ac:dyDescent="0.25">
      <c r="A1679" s="61">
        <v>42789</v>
      </c>
      <c r="B1679" s="26" t="s">
        <v>17</v>
      </c>
      <c r="C1679" s="87" t="s">
        <v>32</v>
      </c>
      <c r="D1679" s="8">
        <v>100</v>
      </c>
      <c r="E1679" s="8"/>
      <c r="F1679" s="8">
        <f t="shared" si="26"/>
        <v>44763</v>
      </c>
      <c r="G1679" s="26"/>
    </row>
    <row r="1680" spans="1:7" x14ac:dyDescent="0.25">
      <c r="A1680" s="61">
        <v>42789</v>
      </c>
      <c r="B1680" s="26" t="s">
        <v>165</v>
      </c>
      <c r="C1680" s="87" t="s">
        <v>32</v>
      </c>
      <c r="D1680" s="8">
        <v>30000</v>
      </c>
      <c r="E1680" s="8"/>
      <c r="F1680" s="8">
        <f t="shared" si="26"/>
        <v>14763</v>
      </c>
      <c r="G1680" s="26"/>
    </row>
    <row r="1681" spans="1:7" x14ac:dyDescent="0.25">
      <c r="A1681" s="61">
        <v>42789</v>
      </c>
      <c r="B1681" s="26" t="s">
        <v>1331</v>
      </c>
      <c r="C1681" s="87" t="s">
        <v>1332</v>
      </c>
      <c r="D1681" s="8">
        <v>2000</v>
      </c>
      <c r="E1681" s="8"/>
      <c r="F1681" s="8">
        <f t="shared" si="26"/>
        <v>12763</v>
      </c>
      <c r="G1681" s="26"/>
    </row>
    <row r="1682" spans="1:7" x14ac:dyDescent="0.25">
      <c r="A1682" s="61">
        <v>42790</v>
      </c>
      <c r="B1682" s="197" t="s">
        <v>61</v>
      </c>
      <c r="C1682" s="198" t="s">
        <v>1333</v>
      </c>
      <c r="D1682" s="75">
        <v>300</v>
      </c>
      <c r="E1682" s="8"/>
      <c r="F1682" s="8">
        <f t="shared" si="26"/>
        <v>12463</v>
      </c>
      <c r="G1682" s="26"/>
    </row>
    <row r="1683" spans="1:7" x14ac:dyDescent="0.25">
      <c r="A1683" s="61">
        <v>42790</v>
      </c>
      <c r="B1683" s="462" t="s">
        <v>1298</v>
      </c>
      <c r="C1683" s="463"/>
      <c r="D1683" s="71"/>
      <c r="E1683" s="58">
        <v>50000</v>
      </c>
      <c r="F1683" s="8">
        <f t="shared" si="26"/>
        <v>62463</v>
      </c>
      <c r="G1683" s="26"/>
    </row>
    <row r="1684" spans="1:7" x14ac:dyDescent="0.25">
      <c r="A1684" s="61">
        <v>42790</v>
      </c>
      <c r="B1684" s="26" t="s">
        <v>28</v>
      </c>
      <c r="C1684" s="87" t="s">
        <v>32</v>
      </c>
      <c r="D1684" s="8">
        <v>5500</v>
      </c>
      <c r="E1684" s="8"/>
      <c r="F1684" s="8">
        <f t="shared" si="26"/>
        <v>56963</v>
      </c>
      <c r="G1684" s="26"/>
    </row>
    <row r="1685" spans="1:7" x14ac:dyDescent="0.25">
      <c r="A1685" s="61">
        <v>42790</v>
      </c>
      <c r="B1685" s="26" t="s">
        <v>17</v>
      </c>
      <c r="C1685" s="87" t="s">
        <v>32</v>
      </c>
      <c r="D1685" s="8">
        <v>1500</v>
      </c>
      <c r="E1685" s="8"/>
      <c r="F1685" s="8">
        <f t="shared" si="26"/>
        <v>55463</v>
      </c>
      <c r="G1685" s="26"/>
    </row>
    <row r="1686" spans="1:7" x14ac:dyDescent="0.25">
      <c r="A1686" s="61">
        <v>42790</v>
      </c>
      <c r="B1686" s="26" t="s">
        <v>121</v>
      </c>
      <c r="C1686" s="87" t="s">
        <v>31</v>
      </c>
      <c r="D1686" s="8">
        <v>500</v>
      </c>
      <c r="E1686" s="8"/>
      <c r="F1686" s="8">
        <f t="shared" si="26"/>
        <v>54963</v>
      </c>
      <c r="G1686" s="26"/>
    </row>
    <row r="1687" spans="1:7" x14ac:dyDescent="0.25">
      <c r="A1687" s="61">
        <v>42790</v>
      </c>
      <c r="B1687" s="26" t="s">
        <v>121</v>
      </c>
      <c r="C1687" s="87" t="s">
        <v>32</v>
      </c>
      <c r="D1687" s="8">
        <v>5000</v>
      </c>
      <c r="E1687" s="8"/>
      <c r="F1687" s="8">
        <f t="shared" si="26"/>
        <v>49963</v>
      </c>
      <c r="G1687" s="26"/>
    </row>
    <row r="1688" spans="1:7" x14ac:dyDescent="0.25">
      <c r="A1688" s="61">
        <v>42790</v>
      </c>
      <c r="B1688" s="26" t="s">
        <v>128</v>
      </c>
      <c r="C1688" s="87" t="s">
        <v>32</v>
      </c>
      <c r="D1688" s="8">
        <v>7358</v>
      </c>
      <c r="E1688" s="8"/>
      <c r="F1688" s="8">
        <f t="shared" si="26"/>
        <v>42605</v>
      </c>
      <c r="G1688" s="26"/>
    </row>
    <row r="1689" spans="1:7" x14ac:dyDescent="0.25">
      <c r="A1689" s="61">
        <v>42790</v>
      </c>
      <c r="B1689" s="26" t="s">
        <v>1334</v>
      </c>
      <c r="C1689" s="87" t="s">
        <v>32</v>
      </c>
      <c r="D1689" s="8">
        <v>10000</v>
      </c>
      <c r="E1689" s="8"/>
      <c r="F1689" s="8">
        <f t="shared" si="26"/>
        <v>32605</v>
      </c>
      <c r="G1689" s="26"/>
    </row>
    <row r="1690" spans="1:7" x14ac:dyDescent="0.25">
      <c r="A1690" s="61">
        <v>42790</v>
      </c>
      <c r="B1690" s="26" t="s">
        <v>165</v>
      </c>
      <c r="C1690" s="87" t="s">
        <v>1335</v>
      </c>
      <c r="D1690" s="8">
        <v>7000</v>
      </c>
      <c r="E1690" s="8"/>
      <c r="F1690" s="8">
        <f t="shared" si="26"/>
        <v>25605</v>
      </c>
      <c r="G1690" s="26"/>
    </row>
    <row r="1691" spans="1:7" x14ac:dyDescent="0.25">
      <c r="A1691" s="61">
        <v>42790</v>
      </c>
      <c r="B1691" s="26" t="s">
        <v>248</v>
      </c>
      <c r="C1691" s="87" t="s">
        <v>1337</v>
      </c>
      <c r="D1691" s="8">
        <v>695</v>
      </c>
      <c r="E1691" s="8"/>
      <c r="F1691" s="8">
        <f t="shared" si="26"/>
        <v>24910</v>
      </c>
      <c r="G1691" s="26"/>
    </row>
    <row r="1692" spans="1:7" x14ac:dyDescent="0.25">
      <c r="A1692" s="61">
        <v>42790</v>
      </c>
      <c r="B1692" s="26" t="s">
        <v>26</v>
      </c>
      <c r="C1692" s="87" t="s">
        <v>1336</v>
      </c>
      <c r="D1692" s="8">
        <v>100</v>
      </c>
      <c r="E1692" s="8"/>
      <c r="F1692" s="8">
        <f t="shared" si="26"/>
        <v>24810</v>
      </c>
      <c r="G1692" s="26"/>
    </row>
    <row r="1693" spans="1:7" x14ac:dyDescent="0.25">
      <c r="A1693" s="61">
        <v>42790</v>
      </c>
      <c r="B1693" s="29" t="s">
        <v>248</v>
      </c>
      <c r="C1693" s="89" t="s">
        <v>1380</v>
      </c>
      <c r="D1693" s="14">
        <v>200</v>
      </c>
      <c r="E1693" s="8"/>
      <c r="F1693" s="8">
        <f t="shared" si="26"/>
        <v>24610</v>
      </c>
      <c r="G1693" s="26"/>
    </row>
    <row r="1694" spans="1:7" x14ac:dyDescent="0.25">
      <c r="A1694" s="61">
        <v>42790</v>
      </c>
      <c r="B1694" s="26" t="s">
        <v>26</v>
      </c>
      <c r="C1694" s="87" t="s">
        <v>1338</v>
      </c>
      <c r="D1694" s="8">
        <v>2000</v>
      </c>
      <c r="E1694" s="8"/>
      <c r="F1694" s="8">
        <f t="shared" si="26"/>
        <v>22610</v>
      </c>
      <c r="G1694" s="26"/>
    </row>
    <row r="1695" spans="1:7" x14ac:dyDescent="0.25">
      <c r="A1695" s="61">
        <v>42790</v>
      </c>
      <c r="B1695" s="462" t="s">
        <v>1298</v>
      </c>
      <c r="C1695" s="463"/>
      <c r="D1695" s="71"/>
      <c r="E1695" s="58">
        <v>50000</v>
      </c>
      <c r="F1695" s="8">
        <f t="shared" si="26"/>
        <v>72610</v>
      </c>
      <c r="G1695" s="26"/>
    </row>
    <row r="1696" spans="1:7" x14ac:dyDescent="0.25">
      <c r="A1696" s="61">
        <v>42790</v>
      </c>
      <c r="B1696" s="26" t="s">
        <v>117</v>
      </c>
      <c r="C1696" s="87" t="s">
        <v>1339</v>
      </c>
      <c r="D1696" s="8">
        <v>10000</v>
      </c>
      <c r="E1696" s="8"/>
      <c r="F1696" s="8">
        <f t="shared" si="26"/>
        <v>62610</v>
      </c>
      <c r="G1696" s="26"/>
    </row>
    <row r="1697" spans="1:7" x14ac:dyDescent="0.25">
      <c r="A1697" s="61">
        <v>42790</v>
      </c>
      <c r="B1697" s="29" t="s">
        <v>125</v>
      </c>
      <c r="C1697" s="89" t="s">
        <v>1340</v>
      </c>
      <c r="D1697" s="14">
        <v>18400</v>
      </c>
      <c r="E1697" s="8"/>
      <c r="F1697" s="8">
        <f t="shared" si="26"/>
        <v>44210</v>
      </c>
      <c r="G1697" s="26"/>
    </row>
    <row r="1698" spans="1:7" x14ac:dyDescent="0.25">
      <c r="A1698" s="61">
        <v>42790</v>
      </c>
      <c r="B1698" s="26" t="s">
        <v>1331</v>
      </c>
      <c r="C1698" s="87" t="s">
        <v>32</v>
      </c>
      <c r="D1698" s="8">
        <v>7500</v>
      </c>
      <c r="E1698" s="8"/>
      <c r="F1698" s="8">
        <f t="shared" si="26"/>
        <v>36710</v>
      </c>
      <c r="G1698" s="26"/>
    </row>
    <row r="1699" spans="1:7" x14ac:dyDescent="0.25">
      <c r="A1699" s="61">
        <v>42790</v>
      </c>
      <c r="B1699" s="26" t="s">
        <v>61</v>
      </c>
      <c r="C1699" s="87" t="s">
        <v>1354</v>
      </c>
      <c r="D1699" s="8">
        <v>1000</v>
      </c>
      <c r="E1699" s="8"/>
      <c r="F1699" s="8">
        <f t="shared" si="26"/>
        <v>35710</v>
      </c>
      <c r="G1699" s="26"/>
    </row>
    <row r="1700" spans="1:7" x14ac:dyDescent="0.25">
      <c r="A1700" s="61">
        <v>42790</v>
      </c>
      <c r="B1700" s="26" t="s">
        <v>17</v>
      </c>
      <c r="C1700" s="87" t="s">
        <v>32</v>
      </c>
      <c r="D1700" s="8">
        <v>1000</v>
      </c>
      <c r="E1700" s="8"/>
      <c r="F1700" s="8">
        <f t="shared" si="26"/>
        <v>34710</v>
      </c>
      <c r="G1700" s="26"/>
    </row>
    <row r="1701" spans="1:7" x14ac:dyDescent="0.25">
      <c r="A1701" s="61">
        <v>42791</v>
      </c>
      <c r="B1701" s="26" t="s">
        <v>446</v>
      </c>
      <c r="C1701" s="87" t="s">
        <v>32</v>
      </c>
      <c r="D1701" s="8">
        <v>2000</v>
      </c>
      <c r="E1701" s="8"/>
      <c r="F1701" s="8">
        <f t="shared" si="26"/>
        <v>32710</v>
      </c>
      <c r="G1701" s="26"/>
    </row>
    <row r="1702" spans="1:7" x14ac:dyDescent="0.25">
      <c r="A1702" s="61">
        <v>42791</v>
      </c>
      <c r="B1702" s="26" t="s">
        <v>161</v>
      </c>
      <c r="C1702" s="87" t="s">
        <v>1341</v>
      </c>
      <c r="D1702" s="8">
        <v>2000</v>
      </c>
      <c r="E1702" s="8"/>
      <c r="F1702" s="8">
        <f t="shared" si="26"/>
        <v>30710</v>
      </c>
      <c r="G1702" s="26"/>
    </row>
    <row r="1703" spans="1:7" x14ac:dyDescent="0.25">
      <c r="A1703" s="61">
        <v>42791</v>
      </c>
      <c r="B1703" s="26" t="s">
        <v>161</v>
      </c>
      <c r="C1703" s="87" t="s">
        <v>1342</v>
      </c>
      <c r="D1703" s="8">
        <v>1000</v>
      </c>
      <c r="E1703" s="8"/>
      <c r="F1703" s="8">
        <f t="shared" si="26"/>
        <v>29710</v>
      </c>
      <c r="G1703" s="26"/>
    </row>
    <row r="1704" spans="1:7" x14ac:dyDescent="0.25">
      <c r="A1704" s="61">
        <v>42791</v>
      </c>
      <c r="B1704" s="26" t="s">
        <v>1344</v>
      </c>
      <c r="C1704" s="87" t="s">
        <v>41</v>
      </c>
      <c r="D1704" s="8">
        <v>19000</v>
      </c>
      <c r="E1704" s="8"/>
      <c r="F1704" s="8">
        <f t="shared" si="26"/>
        <v>10710</v>
      </c>
      <c r="G1704" s="26"/>
    </row>
    <row r="1705" spans="1:7" x14ac:dyDescent="0.25">
      <c r="A1705" s="61">
        <v>42791</v>
      </c>
      <c r="B1705" s="29" t="s">
        <v>1194</v>
      </c>
      <c r="C1705" s="89" t="s">
        <v>990</v>
      </c>
      <c r="D1705" s="14">
        <v>100</v>
      </c>
      <c r="E1705" s="8"/>
      <c r="F1705" s="8">
        <f t="shared" si="26"/>
        <v>10610</v>
      </c>
      <c r="G1705" s="26"/>
    </row>
    <row r="1706" spans="1:7" ht="30" x14ac:dyDescent="0.25">
      <c r="A1706" s="61">
        <v>42791</v>
      </c>
      <c r="B1706" s="26" t="s">
        <v>59</v>
      </c>
      <c r="C1706" s="87" t="s">
        <v>1348</v>
      </c>
      <c r="D1706" s="8">
        <v>100</v>
      </c>
      <c r="E1706" s="8"/>
      <c r="F1706" s="8">
        <f t="shared" si="26"/>
        <v>10510</v>
      </c>
      <c r="G1706" s="26"/>
    </row>
    <row r="1707" spans="1:7" x14ac:dyDescent="0.25">
      <c r="A1707" s="61">
        <v>42791</v>
      </c>
      <c r="B1707" s="29" t="s">
        <v>1346</v>
      </c>
      <c r="C1707" s="89" t="s">
        <v>1347</v>
      </c>
      <c r="D1707" s="14">
        <v>3150</v>
      </c>
      <c r="E1707" s="8"/>
      <c r="F1707" s="8">
        <f t="shared" si="26"/>
        <v>7360</v>
      </c>
      <c r="G1707" s="26"/>
    </row>
    <row r="1708" spans="1:7" x14ac:dyDescent="0.25">
      <c r="A1708" s="61">
        <v>42793</v>
      </c>
      <c r="B1708" s="462" t="s">
        <v>1298</v>
      </c>
      <c r="C1708" s="463"/>
      <c r="D1708" s="71"/>
      <c r="E1708" s="58">
        <v>50000</v>
      </c>
      <c r="F1708" s="8">
        <f t="shared" si="26"/>
        <v>57360</v>
      </c>
      <c r="G1708" s="39"/>
    </row>
    <row r="1709" spans="1:7" x14ac:dyDescent="0.25">
      <c r="A1709" s="61">
        <v>42793</v>
      </c>
      <c r="B1709" s="26" t="s">
        <v>4</v>
      </c>
      <c r="C1709" s="87" t="s">
        <v>32</v>
      </c>
      <c r="D1709" s="8">
        <v>500</v>
      </c>
      <c r="E1709" s="8"/>
      <c r="F1709" s="8">
        <f t="shared" si="26"/>
        <v>56860</v>
      </c>
      <c r="G1709" s="26"/>
    </row>
    <row r="1710" spans="1:7" x14ac:dyDescent="0.25">
      <c r="A1710" s="61">
        <v>42793</v>
      </c>
      <c r="B1710" s="29" t="s">
        <v>121</v>
      </c>
      <c r="C1710" s="89" t="s">
        <v>32</v>
      </c>
      <c r="D1710" s="14">
        <v>20000</v>
      </c>
      <c r="E1710" s="8"/>
      <c r="F1710" s="8">
        <f t="shared" si="26"/>
        <v>36860</v>
      </c>
      <c r="G1710" s="26"/>
    </row>
    <row r="1711" spans="1:7" x14ac:dyDescent="0.25">
      <c r="A1711" s="61">
        <v>42793</v>
      </c>
      <c r="B1711" s="26" t="s">
        <v>28</v>
      </c>
      <c r="C1711" s="87" t="s">
        <v>32</v>
      </c>
      <c r="D1711" s="8">
        <v>4000</v>
      </c>
      <c r="E1711" s="8"/>
      <c r="F1711" s="8">
        <f t="shared" si="26"/>
        <v>32860</v>
      </c>
      <c r="G1711" s="26"/>
    </row>
    <row r="1712" spans="1:7" ht="30" x14ac:dyDescent="0.25">
      <c r="A1712" s="61">
        <v>42793</v>
      </c>
      <c r="B1712" s="29" t="s">
        <v>59</v>
      </c>
      <c r="C1712" s="89" t="s">
        <v>1356</v>
      </c>
      <c r="D1712" s="14">
        <v>11500</v>
      </c>
      <c r="E1712" s="8"/>
      <c r="F1712" s="8">
        <f t="shared" si="26"/>
        <v>21360</v>
      </c>
      <c r="G1712" s="26"/>
    </row>
    <row r="1713" spans="1:7" x14ac:dyDescent="0.25">
      <c r="A1713" s="61">
        <v>42793</v>
      </c>
      <c r="B1713" s="26" t="s">
        <v>248</v>
      </c>
      <c r="C1713" s="87" t="s">
        <v>1349</v>
      </c>
      <c r="D1713" s="8">
        <v>180</v>
      </c>
      <c r="E1713" s="8"/>
      <c r="F1713" s="8">
        <f t="shared" si="26"/>
        <v>21180</v>
      </c>
      <c r="G1713" s="26"/>
    </row>
    <row r="1714" spans="1:7" x14ac:dyDescent="0.25">
      <c r="A1714" s="61">
        <v>42794</v>
      </c>
      <c r="B1714" s="26" t="s">
        <v>19</v>
      </c>
      <c r="C1714" s="87" t="s">
        <v>32</v>
      </c>
      <c r="D1714" s="8">
        <v>500</v>
      </c>
      <c r="E1714" s="8"/>
      <c r="F1714" s="8">
        <f t="shared" si="26"/>
        <v>20680</v>
      </c>
      <c r="G1714" s="26"/>
    </row>
    <row r="1715" spans="1:7" x14ac:dyDescent="0.25">
      <c r="A1715" s="61">
        <v>42794</v>
      </c>
      <c r="B1715" s="26" t="s">
        <v>117</v>
      </c>
      <c r="C1715" s="87" t="s">
        <v>1351</v>
      </c>
      <c r="D1715" s="8">
        <v>100</v>
      </c>
      <c r="E1715" s="8"/>
      <c r="F1715" s="8">
        <f t="shared" si="26"/>
        <v>20580</v>
      </c>
      <c r="G1715" s="26"/>
    </row>
    <row r="1716" spans="1:7" x14ac:dyDescent="0.25">
      <c r="A1716" s="61">
        <v>42794</v>
      </c>
      <c r="B1716" s="26" t="s">
        <v>121</v>
      </c>
      <c r="C1716" s="87" t="s">
        <v>32</v>
      </c>
      <c r="D1716" s="8">
        <v>5000</v>
      </c>
      <c r="E1716" s="8"/>
      <c r="F1716" s="8">
        <f t="shared" si="26"/>
        <v>15580</v>
      </c>
      <c r="G1716" s="26"/>
    </row>
    <row r="1717" spans="1:7" ht="90" x14ac:dyDescent="0.25">
      <c r="A1717" s="61">
        <v>42794</v>
      </c>
      <c r="B1717" s="29" t="s">
        <v>26</v>
      </c>
      <c r="C1717" s="89" t="s">
        <v>1379</v>
      </c>
      <c r="D1717" s="14">
        <v>1100</v>
      </c>
      <c r="E1717" s="8"/>
      <c r="F1717" s="8">
        <f t="shared" si="26"/>
        <v>14480</v>
      </c>
      <c r="G1717" s="26"/>
    </row>
    <row r="1718" spans="1:7" x14ac:dyDescent="0.25">
      <c r="A1718" s="61">
        <v>42794</v>
      </c>
      <c r="B1718" s="462" t="s">
        <v>1298</v>
      </c>
      <c r="C1718" s="463"/>
      <c r="D1718" s="71"/>
      <c r="E1718" s="58">
        <v>50000</v>
      </c>
      <c r="F1718" s="8">
        <f t="shared" si="26"/>
        <v>64480</v>
      </c>
      <c r="G1718" s="26"/>
    </row>
    <row r="1719" spans="1:7" x14ac:dyDescent="0.25">
      <c r="A1719" s="61">
        <v>42794</v>
      </c>
      <c r="B1719" s="26" t="s">
        <v>1131</v>
      </c>
      <c r="C1719" s="87" t="s">
        <v>1352</v>
      </c>
      <c r="D1719" s="8">
        <v>15600</v>
      </c>
      <c r="E1719" s="8"/>
      <c r="F1719" s="8">
        <f t="shared" si="26"/>
        <v>48880</v>
      </c>
      <c r="G1719" s="26"/>
    </row>
    <row r="1720" spans="1:7" x14ac:dyDescent="0.25">
      <c r="A1720" s="61">
        <v>42794</v>
      </c>
      <c r="B1720" s="26" t="s">
        <v>1357</v>
      </c>
      <c r="C1720" s="87" t="s">
        <v>1358</v>
      </c>
      <c r="D1720" s="8">
        <v>2000</v>
      </c>
      <c r="E1720" s="8"/>
      <c r="F1720" s="8">
        <f t="shared" si="26"/>
        <v>46880</v>
      </c>
      <c r="G1720" s="26"/>
    </row>
    <row r="1721" spans="1:7" x14ac:dyDescent="0.25">
      <c r="A1721" s="61">
        <v>42794</v>
      </c>
      <c r="B1721" s="26" t="s">
        <v>121</v>
      </c>
      <c r="C1721" s="87" t="s">
        <v>32</v>
      </c>
      <c r="D1721" s="8">
        <v>5000</v>
      </c>
      <c r="E1721" s="8"/>
      <c r="F1721" s="8">
        <f t="shared" si="26"/>
        <v>41880</v>
      </c>
      <c r="G1721" s="26"/>
    </row>
    <row r="1722" spans="1:7" x14ac:dyDescent="0.25">
      <c r="A1722" s="61">
        <v>42794</v>
      </c>
      <c r="B1722" s="197" t="s">
        <v>59</v>
      </c>
      <c r="C1722" s="198" t="s">
        <v>1353</v>
      </c>
      <c r="D1722" s="75">
        <v>1400</v>
      </c>
      <c r="E1722" s="8"/>
      <c r="F1722" s="8">
        <f t="shared" si="26"/>
        <v>40480</v>
      </c>
      <c r="G1722" s="26"/>
    </row>
    <row r="1723" spans="1:7" x14ac:dyDescent="0.25">
      <c r="A1723" s="61">
        <v>42794</v>
      </c>
      <c r="B1723" s="26" t="s">
        <v>26</v>
      </c>
      <c r="C1723" s="87" t="s">
        <v>1355</v>
      </c>
      <c r="D1723" s="8">
        <v>400</v>
      </c>
      <c r="E1723" s="8"/>
      <c r="F1723" s="8">
        <f t="shared" si="26"/>
        <v>40080</v>
      </c>
      <c r="G1723" s="26"/>
    </row>
    <row r="1724" spans="1:7" x14ac:dyDescent="0.25">
      <c r="A1724" s="61">
        <v>42794</v>
      </c>
      <c r="B1724" s="26" t="s">
        <v>17</v>
      </c>
      <c r="C1724" s="87" t="s">
        <v>32</v>
      </c>
      <c r="D1724" s="8">
        <v>3000</v>
      </c>
      <c r="E1724" s="8"/>
      <c r="F1724" s="8">
        <f t="shared" si="26"/>
        <v>37080</v>
      </c>
      <c r="G1724" s="26"/>
    </row>
    <row r="1725" spans="1:7" x14ac:dyDescent="0.25">
      <c r="A1725" s="204">
        <v>42794</v>
      </c>
      <c r="B1725" s="205" t="s">
        <v>17</v>
      </c>
      <c r="C1725" s="206" t="s">
        <v>1361</v>
      </c>
      <c r="D1725" s="92">
        <v>3000</v>
      </c>
      <c r="E1725" s="91"/>
      <c r="F1725" s="8">
        <f t="shared" si="26"/>
        <v>34080</v>
      </c>
      <c r="G1725" s="199"/>
    </row>
    <row r="1726" spans="1:7" x14ac:dyDescent="0.25">
      <c r="A1726" s="204">
        <v>42794</v>
      </c>
      <c r="B1726" s="205" t="s">
        <v>59</v>
      </c>
      <c r="C1726" s="206" t="s">
        <v>1369</v>
      </c>
      <c r="D1726" s="92">
        <v>50</v>
      </c>
      <c r="E1726" s="91"/>
      <c r="F1726" s="8">
        <f t="shared" si="26"/>
        <v>34030</v>
      </c>
      <c r="G1726" s="199"/>
    </row>
    <row r="1727" spans="1:7" x14ac:dyDescent="0.25">
      <c r="A1727" s="204">
        <v>42794</v>
      </c>
      <c r="B1727" s="26" t="s">
        <v>17</v>
      </c>
      <c r="C1727" s="87" t="s">
        <v>32</v>
      </c>
      <c r="D1727" s="8">
        <v>2000</v>
      </c>
      <c r="E1727" s="8"/>
      <c r="F1727" s="8">
        <f t="shared" si="26"/>
        <v>32030</v>
      </c>
      <c r="G1727" s="26"/>
    </row>
    <row r="1728" spans="1:7" x14ac:dyDescent="0.25">
      <c r="A1728" s="204">
        <v>42795</v>
      </c>
      <c r="B1728" s="26" t="s">
        <v>4</v>
      </c>
      <c r="C1728" s="87" t="s">
        <v>32</v>
      </c>
      <c r="D1728" s="8">
        <v>3000</v>
      </c>
      <c r="E1728" s="8"/>
      <c r="F1728" s="8">
        <f t="shared" si="26"/>
        <v>29030</v>
      </c>
      <c r="G1728" s="26"/>
    </row>
    <row r="1729" spans="1:10" s="20" customFormat="1" x14ac:dyDescent="0.25">
      <c r="A1729" s="204">
        <v>42795</v>
      </c>
      <c r="B1729" s="29" t="s">
        <v>121</v>
      </c>
      <c r="C1729" s="89" t="s">
        <v>32</v>
      </c>
      <c r="D1729" s="14">
        <v>15000</v>
      </c>
      <c r="E1729" s="14"/>
      <c r="F1729" s="8">
        <f t="shared" si="26"/>
        <v>14030</v>
      </c>
      <c r="G1729" s="29"/>
      <c r="H1729" s="24"/>
      <c r="I1729" s="24"/>
      <c r="J1729" s="24"/>
    </row>
    <row r="1730" spans="1:10" x14ac:dyDescent="0.25">
      <c r="A1730" s="204">
        <v>42795</v>
      </c>
      <c r="B1730" s="197" t="s">
        <v>105</v>
      </c>
      <c r="C1730" s="198" t="s">
        <v>32</v>
      </c>
      <c r="D1730" s="75">
        <v>1000</v>
      </c>
      <c r="E1730" s="8"/>
      <c r="F1730" s="8">
        <f t="shared" si="26"/>
        <v>13030</v>
      </c>
      <c r="G1730" s="26"/>
    </row>
    <row r="1731" spans="1:10" x14ac:dyDescent="0.25">
      <c r="A1731" s="204">
        <v>42795</v>
      </c>
      <c r="B1731" s="29" t="s">
        <v>105</v>
      </c>
      <c r="C1731" s="87" t="s">
        <v>32</v>
      </c>
      <c r="D1731" s="8">
        <v>2300</v>
      </c>
      <c r="E1731" s="8"/>
      <c r="F1731" s="8">
        <f t="shared" ref="F1731:F1794" si="27">F1730-D1731+E1731</f>
        <v>10730</v>
      </c>
      <c r="G1731" s="26"/>
    </row>
    <row r="1732" spans="1:10" x14ac:dyDescent="0.25">
      <c r="A1732" s="204">
        <v>42795</v>
      </c>
      <c r="B1732" s="26" t="s">
        <v>61</v>
      </c>
      <c r="C1732" s="87" t="s">
        <v>32</v>
      </c>
      <c r="D1732" s="8">
        <v>3000</v>
      </c>
      <c r="E1732" s="8"/>
      <c r="F1732" s="8">
        <f t="shared" si="27"/>
        <v>7730</v>
      </c>
      <c r="G1732" s="26"/>
    </row>
    <row r="1733" spans="1:10" x14ac:dyDescent="0.25">
      <c r="A1733" s="204">
        <v>42795</v>
      </c>
      <c r="B1733" s="26" t="s">
        <v>26</v>
      </c>
      <c r="C1733" s="87" t="s">
        <v>1359</v>
      </c>
      <c r="D1733" s="8">
        <v>190</v>
      </c>
      <c r="E1733" s="8"/>
      <c r="F1733" s="8">
        <f t="shared" si="27"/>
        <v>7540</v>
      </c>
      <c r="G1733" s="26"/>
    </row>
    <row r="1734" spans="1:10" x14ac:dyDescent="0.25">
      <c r="A1734" s="204">
        <v>42795</v>
      </c>
      <c r="B1734" s="26" t="s">
        <v>248</v>
      </c>
      <c r="C1734" s="87" t="s">
        <v>1360</v>
      </c>
      <c r="D1734" s="8">
        <v>500</v>
      </c>
      <c r="E1734" s="8"/>
      <c r="F1734" s="8">
        <f t="shared" si="27"/>
        <v>7040</v>
      </c>
      <c r="G1734" s="26"/>
    </row>
    <row r="1735" spans="1:10" x14ac:dyDescent="0.25">
      <c r="A1735" s="204">
        <v>42795</v>
      </c>
      <c r="B1735" s="26" t="s">
        <v>857</v>
      </c>
      <c r="C1735" s="87" t="s">
        <v>32</v>
      </c>
      <c r="D1735" s="8">
        <v>2000</v>
      </c>
      <c r="E1735" s="8"/>
      <c r="F1735" s="8">
        <f t="shared" si="27"/>
        <v>5040</v>
      </c>
      <c r="G1735" s="26"/>
    </row>
    <row r="1736" spans="1:10" x14ac:dyDescent="0.25">
      <c r="A1736" s="204">
        <v>42795</v>
      </c>
      <c r="B1736" s="26" t="s">
        <v>59</v>
      </c>
      <c r="C1736" s="87" t="s">
        <v>1370</v>
      </c>
      <c r="D1736" s="8">
        <v>160</v>
      </c>
      <c r="E1736" s="8"/>
      <c r="F1736" s="8">
        <f t="shared" si="27"/>
        <v>4880</v>
      </c>
      <c r="G1736" s="26"/>
    </row>
    <row r="1737" spans="1:10" ht="30" x14ac:dyDescent="0.25">
      <c r="A1737" s="204">
        <v>42795</v>
      </c>
      <c r="B1737" s="199" t="s">
        <v>1362</v>
      </c>
      <c r="C1737" s="87" t="s">
        <v>1363</v>
      </c>
      <c r="D1737" s="91">
        <v>1000</v>
      </c>
      <c r="E1737" s="8"/>
      <c r="F1737" s="8">
        <f t="shared" si="27"/>
        <v>3880</v>
      </c>
      <c r="G1737" s="199"/>
    </row>
    <row r="1738" spans="1:10" ht="30" x14ac:dyDescent="0.25">
      <c r="A1738" s="204">
        <v>42795</v>
      </c>
      <c r="B1738" s="199" t="s">
        <v>105</v>
      </c>
      <c r="C1738" s="87" t="s">
        <v>1364</v>
      </c>
      <c r="D1738" s="91">
        <v>1880</v>
      </c>
      <c r="E1738" s="8"/>
      <c r="F1738" s="8">
        <f t="shared" si="27"/>
        <v>2000</v>
      </c>
      <c r="G1738" s="199"/>
    </row>
    <row r="1739" spans="1:10" x14ac:dyDescent="0.25">
      <c r="A1739" s="204">
        <v>42795</v>
      </c>
      <c r="B1739" s="26" t="s">
        <v>694</v>
      </c>
      <c r="C1739" s="87" t="s">
        <v>1365</v>
      </c>
      <c r="D1739" s="8">
        <v>900</v>
      </c>
      <c r="E1739" s="8"/>
      <c r="F1739" s="8">
        <f t="shared" si="27"/>
        <v>1100</v>
      </c>
      <c r="G1739" s="26"/>
    </row>
    <row r="1740" spans="1:10" ht="30" x14ac:dyDescent="0.25">
      <c r="A1740" s="204">
        <v>42796</v>
      </c>
      <c r="B1740" s="26" t="s">
        <v>19</v>
      </c>
      <c r="C1740" s="87" t="s">
        <v>1366</v>
      </c>
      <c r="D1740" s="8">
        <v>450</v>
      </c>
      <c r="E1740" s="8"/>
      <c r="F1740" s="8">
        <f t="shared" si="27"/>
        <v>650</v>
      </c>
      <c r="G1740" s="26"/>
    </row>
    <row r="1741" spans="1:10" x14ac:dyDescent="0.25">
      <c r="A1741" s="204">
        <v>42796</v>
      </c>
      <c r="B1741" s="26" t="s">
        <v>19</v>
      </c>
      <c r="C1741" s="87" t="s">
        <v>32</v>
      </c>
      <c r="D1741" s="8">
        <v>550</v>
      </c>
      <c r="E1741" s="8"/>
      <c r="F1741" s="8">
        <f t="shared" si="27"/>
        <v>100</v>
      </c>
      <c r="G1741" s="26"/>
    </row>
    <row r="1742" spans="1:10" x14ac:dyDescent="0.25">
      <c r="A1742" s="204">
        <v>42796</v>
      </c>
      <c r="B1742" s="462" t="s">
        <v>1298</v>
      </c>
      <c r="C1742" s="463"/>
      <c r="D1742" s="71"/>
      <c r="E1742" s="58">
        <v>40000</v>
      </c>
      <c r="F1742" s="8">
        <f t="shared" si="27"/>
        <v>40100</v>
      </c>
      <c r="G1742" s="26"/>
    </row>
    <row r="1743" spans="1:10" x14ac:dyDescent="0.25">
      <c r="A1743" s="204">
        <v>42796</v>
      </c>
      <c r="B1743" s="26" t="s">
        <v>165</v>
      </c>
      <c r="C1743" s="87" t="s">
        <v>1367</v>
      </c>
      <c r="D1743" s="8">
        <v>15000</v>
      </c>
      <c r="E1743" s="8"/>
      <c r="F1743" s="8">
        <f t="shared" si="27"/>
        <v>25100</v>
      </c>
      <c r="G1743" s="26"/>
    </row>
    <row r="1744" spans="1:10" x14ac:dyDescent="0.25">
      <c r="A1744" s="204">
        <v>42796</v>
      </c>
      <c r="B1744" s="29" t="s">
        <v>59</v>
      </c>
      <c r="C1744" s="89" t="s">
        <v>1368</v>
      </c>
      <c r="D1744" s="14">
        <v>24835</v>
      </c>
      <c r="E1744" s="14"/>
      <c r="F1744" s="8">
        <f t="shared" si="27"/>
        <v>265</v>
      </c>
      <c r="G1744" s="26"/>
    </row>
    <row r="1745" spans="1:7" x14ac:dyDescent="0.25">
      <c r="A1745" s="204">
        <v>42796</v>
      </c>
      <c r="B1745" s="26" t="s">
        <v>1372</v>
      </c>
      <c r="C1745" s="87" t="s">
        <v>1373</v>
      </c>
      <c r="D1745" s="8">
        <v>350</v>
      </c>
      <c r="E1745" s="8"/>
      <c r="F1745" s="8">
        <f t="shared" si="27"/>
        <v>-85</v>
      </c>
      <c r="G1745" s="26"/>
    </row>
    <row r="1746" spans="1:7" x14ac:dyDescent="0.25">
      <c r="A1746" s="204">
        <v>42796</v>
      </c>
      <c r="B1746" s="462" t="s">
        <v>1298</v>
      </c>
      <c r="C1746" s="463"/>
      <c r="D1746" s="71"/>
      <c r="E1746" s="58">
        <v>50000</v>
      </c>
      <c r="F1746" s="8">
        <f t="shared" si="27"/>
        <v>49915</v>
      </c>
      <c r="G1746" s="26"/>
    </row>
    <row r="1747" spans="1:7" x14ac:dyDescent="0.25">
      <c r="A1747" s="204">
        <v>42797</v>
      </c>
      <c r="B1747" s="26" t="s">
        <v>17</v>
      </c>
      <c r="C1747" s="87" t="s">
        <v>32</v>
      </c>
      <c r="D1747" s="8">
        <v>8000</v>
      </c>
      <c r="E1747" s="8"/>
      <c r="F1747" s="8">
        <f t="shared" si="27"/>
        <v>41915</v>
      </c>
      <c r="G1747" s="26"/>
    </row>
    <row r="1748" spans="1:7" ht="45" x14ac:dyDescent="0.25">
      <c r="A1748" s="204">
        <v>42797</v>
      </c>
      <c r="B1748" s="26" t="s">
        <v>59</v>
      </c>
      <c r="C1748" s="87" t="s">
        <v>1383</v>
      </c>
      <c r="D1748" s="8">
        <v>6565</v>
      </c>
      <c r="E1748" s="8"/>
      <c r="F1748" s="8">
        <f t="shared" si="27"/>
        <v>35350</v>
      </c>
      <c r="G1748" s="26"/>
    </row>
    <row r="1749" spans="1:7" x14ac:dyDescent="0.25">
      <c r="A1749" s="204">
        <v>42797</v>
      </c>
      <c r="B1749" s="26" t="s">
        <v>1374</v>
      </c>
      <c r="C1749" s="87" t="s">
        <v>1375</v>
      </c>
      <c r="D1749" s="8">
        <v>14000</v>
      </c>
      <c r="E1749" s="8"/>
      <c r="F1749" s="8">
        <f t="shared" si="27"/>
        <v>21350</v>
      </c>
      <c r="G1749" s="26"/>
    </row>
    <row r="1750" spans="1:7" x14ac:dyDescent="0.25">
      <c r="A1750" s="204">
        <v>42797</v>
      </c>
      <c r="B1750" s="26" t="s">
        <v>1376</v>
      </c>
      <c r="C1750" s="87" t="s">
        <v>41</v>
      </c>
      <c r="D1750" s="8">
        <v>2000</v>
      </c>
      <c r="E1750" s="8"/>
      <c r="F1750" s="8">
        <f t="shared" si="27"/>
        <v>19350</v>
      </c>
      <c r="G1750" s="26"/>
    </row>
    <row r="1751" spans="1:7" x14ac:dyDescent="0.25">
      <c r="A1751" s="204">
        <v>42797</v>
      </c>
      <c r="B1751" s="26" t="s">
        <v>28</v>
      </c>
      <c r="C1751" s="87" t="s">
        <v>32</v>
      </c>
      <c r="D1751" s="8">
        <v>2500</v>
      </c>
      <c r="E1751" s="8"/>
      <c r="F1751" s="8">
        <f t="shared" si="27"/>
        <v>16850</v>
      </c>
      <c r="G1751" s="26"/>
    </row>
    <row r="1752" spans="1:7" ht="30" x14ac:dyDescent="0.25">
      <c r="A1752" s="204">
        <v>42797</v>
      </c>
      <c r="B1752" s="199" t="s">
        <v>542</v>
      </c>
      <c r="C1752" s="207" t="s">
        <v>1377</v>
      </c>
      <c r="D1752" s="91">
        <v>6000</v>
      </c>
      <c r="E1752" s="91"/>
      <c r="F1752" s="8">
        <f t="shared" si="27"/>
        <v>10850</v>
      </c>
      <c r="G1752" s="199"/>
    </row>
    <row r="1753" spans="1:7" ht="45" x14ac:dyDescent="0.25">
      <c r="A1753" s="204">
        <v>42797</v>
      </c>
      <c r="B1753" s="205" t="s">
        <v>26</v>
      </c>
      <c r="C1753" s="206" t="s">
        <v>1397</v>
      </c>
      <c r="D1753" s="92">
        <v>365</v>
      </c>
      <c r="E1753" s="91"/>
      <c r="F1753" s="8">
        <f t="shared" si="27"/>
        <v>10485</v>
      </c>
      <c r="G1753" s="199"/>
    </row>
    <row r="1754" spans="1:7" x14ac:dyDescent="0.25">
      <c r="A1754" s="204">
        <v>42797</v>
      </c>
      <c r="B1754" s="26" t="s">
        <v>26</v>
      </c>
      <c r="C1754" s="87" t="s">
        <v>1378</v>
      </c>
      <c r="D1754" s="8">
        <v>90</v>
      </c>
      <c r="E1754" s="8"/>
      <c r="F1754" s="8">
        <f t="shared" si="27"/>
        <v>10395</v>
      </c>
      <c r="G1754" s="26"/>
    </row>
    <row r="1755" spans="1:7" x14ac:dyDescent="0.25">
      <c r="A1755" s="204">
        <v>42797</v>
      </c>
      <c r="B1755" s="29" t="s">
        <v>248</v>
      </c>
      <c r="C1755" s="89" t="s">
        <v>1407</v>
      </c>
      <c r="D1755" s="14">
        <v>1675</v>
      </c>
      <c r="E1755" s="8"/>
      <c r="F1755" s="8">
        <f t="shared" si="27"/>
        <v>8720</v>
      </c>
      <c r="G1755" s="26"/>
    </row>
    <row r="1756" spans="1:7" x14ac:dyDescent="0.25">
      <c r="A1756" s="204">
        <v>42798</v>
      </c>
      <c r="B1756" s="462" t="s">
        <v>1298</v>
      </c>
      <c r="C1756" s="463"/>
      <c r="D1756" s="71"/>
      <c r="E1756" s="58">
        <v>25000</v>
      </c>
      <c r="F1756" s="8">
        <f t="shared" si="27"/>
        <v>33720</v>
      </c>
      <c r="G1756" s="26"/>
    </row>
    <row r="1757" spans="1:7" x14ac:dyDescent="0.25">
      <c r="A1757" s="204">
        <v>42798</v>
      </c>
      <c r="B1757" s="26" t="s">
        <v>446</v>
      </c>
      <c r="C1757" s="87" t="s">
        <v>32</v>
      </c>
      <c r="D1757" s="8">
        <v>7000</v>
      </c>
      <c r="E1757" s="8"/>
      <c r="F1757" s="8">
        <f t="shared" si="27"/>
        <v>26720</v>
      </c>
      <c r="G1757" s="26"/>
    </row>
    <row r="1758" spans="1:7" x14ac:dyDescent="0.25">
      <c r="A1758" s="204">
        <v>42798</v>
      </c>
      <c r="B1758" s="26" t="s">
        <v>1381</v>
      </c>
      <c r="C1758" s="87" t="s">
        <v>1382</v>
      </c>
      <c r="D1758" s="8">
        <v>2400</v>
      </c>
      <c r="E1758" s="8"/>
      <c r="F1758" s="8">
        <f t="shared" si="27"/>
        <v>24320</v>
      </c>
      <c r="G1758" s="26"/>
    </row>
    <row r="1759" spans="1:7" x14ac:dyDescent="0.25">
      <c r="A1759" s="204">
        <v>42798</v>
      </c>
      <c r="B1759" s="26" t="s">
        <v>1344</v>
      </c>
      <c r="C1759" s="87" t="s">
        <v>41</v>
      </c>
      <c r="D1759" s="8">
        <v>16000</v>
      </c>
      <c r="E1759" s="8"/>
      <c r="F1759" s="8">
        <f t="shared" si="27"/>
        <v>8320</v>
      </c>
      <c r="G1759" s="26"/>
    </row>
    <row r="1760" spans="1:7" x14ac:dyDescent="0.25">
      <c r="A1760" s="204">
        <v>42798</v>
      </c>
      <c r="B1760" s="29" t="s">
        <v>59</v>
      </c>
      <c r="C1760" s="89" t="s">
        <v>1410</v>
      </c>
      <c r="D1760" s="14">
        <v>8610</v>
      </c>
      <c r="E1760" s="8"/>
      <c r="F1760" s="8">
        <f t="shared" si="27"/>
        <v>-290</v>
      </c>
      <c r="G1760" s="26"/>
    </row>
    <row r="1761" spans="1:7" x14ac:dyDescent="0.25">
      <c r="A1761" s="204">
        <v>42798</v>
      </c>
      <c r="B1761" s="26" t="s">
        <v>28</v>
      </c>
      <c r="C1761" s="87" t="s">
        <v>32</v>
      </c>
      <c r="D1761" s="8">
        <v>1500</v>
      </c>
      <c r="E1761" s="8"/>
      <c r="F1761" s="8">
        <f t="shared" si="27"/>
        <v>-1790</v>
      </c>
      <c r="G1761" s="26"/>
    </row>
    <row r="1762" spans="1:7" ht="30" x14ac:dyDescent="0.25">
      <c r="A1762" s="204">
        <v>42798</v>
      </c>
      <c r="B1762" s="26" t="s">
        <v>248</v>
      </c>
      <c r="C1762" s="87" t="s">
        <v>1384</v>
      </c>
      <c r="D1762" s="8">
        <v>120</v>
      </c>
      <c r="E1762" s="8"/>
      <c r="F1762" s="8">
        <f t="shared" si="27"/>
        <v>-1910</v>
      </c>
      <c r="G1762" s="26"/>
    </row>
    <row r="1763" spans="1:7" x14ac:dyDescent="0.25">
      <c r="A1763" s="204">
        <v>42798</v>
      </c>
      <c r="B1763" s="29" t="s">
        <v>125</v>
      </c>
      <c r="C1763" s="89" t="s">
        <v>1386</v>
      </c>
      <c r="D1763" s="14">
        <v>5150</v>
      </c>
      <c r="E1763" s="8"/>
      <c r="F1763" s="8">
        <f t="shared" si="27"/>
        <v>-7060</v>
      </c>
      <c r="G1763" s="26"/>
    </row>
    <row r="1764" spans="1:7" x14ac:dyDescent="0.25">
      <c r="A1764" s="204">
        <v>42798</v>
      </c>
      <c r="B1764" s="29" t="s">
        <v>1196</v>
      </c>
      <c r="C1764" s="89" t="s">
        <v>1393</v>
      </c>
      <c r="D1764" s="14">
        <v>2400</v>
      </c>
      <c r="E1764" s="8"/>
      <c r="F1764" s="8">
        <f t="shared" si="27"/>
        <v>-9460</v>
      </c>
      <c r="G1764" s="26"/>
    </row>
    <row r="1765" spans="1:7" x14ac:dyDescent="0.25">
      <c r="A1765" s="204">
        <v>42798</v>
      </c>
      <c r="B1765" s="29" t="s">
        <v>109</v>
      </c>
      <c r="C1765" s="89" t="s">
        <v>1389</v>
      </c>
      <c r="D1765" s="14">
        <v>4150</v>
      </c>
      <c r="E1765" s="8"/>
      <c r="F1765" s="8">
        <f t="shared" si="27"/>
        <v>-13610</v>
      </c>
      <c r="G1765" s="26"/>
    </row>
    <row r="1766" spans="1:7" x14ac:dyDescent="0.25">
      <c r="A1766" s="204"/>
      <c r="B1766" s="462" t="s">
        <v>1298</v>
      </c>
      <c r="C1766" s="463"/>
      <c r="D1766" s="71"/>
      <c r="E1766" s="58">
        <v>50000</v>
      </c>
      <c r="F1766" s="8">
        <f t="shared" si="27"/>
        <v>36390</v>
      </c>
      <c r="G1766" s="26"/>
    </row>
    <row r="1767" spans="1:7" x14ac:dyDescent="0.25">
      <c r="A1767" s="204">
        <v>42800</v>
      </c>
      <c r="B1767" s="26" t="s">
        <v>77</v>
      </c>
      <c r="C1767" s="87" t="s">
        <v>1390</v>
      </c>
      <c r="D1767" s="8">
        <v>100</v>
      </c>
      <c r="E1767" s="8"/>
      <c r="F1767" s="8">
        <f t="shared" si="27"/>
        <v>36290</v>
      </c>
      <c r="G1767" s="26"/>
    </row>
    <row r="1768" spans="1:7" x14ac:dyDescent="0.25">
      <c r="A1768" s="204">
        <v>42800</v>
      </c>
      <c r="B1768" s="29" t="s">
        <v>59</v>
      </c>
      <c r="C1768" s="89" t="s">
        <v>1411</v>
      </c>
      <c r="D1768" s="14">
        <v>8750</v>
      </c>
      <c r="E1768" s="8"/>
      <c r="F1768" s="8">
        <f t="shared" si="27"/>
        <v>27540</v>
      </c>
      <c r="G1768" s="26"/>
    </row>
    <row r="1769" spans="1:7" x14ac:dyDescent="0.25">
      <c r="A1769" s="204">
        <v>42800</v>
      </c>
      <c r="B1769" s="29" t="s">
        <v>28</v>
      </c>
      <c r="C1769" s="89" t="s">
        <v>32</v>
      </c>
      <c r="D1769" s="14">
        <v>4000</v>
      </c>
      <c r="E1769" s="8"/>
      <c r="F1769" s="8">
        <f t="shared" si="27"/>
        <v>23540</v>
      </c>
      <c r="G1769" s="26"/>
    </row>
    <row r="1770" spans="1:7" x14ac:dyDescent="0.25">
      <c r="A1770" s="204">
        <v>42801</v>
      </c>
      <c r="B1770" s="26" t="s">
        <v>17</v>
      </c>
      <c r="C1770" s="87" t="s">
        <v>32</v>
      </c>
      <c r="D1770" s="8">
        <v>500</v>
      </c>
      <c r="E1770" s="8"/>
      <c r="F1770" s="8">
        <f t="shared" si="27"/>
        <v>23040</v>
      </c>
      <c r="G1770" s="26"/>
    </row>
    <row r="1771" spans="1:7" x14ac:dyDescent="0.25">
      <c r="A1771" s="204">
        <v>42801</v>
      </c>
      <c r="B1771" s="26" t="s">
        <v>161</v>
      </c>
      <c r="C1771" s="87" t="s">
        <v>1391</v>
      </c>
      <c r="D1771" s="8">
        <v>3000</v>
      </c>
      <c r="E1771" s="8"/>
      <c r="F1771" s="8">
        <f t="shared" si="27"/>
        <v>20040</v>
      </c>
      <c r="G1771" s="26"/>
    </row>
    <row r="1772" spans="1:7" x14ac:dyDescent="0.25">
      <c r="A1772" s="204">
        <v>42801</v>
      </c>
      <c r="B1772" s="26" t="s">
        <v>121</v>
      </c>
      <c r="C1772" s="87" t="s">
        <v>1392</v>
      </c>
      <c r="D1772" s="8">
        <v>3000</v>
      </c>
      <c r="E1772" s="8"/>
      <c r="F1772" s="8">
        <f t="shared" si="27"/>
        <v>17040</v>
      </c>
      <c r="G1772" s="26"/>
    </row>
    <row r="1773" spans="1:7" x14ac:dyDescent="0.25">
      <c r="A1773" s="204">
        <v>42801</v>
      </c>
      <c r="B1773" s="26" t="s">
        <v>1331</v>
      </c>
      <c r="C1773" s="87" t="s">
        <v>32</v>
      </c>
      <c r="D1773" s="8">
        <v>1500</v>
      </c>
      <c r="E1773" s="8"/>
      <c r="F1773" s="8">
        <f t="shared" si="27"/>
        <v>15540</v>
      </c>
      <c r="G1773" s="26"/>
    </row>
    <row r="1774" spans="1:7" x14ac:dyDescent="0.25">
      <c r="A1774" s="204">
        <v>42801</v>
      </c>
      <c r="B1774" s="26" t="s">
        <v>59</v>
      </c>
      <c r="C1774" s="87" t="s">
        <v>1412</v>
      </c>
      <c r="D1774" s="8">
        <v>2150</v>
      </c>
      <c r="E1774" s="8"/>
      <c r="F1774" s="8">
        <f t="shared" si="27"/>
        <v>13390</v>
      </c>
      <c r="G1774" s="26"/>
    </row>
    <row r="1775" spans="1:7" x14ac:dyDescent="0.25">
      <c r="A1775" s="204">
        <v>42801</v>
      </c>
      <c r="B1775" s="26" t="s">
        <v>1413</v>
      </c>
      <c r="C1775" s="87" t="s">
        <v>1414</v>
      </c>
      <c r="D1775" s="8">
        <v>1500</v>
      </c>
      <c r="E1775" s="8"/>
      <c r="F1775" s="8">
        <f t="shared" si="27"/>
        <v>11890</v>
      </c>
      <c r="G1775" s="26"/>
    </row>
    <row r="1776" spans="1:7" x14ac:dyDescent="0.25">
      <c r="A1776" s="204">
        <v>42802</v>
      </c>
      <c r="B1776" s="26" t="s">
        <v>1196</v>
      </c>
      <c r="C1776" s="87" t="s">
        <v>1394</v>
      </c>
      <c r="D1776" s="8">
        <v>100</v>
      </c>
      <c r="E1776" s="8"/>
      <c r="F1776" s="8">
        <f t="shared" si="27"/>
        <v>11790</v>
      </c>
      <c r="G1776" s="26"/>
    </row>
    <row r="1777" spans="1:7" x14ac:dyDescent="0.25">
      <c r="A1777" s="204">
        <v>42802</v>
      </c>
      <c r="B1777" s="462" t="s">
        <v>1298</v>
      </c>
      <c r="C1777" s="463"/>
      <c r="D1777" s="71"/>
      <c r="E1777" s="58">
        <v>50000</v>
      </c>
      <c r="F1777" s="8">
        <f t="shared" si="27"/>
        <v>61790</v>
      </c>
      <c r="G1777" s="26"/>
    </row>
    <row r="1778" spans="1:7" x14ac:dyDescent="0.25">
      <c r="A1778" s="204">
        <v>42802</v>
      </c>
      <c r="B1778" s="462" t="s">
        <v>1298</v>
      </c>
      <c r="C1778" s="463"/>
      <c r="D1778" s="71"/>
      <c r="E1778" s="58">
        <v>50000</v>
      </c>
      <c r="F1778" s="8">
        <f t="shared" si="27"/>
        <v>111790</v>
      </c>
      <c r="G1778" s="26"/>
    </row>
    <row r="1779" spans="1:7" x14ac:dyDescent="0.25">
      <c r="A1779" s="204">
        <v>42802</v>
      </c>
      <c r="B1779" s="26" t="s">
        <v>165</v>
      </c>
      <c r="C1779" s="87" t="s">
        <v>32</v>
      </c>
      <c r="D1779" s="8">
        <v>20000</v>
      </c>
      <c r="E1779" s="8"/>
      <c r="F1779" s="8">
        <f t="shared" si="27"/>
        <v>91790</v>
      </c>
      <c r="G1779" s="26"/>
    </row>
    <row r="1780" spans="1:7" x14ac:dyDescent="0.25">
      <c r="A1780" s="204">
        <v>42802</v>
      </c>
      <c r="B1780" s="29" t="s">
        <v>59</v>
      </c>
      <c r="C1780" s="89" t="s">
        <v>1402</v>
      </c>
      <c r="D1780" s="14">
        <v>16030</v>
      </c>
      <c r="E1780" s="8"/>
      <c r="F1780" s="8">
        <f t="shared" si="27"/>
        <v>75760</v>
      </c>
      <c r="G1780" s="26"/>
    </row>
    <row r="1781" spans="1:7" x14ac:dyDescent="0.25">
      <c r="A1781" s="204">
        <v>42802</v>
      </c>
      <c r="B1781" s="29" t="s">
        <v>59</v>
      </c>
      <c r="C1781" s="89" t="s">
        <v>1403</v>
      </c>
      <c r="D1781" s="14">
        <v>2760</v>
      </c>
      <c r="E1781" s="8"/>
      <c r="F1781" s="8">
        <f t="shared" si="27"/>
        <v>73000</v>
      </c>
      <c r="G1781" s="26"/>
    </row>
    <row r="1782" spans="1:7" x14ac:dyDescent="0.25">
      <c r="A1782" s="204">
        <v>42802</v>
      </c>
      <c r="B1782" s="26" t="s">
        <v>28</v>
      </c>
      <c r="C1782" s="87" t="s">
        <v>32</v>
      </c>
      <c r="D1782" s="8">
        <v>2000</v>
      </c>
      <c r="E1782" s="8"/>
      <c r="F1782" s="8">
        <f t="shared" si="27"/>
        <v>71000</v>
      </c>
      <c r="G1782" s="26"/>
    </row>
    <row r="1783" spans="1:7" ht="30" x14ac:dyDescent="0.25">
      <c r="A1783" s="204">
        <v>42802</v>
      </c>
      <c r="B1783" s="26" t="s">
        <v>125</v>
      </c>
      <c r="C1783" s="87" t="s">
        <v>1395</v>
      </c>
      <c r="D1783" s="8">
        <v>2300</v>
      </c>
      <c r="E1783" s="8"/>
      <c r="F1783" s="8">
        <f t="shared" si="27"/>
        <v>68700</v>
      </c>
      <c r="G1783" s="26"/>
    </row>
    <row r="1784" spans="1:7" x14ac:dyDescent="0.25">
      <c r="A1784" s="204">
        <v>42802</v>
      </c>
      <c r="B1784" s="26" t="s">
        <v>1006</v>
      </c>
      <c r="C1784" s="87" t="s">
        <v>1396</v>
      </c>
      <c r="D1784" s="8">
        <v>3000</v>
      </c>
      <c r="E1784" s="8"/>
      <c r="F1784" s="8">
        <f t="shared" si="27"/>
        <v>65700</v>
      </c>
      <c r="G1784" s="26"/>
    </row>
    <row r="1785" spans="1:7" x14ac:dyDescent="0.25">
      <c r="A1785" s="204">
        <v>42802</v>
      </c>
      <c r="B1785" s="26" t="s">
        <v>26</v>
      </c>
      <c r="C1785" s="87" t="s">
        <v>1398</v>
      </c>
      <c r="D1785" s="8">
        <v>630</v>
      </c>
      <c r="E1785" s="8"/>
      <c r="F1785" s="8">
        <f t="shared" si="27"/>
        <v>65070</v>
      </c>
      <c r="G1785" s="26"/>
    </row>
    <row r="1786" spans="1:7" x14ac:dyDescent="0.25">
      <c r="A1786" s="204">
        <v>42802</v>
      </c>
      <c r="B1786" s="26" t="s">
        <v>26</v>
      </c>
      <c r="C1786" s="87" t="s">
        <v>1399</v>
      </c>
      <c r="D1786" s="8">
        <v>90</v>
      </c>
      <c r="E1786" s="8"/>
      <c r="F1786" s="8">
        <f t="shared" si="27"/>
        <v>64980</v>
      </c>
      <c r="G1786" s="26"/>
    </row>
    <row r="1787" spans="1:7" x14ac:dyDescent="0.25">
      <c r="A1787" s="204">
        <v>42802</v>
      </c>
      <c r="B1787" s="26" t="s">
        <v>26</v>
      </c>
      <c r="C1787" s="87" t="s">
        <v>1400</v>
      </c>
      <c r="D1787" s="8">
        <v>2400</v>
      </c>
      <c r="E1787" s="8"/>
      <c r="F1787" s="8">
        <f t="shared" si="27"/>
        <v>62580</v>
      </c>
      <c r="G1787" s="26"/>
    </row>
    <row r="1788" spans="1:7" x14ac:dyDescent="0.25">
      <c r="A1788" s="204">
        <v>42802</v>
      </c>
      <c r="B1788" s="26" t="s">
        <v>1413</v>
      </c>
      <c r="C1788" s="87" t="s">
        <v>1415</v>
      </c>
      <c r="D1788" s="8">
        <v>6500</v>
      </c>
      <c r="E1788" s="8"/>
      <c r="F1788" s="8">
        <f t="shared" si="27"/>
        <v>56080</v>
      </c>
      <c r="G1788" s="26"/>
    </row>
    <row r="1789" spans="1:7" ht="30" x14ac:dyDescent="0.25">
      <c r="A1789" s="204">
        <v>42802</v>
      </c>
      <c r="B1789" s="26" t="s">
        <v>26</v>
      </c>
      <c r="C1789" s="87" t="s">
        <v>1401</v>
      </c>
      <c r="D1789" s="8">
        <v>8550</v>
      </c>
      <c r="E1789" s="8"/>
      <c r="F1789" s="8">
        <f t="shared" si="27"/>
        <v>47530</v>
      </c>
      <c r="G1789" s="26"/>
    </row>
    <row r="1790" spans="1:7" ht="60" x14ac:dyDescent="0.25">
      <c r="A1790" s="204">
        <v>42802</v>
      </c>
      <c r="B1790" s="29" t="s">
        <v>1284</v>
      </c>
      <c r="C1790" s="89" t="s">
        <v>1434</v>
      </c>
      <c r="D1790" s="14">
        <v>550</v>
      </c>
      <c r="E1790" s="8"/>
      <c r="F1790" s="8">
        <f t="shared" si="27"/>
        <v>46980</v>
      </c>
      <c r="G1790" s="26"/>
    </row>
    <row r="1791" spans="1:7" x14ac:dyDescent="0.25">
      <c r="A1791" s="204">
        <v>42802</v>
      </c>
      <c r="B1791" s="26" t="s">
        <v>17</v>
      </c>
      <c r="C1791" s="87" t="s">
        <v>32</v>
      </c>
      <c r="D1791" s="8">
        <v>10000</v>
      </c>
      <c r="E1791" s="8"/>
      <c r="F1791" s="8">
        <f t="shared" si="27"/>
        <v>36980</v>
      </c>
      <c r="G1791" s="26"/>
    </row>
    <row r="1792" spans="1:7" x14ac:dyDescent="0.25">
      <c r="A1792" s="204">
        <v>42802</v>
      </c>
      <c r="B1792" s="26" t="s">
        <v>248</v>
      </c>
      <c r="C1792" s="87" t="s">
        <v>1408</v>
      </c>
      <c r="D1792" s="8">
        <v>225</v>
      </c>
      <c r="E1792" s="8"/>
      <c r="F1792" s="8">
        <f t="shared" si="27"/>
        <v>36755</v>
      </c>
      <c r="G1792" s="26"/>
    </row>
    <row r="1793" spans="1:7" x14ac:dyDescent="0.25">
      <c r="A1793" s="204">
        <v>42803</v>
      </c>
      <c r="B1793" s="26" t="s">
        <v>10</v>
      </c>
      <c r="C1793" s="87" t="s">
        <v>1404</v>
      </c>
      <c r="D1793" s="8">
        <v>2000</v>
      </c>
      <c r="E1793" s="8"/>
      <c r="F1793" s="8">
        <f t="shared" si="27"/>
        <v>34755</v>
      </c>
      <c r="G1793" s="26"/>
    </row>
    <row r="1794" spans="1:7" x14ac:dyDescent="0.25">
      <c r="A1794" s="204">
        <v>42803</v>
      </c>
      <c r="B1794" s="26" t="s">
        <v>125</v>
      </c>
      <c r="C1794" s="87" t="s">
        <v>1405</v>
      </c>
      <c r="D1794" s="8">
        <v>1595</v>
      </c>
      <c r="E1794" s="8"/>
      <c r="F1794" s="8">
        <f t="shared" si="27"/>
        <v>33160</v>
      </c>
      <c r="G1794" s="26"/>
    </row>
    <row r="1795" spans="1:7" x14ac:dyDescent="0.25">
      <c r="A1795" s="204">
        <v>42803</v>
      </c>
      <c r="B1795" s="26" t="s">
        <v>57</v>
      </c>
      <c r="C1795" s="87" t="s">
        <v>1406</v>
      </c>
      <c r="D1795" s="8">
        <v>100</v>
      </c>
      <c r="E1795" s="8"/>
      <c r="F1795" s="8">
        <f t="shared" ref="F1795:F1858" si="28">F1794-D1795+E1795</f>
        <v>33060</v>
      </c>
      <c r="G1795" s="26"/>
    </row>
    <row r="1796" spans="1:7" x14ac:dyDescent="0.25">
      <c r="A1796" s="204">
        <v>42803</v>
      </c>
      <c r="B1796" s="26" t="s">
        <v>1372</v>
      </c>
      <c r="C1796" s="87" t="s">
        <v>32</v>
      </c>
      <c r="D1796" s="8">
        <v>3000</v>
      </c>
      <c r="E1796" s="8"/>
      <c r="F1796" s="8">
        <f t="shared" si="28"/>
        <v>30060</v>
      </c>
      <c r="G1796" s="26"/>
    </row>
    <row r="1797" spans="1:7" x14ac:dyDescent="0.25">
      <c r="A1797" s="204">
        <v>42803</v>
      </c>
      <c r="B1797" s="26" t="s">
        <v>248</v>
      </c>
      <c r="C1797" s="87" t="s">
        <v>1409</v>
      </c>
      <c r="D1797" s="8">
        <v>50</v>
      </c>
      <c r="E1797" s="8"/>
      <c r="F1797" s="8">
        <f t="shared" si="28"/>
        <v>30010</v>
      </c>
      <c r="G1797" s="26"/>
    </row>
    <row r="1798" spans="1:7" x14ac:dyDescent="0.25">
      <c r="A1798" s="204">
        <v>42804</v>
      </c>
      <c r="B1798" s="462" t="s">
        <v>1298</v>
      </c>
      <c r="C1798" s="463"/>
      <c r="D1798" s="71"/>
      <c r="E1798" s="58">
        <v>100000</v>
      </c>
      <c r="F1798" s="8">
        <f t="shared" si="28"/>
        <v>130010</v>
      </c>
      <c r="G1798" s="26"/>
    </row>
    <row r="1799" spans="1:7" x14ac:dyDescent="0.25">
      <c r="A1799" s="204">
        <v>42804</v>
      </c>
      <c r="B1799" s="26" t="s">
        <v>1344</v>
      </c>
      <c r="C1799" s="87" t="s">
        <v>41</v>
      </c>
      <c r="D1799" s="8">
        <v>20000</v>
      </c>
      <c r="E1799" s="8"/>
      <c r="F1799" s="8">
        <f t="shared" si="28"/>
        <v>110010</v>
      </c>
      <c r="G1799" s="26"/>
    </row>
    <row r="1800" spans="1:7" x14ac:dyDescent="0.25">
      <c r="A1800" s="204">
        <v>42804</v>
      </c>
      <c r="B1800" s="26" t="s">
        <v>19</v>
      </c>
      <c r="C1800" s="87" t="s">
        <v>32</v>
      </c>
      <c r="D1800" s="8">
        <v>3000</v>
      </c>
      <c r="E1800" s="8"/>
      <c r="F1800" s="8">
        <f t="shared" si="28"/>
        <v>107010</v>
      </c>
      <c r="G1800" s="26"/>
    </row>
    <row r="1801" spans="1:7" x14ac:dyDescent="0.25">
      <c r="A1801" s="204">
        <v>42804</v>
      </c>
      <c r="B1801" s="26" t="s">
        <v>1416</v>
      </c>
      <c r="C1801" s="87" t="s">
        <v>1417</v>
      </c>
      <c r="D1801" s="8">
        <v>2000</v>
      </c>
      <c r="E1801" s="8"/>
      <c r="F1801" s="8">
        <f t="shared" si="28"/>
        <v>105010</v>
      </c>
      <c r="G1801" s="26"/>
    </row>
    <row r="1802" spans="1:7" x14ac:dyDescent="0.25">
      <c r="A1802" s="204">
        <v>42804</v>
      </c>
      <c r="B1802" s="26" t="s">
        <v>28</v>
      </c>
      <c r="C1802" s="87" t="s">
        <v>32</v>
      </c>
      <c r="D1802" s="8">
        <v>1000</v>
      </c>
      <c r="E1802" s="8"/>
      <c r="F1802" s="8">
        <f t="shared" si="28"/>
        <v>104010</v>
      </c>
      <c r="G1802" s="26"/>
    </row>
    <row r="1803" spans="1:7" x14ac:dyDescent="0.25">
      <c r="A1803" s="204">
        <v>42804</v>
      </c>
      <c r="B1803" s="26" t="s">
        <v>1418</v>
      </c>
      <c r="C1803" s="87" t="s">
        <v>1419</v>
      </c>
      <c r="D1803" s="8">
        <v>4500</v>
      </c>
      <c r="E1803" s="8"/>
      <c r="F1803" s="8">
        <f t="shared" si="28"/>
        <v>99510</v>
      </c>
      <c r="G1803" s="26"/>
    </row>
    <row r="1804" spans="1:7" x14ac:dyDescent="0.25">
      <c r="A1804" s="204">
        <v>42804</v>
      </c>
      <c r="B1804" s="26" t="s">
        <v>1420</v>
      </c>
      <c r="C1804" s="87" t="s">
        <v>1421</v>
      </c>
      <c r="D1804" s="8">
        <v>8050</v>
      </c>
      <c r="E1804" s="8"/>
      <c r="F1804" s="8">
        <f t="shared" si="28"/>
        <v>91460</v>
      </c>
      <c r="G1804" s="26"/>
    </row>
    <row r="1805" spans="1:7" x14ac:dyDescent="0.25">
      <c r="A1805" s="204">
        <v>42804</v>
      </c>
      <c r="B1805" s="26" t="s">
        <v>248</v>
      </c>
      <c r="C1805" s="87" t="s">
        <v>1409</v>
      </c>
      <c r="D1805" s="8">
        <v>255</v>
      </c>
      <c r="E1805" s="8"/>
      <c r="F1805" s="8">
        <f t="shared" si="28"/>
        <v>91205</v>
      </c>
      <c r="G1805" s="26"/>
    </row>
    <row r="1806" spans="1:7" x14ac:dyDescent="0.25">
      <c r="A1806" s="204">
        <v>42804</v>
      </c>
      <c r="B1806" s="26" t="s">
        <v>26</v>
      </c>
      <c r="C1806" s="87" t="s">
        <v>1422</v>
      </c>
      <c r="D1806" s="8">
        <v>70</v>
      </c>
      <c r="E1806" s="8"/>
      <c r="F1806" s="8">
        <f t="shared" si="28"/>
        <v>91135</v>
      </c>
      <c r="G1806" s="26"/>
    </row>
    <row r="1807" spans="1:7" x14ac:dyDescent="0.25">
      <c r="A1807" s="204"/>
      <c r="B1807" s="462" t="s">
        <v>1425</v>
      </c>
      <c r="C1807" s="463"/>
      <c r="D1807" s="71"/>
      <c r="E1807" s="58">
        <v>25000</v>
      </c>
      <c r="F1807" s="8">
        <f t="shared" si="28"/>
        <v>116135</v>
      </c>
      <c r="G1807" s="26"/>
    </row>
    <row r="1808" spans="1:7" x14ac:dyDescent="0.25">
      <c r="A1808" s="204">
        <v>42804</v>
      </c>
      <c r="B1808" s="29" t="s">
        <v>17</v>
      </c>
      <c r="C1808" s="89" t="s">
        <v>1424</v>
      </c>
      <c r="D1808" s="14">
        <v>13000</v>
      </c>
      <c r="E1808" s="8"/>
      <c r="F1808" s="8">
        <f t="shared" si="28"/>
        <v>103135</v>
      </c>
      <c r="G1808" s="26"/>
    </row>
    <row r="1809" spans="1:7" x14ac:dyDescent="0.25">
      <c r="A1809" s="204">
        <v>42804</v>
      </c>
      <c r="B1809" s="29" t="s">
        <v>1131</v>
      </c>
      <c r="C1809" s="89" t="s">
        <v>41</v>
      </c>
      <c r="D1809" s="14">
        <v>15000</v>
      </c>
      <c r="E1809" s="8"/>
      <c r="F1809" s="8">
        <f t="shared" si="28"/>
        <v>88135</v>
      </c>
      <c r="G1809" s="26"/>
    </row>
    <row r="1810" spans="1:7" x14ac:dyDescent="0.25">
      <c r="A1810" s="204">
        <v>42804</v>
      </c>
      <c r="B1810" s="29" t="s">
        <v>1423</v>
      </c>
      <c r="C1810" s="89" t="s">
        <v>1428</v>
      </c>
      <c r="D1810" s="14">
        <v>4360</v>
      </c>
      <c r="E1810" s="8"/>
      <c r="F1810" s="8">
        <f t="shared" si="28"/>
        <v>83775</v>
      </c>
      <c r="G1810" s="26"/>
    </row>
    <row r="1811" spans="1:7" x14ac:dyDescent="0.25">
      <c r="A1811" s="204">
        <v>42804</v>
      </c>
      <c r="B1811" s="26" t="s">
        <v>1331</v>
      </c>
      <c r="C1811" s="87" t="s">
        <v>32</v>
      </c>
      <c r="D1811" s="8">
        <v>25000</v>
      </c>
      <c r="E1811" s="8"/>
      <c r="F1811" s="8">
        <f t="shared" si="28"/>
        <v>58775</v>
      </c>
      <c r="G1811" s="26"/>
    </row>
    <row r="1812" spans="1:7" ht="30" x14ac:dyDescent="0.25">
      <c r="A1812" s="204">
        <v>42804</v>
      </c>
      <c r="B1812" s="26" t="s">
        <v>26</v>
      </c>
      <c r="C1812" s="87" t="s">
        <v>1427</v>
      </c>
      <c r="D1812" s="8">
        <v>240</v>
      </c>
      <c r="E1812" s="8"/>
      <c r="F1812" s="8">
        <f t="shared" si="28"/>
        <v>58535</v>
      </c>
      <c r="G1812" s="26"/>
    </row>
    <row r="1813" spans="1:7" x14ac:dyDescent="0.25">
      <c r="A1813" s="204">
        <v>42805</v>
      </c>
      <c r="B1813" s="26" t="s">
        <v>17</v>
      </c>
      <c r="C1813" s="87" t="s">
        <v>32</v>
      </c>
      <c r="D1813" s="8">
        <v>3000</v>
      </c>
      <c r="E1813" s="8"/>
      <c r="F1813" s="8">
        <f t="shared" si="28"/>
        <v>55535</v>
      </c>
      <c r="G1813" s="26"/>
    </row>
    <row r="1814" spans="1:7" x14ac:dyDescent="0.25">
      <c r="A1814" s="204">
        <v>42805</v>
      </c>
      <c r="B1814" s="26" t="s">
        <v>125</v>
      </c>
      <c r="C1814" s="87" t="s">
        <v>1426</v>
      </c>
      <c r="D1814" s="8">
        <v>870</v>
      </c>
      <c r="E1814" s="8"/>
      <c r="F1814" s="8">
        <f t="shared" si="28"/>
        <v>54665</v>
      </c>
      <c r="G1814" s="26"/>
    </row>
    <row r="1815" spans="1:7" x14ac:dyDescent="0.25">
      <c r="A1815" s="204">
        <v>42805</v>
      </c>
      <c r="B1815" s="26" t="s">
        <v>125</v>
      </c>
      <c r="C1815" s="87" t="s">
        <v>41</v>
      </c>
      <c r="D1815" s="8">
        <v>10000</v>
      </c>
      <c r="E1815" s="8"/>
      <c r="F1815" s="8">
        <f t="shared" si="28"/>
        <v>44665</v>
      </c>
      <c r="G1815" s="26"/>
    </row>
    <row r="1816" spans="1:7" x14ac:dyDescent="0.25">
      <c r="A1816" s="204">
        <v>42805</v>
      </c>
      <c r="B1816" s="26" t="s">
        <v>28</v>
      </c>
      <c r="C1816" s="87" t="s">
        <v>32</v>
      </c>
      <c r="D1816" s="8">
        <v>2000</v>
      </c>
      <c r="E1816" s="8"/>
      <c r="F1816" s="8">
        <f t="shared" si="28"/>
        <v>42665</v>
      </c>
      <c r="G1816" s="26"/>
    </row>
    <row r="1817" spans="1:7" x14ac:dyDescent="0.25">
      <c r="A1817" s="204">
        <v>42807</v>
      </c>
      <c r="B1817" s="29" t="s">
        <v>77</v>
      </c>
      <c r="C1817" s="89" t="s">
        <v>1429</v>
      </c>
      <c r="D1817" s="14">
        <v>8210</v>
      </c>
      <c r="E1817" s="8"/>
      <c r="F1817" s="8">
        <f t="shared" si="28"/>
        <v>34455</v>
      </c>
      <c r="G1817" s="26"/>
    </row>
    <row r="1818" spans="1:7" x14ac:dyDescent="0.25">
      <c r="A1818" s="204">
        <v>42807</v>
      </c>
      <c r="B1818" s="26" t="s">
        <v>1430</v>
      </c>
      <c r="C1818" s="87" t="s">
        <v>1432</v>
      </c>
      <c r="D1818" s="8">
        <v>100</v>
      </c>
      <c r="E1818" s="8"/>
      <c r="F1818" s="8">
        <f t="shared" si="28"/>
        <v>34355</v>
      </c>
      <c r="G1818" s="26"/>
    </row>
    <row r="1819" spans="1:7" x14ac:dyDescent="0.25">
      <c r="A1819" s="204">
        <v>42807</v>
      </c>
      <c r="B1819" s="26" t="s">
        <v>70</v>
      </c>
      <c r="C1819" s="87" t="s">
        <v>1431</v>
      </c>
      <c r="D1819" s="8">
        <v>50</v>
      </c>
      <c r="E1819" s="8"/>
      <c r="F1819" s="8">
        <f t="shared" si="28"/>
        <v>34305</v>
      </c>
      <c r="G1819" s="26"/>
    </row>
    <row r="1820" spans="1:7" ht="30" x14ac:dyDescent="0.25">
      <c r="A1820" s="204">
        <v>42807</v>
      </c>
      <c r="B1820" s="26" t="s">
        <v>1131</v>
      </c>
      <c r="C1820" s="87" t="s">
        <v>1442</v>
      </c>
      <c r="D1820" s="8">
        <v>15500</v>
      </c>
      <c r="E1820" s="8"/>
      <c r="F1820" s="8">
        <f t="shared" si="28"/>
        <v>18805</v>
      </c>
      <c r="G1820" s="26"/>
    </row>
    <row r="1821" spans="1:7" x14ac:dyDescent="0.25">
      <c r="A1821" s="204">
        <v>42807</v>
      </c>
      <c r="B1821" s="29" t="s">
        <v>59</v>
      </c>
      <c r="C1821" s="89" t="s">
        <v>1433</v>
      </c>
      <c r="D1821" s="14">
        <v>8500</v>
      </c>
      <c r="E1821" s="8"/>
      <c r="F1821" s="8">
        <f t="shared" si="28"/>
        <v>10305</v>
      </c>
      <c r="G1821" s="26"/>
    </row>
    <row r="1822" spans="1:7" x14ac:dyDescent="0.25">
      <c r="A1822" s="204">
        <v>42808</v>
      </c>
      <c r="B1822" s="197" t="s">
        <v>26</v>
      </c>
      <c r="C1822" s="198" t="s">
        <v>1462</v>
      </c>
      <c r="D1822" s="75">
        <v>80</v>
      </c>
      <c r="E1822" s="8"/>
      <c r="F1822" s="8">
        <f t="shared" si="28"/>
        <v>10225</v>
      </c>
      <c r="G1822" s="26"/>
    </row>
    <row r="1823" spans="1:7" x14ac:dyDescent="0.25">
      <c r="A1823" s="204">
        <v>42808</v>
      </c>
      <c r="B1823" s="26" t="s">
        <v>161</v>
      </c>
      <c r="C1823" s="87" t="s">
        <v>1435</v>
      </c>
      <c r="D1823" s="8">
        <v>2000</v>
      </c>
      <c r="E1823" s="8"/>
      <c r="F1823" s="8">
        <f t="shared" si="28"/>
        <v>8225</v>
      </c>
      <c r="G1823" s="26"/>
    </row>
    <row r="1824" spans="1:7" x14ac:dyDescent="0.25">
      <c r="A1824" s="204">
        <v>42808</v>
      </c>
      <c r="B1824" s="26" t="s">
        <v>1006</v>
      </c>
      <c r="C1824" s="87" t="s">
        <v>1437</v>
      </c>
      <c r="D1824" s="8">
        <v>500</v>
      </c>
      <c r="E1824" s="8"/>
      <c r="F1824" s="8">
        <f t="shared" si="28"/>
        <v>7725</v>
      </c>
      <c r="G1824" s="26"/>
    </row>
    <row r="1825" spans="1:7" x14ac:dyDescent="0.25">
      <c r="A1825" s="204">
        <v>42808</v>
      </c>
      <c r="B1825" s="26" t="s">
        <v>26</v>
      </c>
      <c r="C1825" s="87" t="s">
        <v>1436</v>
      </c>
      <c r="D1825" s="8">
        <v>160</v>
      </c>
      <c r="E1825" s="8"/>
      <c r="F1825" s="8">
        <f t="shared" si="28"/>
        <v>7565</v>
      </c>
      <c r="G1825" s="26"/>
    </row>
    <row r="1826" spans="1:7" x14ac:dyDescent="0.25">
      <c r="A1826" s="204">
        <v>42808</v>
      </c>
      <c r="B1826" s="29" t="s">
        <v>59</v>
      </c>
      <c r="C1826" s="89" t="s">
        <v>1441</v>
      </c>
      <c r="D1826" s="14">
        <v>9177</v>
      </c>
      <c r="E1826" s="8"/>
      <c r="F1826" s="8">
        <f t="shared" si="28"/>
        <v>-1612</v>
      </c>
      <c r="G1826" s="26"/>
    </row>
    <row r="1827" spans="1:7" x14ac:dyDescent="0.25">
      <c r="A1827" s="204">
        <v>42808</v>
      </c>
      <c r="B1827" s="462" t="s">
        <v>1298</v>
      </c>
      <c r="C1827" s="463"/>
      <c r="D1827" s="71"/>
      <c r="E1827" s="58">
        <v>50000</v>
      </c>
      <c r="F1827" s="8">
        <f t="shared" si="28"/>
        <v>48388</v>
      </c>
      <c r="G1827" s="26"/>
    </row>
    <row r="1828" spans="1:7" x14ac:dyDescent="0.25">
      <c r="A1828" s="204">
        <v>42808</v>
      </c>
      <c r="B1828" s="26" t="s">
        <v>85</v>
      </c>
      <c r="C1828" s="87" t="s">
        <v>91</v>
      </c>
      <c r="D1828" s="8">
        <v>2000</v>
      </c>
      <c r="E1828" s="8"/>
      <c r="F1828" s="8">
        <f t="shared" si="28"/>
        <v>46388</v>
      </c>
      <c r="G1828" s="26"/>
    </row>
    <row r="1829" spans="1:7" x14ac:dyDescent="0.25">
      <c r="A1829" s="204">
        <v>42808</v>
      </c>
      <c r="B1829" s="26" t="s">
        <v>85</v>
      </c>
      <c r="C1829" s="87" t="s">
        <v>1438</v>
      </c>
      <c r="D1829" s="8">
        <v>2000</v>
      </c>
      <c r="E1829" s="8"/>
      <c r="F1829" s="8">
        <f t="shared" si="28"/>
        <v>44388</v>
      </c>
      <c r="G1829" s="26"/>
    </row>
    <row r="1830" spans="1:7" x14ac:dyDescent="0.25">
      <c r="A1830" s="204">
        <v>42808</v>
      </c>
      <c r="B1830" s="26" t="s">
        <v>85</v>
      </c>
      <c r="C1830" s="87" t="s">
        <v>1439</v>
      </c>
      <c r="D1830" s="8">
        <v>1000</v>
      </c>
      <c r="E1830" s="8"/>
      <c r="F1830" s="8">
        <f t="shared" si="28"/>
        <v>43388</v>
      </c>
      <c r="G1830" s="26"/>
    </row>
    <row r="1831" spans="1:7" x14ac:dyDescent="0.25">
      <c r="A1831" s="204">
        <v>42808</v>
      </c>
      <c r="B1831" s="26" t="s">
        <v>59</v>
      </c>
      <c r="C1831" s="87" t="s">
        <v>1443</v>
      </c>
      <c r="D1831" s="8">
        <v>1520</v>
      </c>
      <c r="E1831" s="8"/>
      <c r="F1831" s="8">
        <f t="shared" si="28"/>
        <v>41868</v>
      </c>
      <c r="G1831" s="26"/>
    </row>
    <row r="1832" spans="1:7" x14ac:dyDescent="0.25">
      <c r="A1832" s="204">
        <v>42808</v>
      </c>
      <c r="B1832" s="26" t="s">
        <v>1331</v>
      </c>
      <c r="C1832" s="87" t="s">
        <v>32</v>
      </c>
      <c r="D1832" s="8">
        <v>5000</v>
      </c>
      <c r="E1832" s="8"/>
      <c r="F1832" s="8">
        <f t="shared" si="28"/>
        <v>36868</v>
      </c>
      <c r="G1832" s="26"/>
    </row>
    <row r="1833" spans="1:7" x14ac:dyDescent="0.25">
      <c r="A1833" s="204">
        <v>42808</v>
      </c>
      <c r="B1833" s="26" t="s">
        <v>28</v>
      </c>
      <c r="C1833" s="87" t="s">
        <v>1440</v>
      </c>
      <c r="D1833" s="8">
        <v>21000</v>
      </c>
      <c r="E1833" s="8"/>
      <c r="F1833" s="8">
        <f t="shared" si="28"/>
        <v>15868</v>
      </c>
      <c r="G1833" s="26"/>
    </row>
    <row r="1834" spans="1:7" x14ac:dyDescent="0.25">
      <c r="A1834" s="204">
        <v>42809</v>
      </c>
      <c r="B1834" s="26" t="s">
        <v>446</v>
      </c>
      <c r="C1834" s="87" t="s">
        <v>32</v>
      </c>
      <c r="D1834" s="8">
        <v>3000</v>
      </c>
      <c r="E1834" s="8"/>
      <c r="F1834" s="8">
        <f t="shared" si="28"/>
        <v>12868</v>
      </c>
      <c r="G1834" s="26"/>
    </row>
    <row r="1835" spans="1:7" x14ac:dyDescent="0.25">
      <c r="A1835" s="204">
        <v>42809</v>
      </c>
      <c r="B1835" s="26" t="s">
        <v>59</v>
      </c>
      <c r="C1835" s="87" t="s">
        <v>1472</v>
      </c>
      <c r="D1835" s="8">
        <v>6375</v>
      </c>
      <c r="E1835" s="8"/>
      <c r="F1835" s="8">
        <f t="shared" si="28"/>
        <v>6493</v>
      </c>
      <c r="G1835" s="26"/>
    </row>
    <row r="1836" spans="1:7" x14ac:dyDescent="0.25">
      <c r="A1836" s="204">
        <v>42809</v>
      </c>
      <c r="B1836" s="462" t="s">
        <v>1444</v>
      </c>
      <c r="C1836" s="463"/>
      <c r="D1836" s="71"/>
      <c r="E1836" s="58">
        <v>280</v>
      </c>
      <c r="F1836" s="8">
        <f t="shared" si="28"/>
        <v>6773</v>
      </c>
      <c r="G1836" s="26"/>
    </row>
    <row r="1837" spans="1:7" x14ac:dyDescent="0.25">
      <c r="A1837" s="204">
        <v>42809</v>
      </c>
      <c r="B1837" s="26" t="s">
        <v>1346</v>
      </c>
      <c r="C1837" s="87" t="s">
        <v>1445</v>
      </c>
      <c r="D1837" s="8">
        <v>3700</v>
      </c>
      <c r="E1837" s="8"/>
      <c r="F1837" s="8">
        <f t="shared" si="28"/>
        <v>3073</v>
      </c>
      <c r="G1837" s="26"/>
    </row>
    <row r="1838" spans="1:7" x14ac:dyDescent="0.25">
      <c r="A1838" s="204">
        <v>42809</v>
      </c>
      <c r="B1838" s="26" t="s">
        <v>28</v>
      </c>
      <c r="C1838" s="87" t="s">
        <v>32</v>
      </c>
      <c r="D1838" s="8">
        <v>600</v>
      </c>
      <c r="E1838" s="8"/>
      <c r="F1838" s="8">
        <f t="shared" si="28"/>
        <v>2473</v>
      </c>
      <c r="G1838" s="26"/>
    </row>
    <row r="1839" spans="1:7" x14ac:dyDescent="0.25">
      <c r="A1839" s="204">
        <v>42809</v>
      </c>
      <c r="B1839" s="26" t="s">
        <v>121</v>
      </c>
      <c r="C1839" s="87" t="s">
        <v>32</v>
      </c>
      <c r="D1839" s="8">
        <v>200</v>
      </c>
      <c r="E1839" s="8"/>
      <c r="F1839" s="8">
        <f t="shared" si="28"/>
        <v>2273</v>
      </c>
      <c r="G1839" s="26"/>
    </row>
    <row r="1840" spans="1:7" x14ac:dyDescent="0.25">
      <c r="A1840" s="204">
        <v>42809</v>
      </c>
      <c r="B1840" s="26" t="s">
        <v>1131</v>
      </c>
      <c r="C1840" s="87" t="s">
        <v>1446</v>
      </c>
      <c r="D1840" s="8">
        <v>5000</v>
      </c>
      <c r="E1840" s="8"/>
      <c r="F1840" s="8">
        <f t="shared" si="28"/>
        <v>-2727</v>
      </c>
      <c r="G1840" s="26"/>
    </row>
    <row r="1841" spans="1:7" x14ac:dyDescent="0.25">
      <c r="A1841" s="204">
        <v>42810</v>
      </c>
      <c r="B1841" s="26" t="s">
        <v>117</v>
      </c>
      <c r="C1841" s="87" t="s">
        <v>1447</v>
      </c>
      <c r="D1841" s="8">
        <v>100</v>
      </c>
      <c r="E1841" s="8"/>
      <c r="F1841" s="8">
        <f t="shared" si="28"/>
        <v>-2827</v>
      </c>
      <c r="G1841" s="26"/>
    </row>
    <row r="1842" spans="1:7" x14ac:dyDescent="0.25">
      <c r="A1842" s="204">
        <v>42810</v>
      </c>
      <c r="B1842" s="462" t="s">
        <v>1449</v>
      </c>
      <c r="C1842" s="463"/>
      <c r="D1842" s="71"/>
      <c r="E1842" s="58">
        <v>100000</v>
      </c>
      <c r="F1842" s="8">
        <f t="shared" si="28"/>
        <v>97173</v>
      </c>
      <c r="G1842" s="26"/>
    </row>
    <row r="1843" spans="1:7" x14ac:dyDescent="0.25">
      <c r="A1843" s="204">
        <v>42810</v>
      </c>
      <c r="B1843" s="26" t="s">
        <v>1448</v>
      </c>
      <c r="C1843" s="87" t="s">
        <v>32</v>
      </c>
      <c r="D1843" s="8">
        <v>1500</v>
      </c>
      <c r="E1843" s="8"/>
      <c r="F1843" s="8">
        <f t="shared" si="28"/>
        <v>95673</v>
      </c>
      <c r="G1843" s="26"/>
    </row>
    <row r="1844" spans="1:7" x14ac:dyDescent="0.25">
      <c r="A1844" s="204">
        <v>42810</v>
      </c>
      <c r="B1844" s="26" t="s">
        <v>1344</v>
      </c>
      <c r="C1844" s="87" t="s">
        <v>41</v>
      </c>
      <c r="D1844" s="8">
        <v>20000</v>
      </c>
      <c r="E1844" s="8"/>
      <c r="F1844" s="8">
        <f t="shared" si="28"/>
        <v>75673</v>
      </c>
      <c r="G1844" s="26"/>
    </row>
    <row r="1845" spans="1:7" x14ac:dyDescent="0.25">
      <c r="A1845" s="204">
        <v>42810</v>
      </c>
      <c r="B1845" s="26" t="s">
        <v>26</v>
      </c>
      <c r="C1845" s="87" t="s">
        <v>1463</v>
      </c>
      <c r="D1845" s="8">
        <v>100</v>
      </c>
      <c r="E1845" s="8"/>
      <c r="F1845" s="8">
        <f t="shared" si="28"/>
        <v>75573</v>
      </c>
      <c r="G1845" s="26"/>
    </row>
    <row r="1846" spans="1:7" ht="30" x14ac:dyDescent="0.25">
      <c r="A1846" s="204">
        <v>42810</v>
      </c>
      <c r="B1846" s="26" t="s">
        <v>59</v>
      </c>
      <c r="C1846" s="87" t="s">
        <v>1450</v>
      </c>
      <c r="D1846" s="8">
        <v>1270</v>
      </c>
      <c r="E1846" s="8"/>
      <c r="F1846" s="8">
        <f t="shared" si="28"/>
        <v>74303</v>
      </c>
      <c r="G1846" s="26"/>
    </row>
    <row r="1847" spans="1:7" x14ac:dyDescent="0.25">
      <c r="A1847" s="204">
        <v>42810</v>
      </c>
      <c r="B1847" s="26" t="s">
        <v>59</v>
      </c>
      <c r="C1847" s="87" t="s">
        <v>1451</v>
      </c>
      <c r="D1847" s="8">
        <v>2100</v>
      </c>
      <c r="E1847" s="8"/>
      <c r="F1847" s="8">
        <f t="shared" si="28"/>
        <v>72203</v>
      </c>
      <c r="G1847" s="26"/>
    </row>
    <row r="1848" spans="1:7" x14ac:dyDescent="0.25">
      <c r="A1848" s="204">
        <v>42810</v>
      </c>
      <c r="B1848" s="26" t="s">
        <v>28</v>
      </c>
      <c r="C1848" s="87" t="s">
        <v>32</v>
      </c>
      <c r="D1848" s="8">
        <v>2000</v>
      </c>
      <c r="E1848" s="8"/>
      <c r="F1848" s="8">
        <f t="shared" si="28"/>
        <v>70203</v>
      </c>
      <c r="G1848" s="26"/>
    </row>
    <row r="1849" spans="1:7" x14ac:dyDescent="0.25">
      <c r="A1849" s="204">
        <v>42810</v>
      </c>
      <c r="B1849" s="26" t="s">
        <v>1452</v>
      </c>
      <c r="C1849" s="87" t="s">
        <v>1453</v>
      </c>
      <c r="D1849" s="8">
        <v>30000</v>
      </c>
      <c r="E1849" s="8"/>
      <c r="F1849" s="8">
        <f t="shared" si="28"/>
        <v>40203</v>
      </c>
      <c r="G1849" s="26"/>
    </row>
    <row r="1850" spans="1:7" x14ac:dyDescent="0.25">
      <c r="A1850" s="204">
        <v>42810</v>
      </c>
      <c r="B1850" s="26" t="s">
        <v>542</v>
      </c>
      <c r="C1850" s="87" t="s">
        <v>641</v>
      </c>
      <c r="D1850" s="8">
        <v>4000</v>
      </c>
      <c r="E1850" s="8"/>
      <c r="F1850" s="8">
        <f t="shared" si="28"/>
        <v>36203</v>
      </c>
      <c r="G1850" s="26"/>
    </row>
    <row r="1851" spans="1:7" x14ac:dyDescent="0.25">
      <c r="A1851" s="204">
        <v>42810</v>
      </c>
      <c r="B1851" s="26" t="s">
        <v>121</v>
      </c>
      <c r="C1851" s="87" t="s">
        <v>32</v>
      </c>
      <c r="D1851" s="8">
        <v>5000</v>
      </c>
      <c r="E1851" s="8"/>
      <c r="F1851" s="8">
        <f t="shared" si="28"/>
        <v>31203</v>
      </c>
      <c r="G1851" s="26"/>
    </row>
    <row r="1852" spans="1:7" x14ac:dyDescent="0.25">
      <c r="A1852" s="204">
        <v>42811</v>
      </c>
      <c r="B1852" s="26" t="s">
        <v>105</v>
      </c>
      <c r="C1852" s="87" t="s">
        <v>32</v>
      </c>
      <c r="D1852" s="8">
        <v>1000</v>
      </c>
      <c r="E1852" s="8"/>
      <c r="F1852" s="8">
        <f t="shared" si="28"/>
        <v>30203</v>
      </c>
      <c r="G1852" s="26"/>
    </row>
    <row r="1853" spans="1:7" x14ac:dyDescent="0.25">
      <c r="A1853" s="204">
        <v>42811</v>
      </c>
      <c r="B1853" s="26" t="s">
        <v>85</v>
      </c>
      <c r="C1853" s="87" t="s">
        <v>1454</v>
      </c>
      <c r="D1853" s="8">
        <v>1000</v>
      </c>
      <c r="E1853" s="8"/>
      <c r="F1853" s="8">
        <f t="shared" si="28"/>
        <v>29203</v>
      </c>
      <c r="G1853" s="26"/>
    </row>
    <row r="1854" spans="1:7" x14ac:dyDescent="0.25">
      <c r="A1854" s="204">
        <v>42811</v>
      </c>
      <c r="B1854" s="26" t="s">
        <v>19</v>
      </c>
      <c r="C1854" s="87" t="s">
        <v>32</v>
      </c>
      <c r="D1854" s="8">
        <v>2000</v>
      </c>
      <c r="E1854" s="8"/>
      <c r="F1854" s="8">
        <f t="shared" si="28"/>
        <v>27203</v>
      </c>
      <c r="G1854" s="26"/>
    </row>
    <row r="1855" spans="1:7" x14ac:dyDescent="0.25">
      <c r="A1855" s="204">
        <v>42811</v>
      </c>
      <c r="B1855" s="26" t="s">
        <v>48</v>
      </c>
      <c r="C1855" s="87" t="s">
        <v>1455</v>
      </c>
      <c r="D1855" s="8">
        <v>400</v>
      </c>
      <c r="E1855" s="8"/>
      <c r="F1855" s="8">
        <f t="shared" si="28"/>
        <v>26803</v>
      </c>
      <c r="G1855" s="26"/>
    </row>
    <row r="1856" spans="1:7" x14ac:dyDescent="0.25">
      <c r="A1856" s="204">
        <v>42811</v>
      </c>
      <c r="B1856" s="197" t="s">
        <v>48</v>
      </c>
      <c r="C1856" s="198" t="s">
        <v>32</v>
      </c>
      <c r="D1856" s="75">
        <v>100</v>
      </c>
      <c r="E1856" s="8"/>
      <c r="F1856" s="8">
        <f t="shared" si="28"/>
        <v>26703</v>
      </c>
      <c r="G1856" s="26"/>
    </row>
    <row r="1857" spans="1:7" x14ac:dyDescent="0.25">
      <c r="A1857" s="204">
        <v>42811</v>
      </c>
      <c r="B1857" s="26" t="s">
        <v>17</v>
      </c>
      <c r="C1857" s="87" t="s">
        <v>32</v>
      </c>
      <c r="D1857" s="8">
        <v>5000</v>
      </c>
      <c r="E1857" s="8"/>
      <c r="F1857" s="8">
        <f t="shared" si="28"/>
        <v>21703</v>
      </c>
      <c r="G1857" s="26"/>
    </row>
    <row r="1858" spans="1:7" ht="30" x14ac:dyDescent="0.25">
      <c r="A1858" s="204">
        <v>42811</v>
      </c>
      <c r="B1858" s="26" t="s">
        <v>26</v>
      </c>
      <c r="C1858" s="87" t="s">
        <v>1467</v>
      </c>
      <c r="D1858" s="8">
        <f>180+28</f>
        <v>208</v>
      </c>
      <c r="E1858" s="8"/>
      <c r="F1858" s="8">
        <f t="shared" si="28"/>
        <v>21495</v>
      </c>
      <c r="G1858" s="26"/>
    </row>
    <row r="1859" spans="1:7" x14ac:dyDescent="0.25">
      <c r="A1859" s="204">
        <v>42811</v>
      </c>
      <c r="B1859" s="26" t="s">
        <v>26</v>
      </c>
      <c r="C1859" s="87" t="s">
        <v>1464</v>
      </c>
      <c r="D1859" s="8">
        <v>320</v>
      </c>
      <c r="E1859" s="8"/>
      <c r="F1859" s="8">
        <f t="shared" ref="F1859:F1922" si="29">F1858-D1859+E1859</f>
        <v>21175</v>
      </c>
      <c r="G1859" s="26"/>
    </row>
    <row r="1860" spans="1:7" x14ac:dyDescent="0.25">
      <c r="A1860" s="204">
        <v>42811</v>
      </c>
      <c r="B1860" s="29" t="s">
        <v>59</v>
      </c>
      <c r="C1860" s="89" t="s">
        <v>1457</v>
      </c>
      <c r="D1860" s="14">
        <v>3540</v>
      </c>
      <c r="E1860" s="8"/>
      <c r="F1860" s="8">
        <f t="shared" si="29"/>
        <v>17635</v>
      </c>
      <c r="G1860" s="26"/>
    </row>
    <row r="1861" spans="1:7" x14ac:dyDescent="0.25">
      <c r="A1861" s="204">
        <v>42811</v>
      </c>
      <c r="B1861" s="29" t="s">
        <v>59</v>
      </c>
      <c r="C1861" s="89" t="s">
        <v>1458</v>
      </c>
      <c r="D1861" s="14">
        <v>3683</v>
      </c>
      <c r="E1861" s="8"/>
      <c r="F1861" s="8">
        <f t="shared" si="29"/>
        <v>13952</v>
      </c>
      <c r="G1861" s="26"/>
    </row>
    <row r="1862" spans="1:7" x14ac:dyDescent="0.25">
      <c r="A1862" s="204">
        <v>42811</v>
      </c>
      <c r="B1862" s="29" t="s">
        <v>125</v>
      </c>
      <c r="C1862" s="89" t="s">
        <v>1475</v>
      </c>
      <c r="D1862" s="14">
        <v>3500</v>
      </c>
      <c r="E1862" s="8"/>
      <c r="F1862" s="8">
        <f t="shared" si="29"/>
        <v>10452</v>
      </c>
      <c r="G1862" s="26"/>
    </row>
    <row r="1863" spans="1:7" ht="30" x14ac:dyDescent="0.25">
      <c r="A1863" s="204">
        <v>42811</v>
      </c>
      <c r="B1863" s="29" t="s">
        <v>125</v>
      </c>
      <c r="C1863" s="89" t="s">
        <v>1476</v>
      </c>
      <c r="D1863" s="14">
        <v>1300</v>
      </c>
      <c r="E1863" s="8"/>
      <c r="F1863" s="8">
        <f t="shared" si="29"/>
        <v>9152</v>
      </c>
      <c r="G1863" s="26"/>
    </row>
    <row r="1864" spans="1:7" x14ac:dyDescent="0.25">
      <c r="A1864" s="204">
        <v>42811</v>
      </c>
      <c r="B1864" s="26" t="s">
        <v>85</v>
      </c>
      <c r="C1864" s="87" t="s">
        <v>1456</v>
      </c>
      <c r="D1864" s="8">
        <v>1000</v>
      </c>
      <c r="E1864" s="8"/>
      <c r="F1864" s="8">
        <f t="shared" si="29"/>
        <v>8152</v>
      </c>
      <c r="G1864" s="26"/>
    </row>
    <row r="1865" spans="1:7" x14ac:dyDescent="0.25">
      <c r="A1865" s="204">
        <v>42811</v>
      </c>
      <c r="B1865" s="26" t="s">
        <v>28</v>
      </c>
      <c r="C1865" s="87" t="s">
        <v>32</v>
      </c>
      <c r="D1865" s="8">
        <v>1100</v>
      </c>
      <c r="E1865" s="8"/>
      <c r="F1865" s="8">
        <f t="shared" si="29"/>
        <v>7052</v>
      </c>
      <c r="G1865" s="26"/>
    </row>
    <row r="1866" spans="1:7" x14ac:dyDescent="0.25">
      <c r="A1866" s="204">
        <v>42811</v>
      </c>
      <c r="B1866" s="26" t="s">
        <v>85</v>
      </c>
      <c r="C1866" s="87" t="s">
        <v>1459</v>
      </c>
      <c r="D1866" s="8">
        <v>3000</v>
      </c>
      <c r="E1866" s="8"/>
      <c r="F1866" s="8">
        <f t="shared" si="29"/>
        <v>4052</v>
      </c>
      <c r="G1866" s="26"/>
    </row>
    <row r="1867" spans="1:7" x14ac:dyDescent="0.25">
      <c r="A1867" s="204">
        <v>42811</v>
      </c>
      <c r="B1867" s="26" t="s">
        <v>165</v>
      </c>
      <c r="C1867" s="87" t="s">
        <v>32</v>
      </c>
      <c r="D1867" s="8">
        <v>5000</v>
      </c>
      <c r="E1867" s="8"/>
      <c r="F1867" s="8">
        <f t="shared" si="29"/>
        <v>-948</v>
      </c>
      <c r="G1867" s="26"/>
    </row>
    <row r="1868" spans="1:7" ht="29.25" customHeight="1" x14ac:dyDescent="0.25">
      <c r="A1868" s="204">
        <v>42812</v>
      </c>
      <c r="B1868" s="26" t="s">
        <v>72</v>
      </c>
      <c r="C1868" s="87" t="s">
        <v>1460</v>
      </c>
      <c r="D1868" s="8">
        <v>390</v>
      </c>
      <c r="E1868" s="8"/>
      <c r="F1868" s="8">
        <f t="shared" si="29"/>
        <v>-1338</v>
      </c>
      <c r="G1868" s="26"/>
    </row>
    <row r="1869" spans="1:7" ht="29.25" customHeight="1" x14ac:dyDescent="0.25">
      <c r="A1869" s="204">
        <v>42812</v>
      </c>
      <c r="B1869" s="18" t="s">
        <v>59</v>
      </c>
      <c r="C1869" s="196" t="s">
        <v>1473</v>
      </c>
      <c r="D1869" s="8">
        <v>125</v>
      </c>
      <c r="E1869" s="8"/>
      <c r="F1869" s="8">
        <f t="shared" si="29"/>
        <v>-1463</v>
      </c>
      <c r="G1869" s="26"/>
    </row>
    <row r="1870" spans="1:7" ht="29.25" customHeight="1" x14ac:dyDescent="0.25">
      <c r="A1870" s="204">
        <v>42812</v>
      </c>
      <c r="B1870" s="18" t="s">
        <v>26</v>
      </c>
      <c r="C1870" s="196" t="s">
        <v>1470</v>
      </c>
      <c r="D1870" s="8">
        <v>190</v>
      </c>
      <c r="E1870" s="8"/>
      <c r="F1870" s="8">
        <f t="shared" si="29"/>
        <v>-1653</v>
      </c>
      <c r="G1870" s="26"/>
    </row>
    <row r="1871" spans="1:7" x14ac:dyDescent="0.25">
      <c r="A1871" s="204">
        <v>42812</v>
      </c>
      <c r="B1871" s="462" t="s">
        <v>1484</v>
      </c>
      <c r="C1871" s="463"/>
      <c r="D1871" s="71"/>
      <c r="E1871" s="58">
        <v>50000</v>
      </c>
      <c r="F1871" s="8">
        <f t="shared" si="29"/>
        <v>48347</v>
      </c>
      <c r="G1871" s="26"/>
    </row>
    <row r="1872" spans="1:7" x14ac:dyDescent="0.25">
      <c r="A1872" s="204">
        <v>42814</v>
      </c>
      <c r="B1872" s="26" t="s">
        <v>165</v>
      </c>
      <c r="C1872" s="87" t="s">
        <v>32</v>
      </c>
      <c r="D1872" s="8">
        <v>10000</v>
      </c>
      <c r="E1872" s="8"/>
      <c r="F1872" s="8">
        <f t="shared" si="29"/>
        <v>38347</v>
      </c>
      <c r="G1872" s="26"/>
    </row>
    <row r="1873" spans="1:7" x14ac:dyDescent="0.25">
      <c r="A1873" s="204">
        <v>42814</v>
      </c>
      <c r="B1873" s="26" t="s">
        <v>1334</v>
      </c>
      <c r="C1873" s="87" t="s">
        <v>295</v>
      </c>
      <c r="D1873" s="8">
        <v>10000</v>
      </c>
      <c r="E1873" s="8"/>
      <c r="F1873" s="8">
        <f t="shared" si="29"/>
        <v>28347</v>
      </c>
      <c r="G1873" s="26"/>
    </row>
    <row r="1874" spans="1:7" x14ac:dyDescent="0.25">
      <c r="A1874" s="204">
        <v>42814</v>
      </c>
      <c r="B1874" s="26" t="s">
        <v>128</v>
      </c>
      <c r="C1874" s="87" t="s">
        <v>1474</v>
      </c>
      <c r="D1874" s="8">
        <v>18204</v>
      </c>
      <c r="E1874" s="8"/>
      <c r="F1874" s="8">
        <f t="shared" si="29"/>
        <v>10143</v>
      </c>
      <c r="G1874" s="26"/>
    </row>
    <row r="1875" spans="1:7" x14ac:dyDescent="0.25">
      <c r="A1875" s="204">
        <v>42814</v>
      </c>
      <c r="B1875" s="26" t="s">
        <v>128</v>
      </c>
      <c r="C1875" s="87" t="s">
        <v>641</v>
      </c>
      <c r="D1875" s="8">
        <v>1000</v>
      </c>
      <c r="E1875" s="8"/>
      <c r="F1875" s="8">
        <f t="shared" si="29"/>
        <v>9143</v>
      </c>
      <c r="G1875" s="26"/>
    </row>
    <row r="1876" spans="1:7" x14ac:dyDescent="0.25">
      <c r="A1876" s="204">
        <v>42814</v>
      </c>
      <c r="B1876" s="26" t="s">
        <v>26</v>
      </c>
      <c r="C1876" s="87" t="s">
        <v>63</v>
      </c>
      <c r="D1876" s="8">
        <v>50</v>
      </c>
      <c r="E1876" s="8"/>
      <c r="F1876" s="8">
        <f t="shared" si="29"/>
        <v>9093</v>
      </c>
      <c r="G1876" s="26"/>
    </row>
    <row r="1877" spans="1:7" x14ac:dyDescent="0.25">
      <c r="A1877" s="204">
        <v>42814</v>
      </c>
      <c r="B1877" s="26" t="s">
        <v>1284</v>
      </c>
      <c r="C1877" s="87" t="s">
        <v>1471</v>
      </c>
      <c r="D1877" s="8">
        <v>600</v>
      </c>
      <c r="E1877" s="8"/>
      <c r="F1877" s="8">
        <f t="shared" si="29"/>
        <v>8493</v>
      </c>
      <c r="G1877" s="26"/>
    </row>
    <row r="1878" spans="1:7" x14ac:dyDescent="0.25">
      <c r="A1878" s="204">
        <v>42814</v>
      </c>
      <c r="B1878" s="26" t="s">
        <v>1465</v>
      </c>
      <c r="C1878" s="87" t="s">
        <v>1466</v>
      </c>
      <c r="D1878" s="8">
        <v>5000</v>
      </c>
      <c r="E1878" s="8"/>
      <c r="F1878" s="8">
        <f t="shared" si="29"/>
        <v>3493</v>
      </c>
      <c r="G1878" s="26"/>
    </row>
    <row r="1879" spans="1:7" x14ac:dyDescent="0.25">
      <c r="A1879" s="204">
        <v>42814</v>
      </c>
      <c r="B1879" s="26" t="s">
        <v>19</v>
      </c>
      <c r="C1879" s="87" t="s">
        <v>32</v>
      </c>
      <c r="D1879" s="8">
        <v>500</v>
      </c>
      <c r="E1879" s="8"/>
      <c r="F1879" s="8">
        <f t="shared" si="29"/>
        <v>2993</v>
      </c>
      <c r="G1879" s="26"/>
    </row>
    <row r="1880" spans="1:7" ht="30" x14ac:dyDescent="0.25">
      <c r="A1880" s="204">
        <v>42815</v>
      </c>
      <c r="B1880" s="26" t="s">
        <v>542</v>
      </c>
      <c r="C1880" s="87" t="s">
        <v>1468</v>
      </c>
      <c r="D1880" s="8">
        <v>1000</v>
      </c>
      <c r="E1880" s="8"/>
      <c r="F1880" s="8">
        <f t="shared" si="29"/>
        <v>1993</v>
      </c>
      <c r="G1880" s="26"/>
    </row>
    <row r="1881" spans="1:7" x14ac:dyDescent="0.25">
      <c r="A1881" s="204">
        <v>42815</v>
      </c>
      <c r="B1881" s="26" t="s">
        <v>1006</v>
      </c>
      <c r="C1881" s="87" t="s">
        <v>1469</v>
      </c>
      <c r="D1881" s="8">
        <v>1500</v>
      </c>
      <c r="E1881" s="8"/>
      <c r="F1881" s="8">
        <f t="shared" si="29"/>
        <v>493</v>
      </c>
      <c r="G1881" s="26"/>
    </row>
    <row r="1882" spans="1:7" x14ac:dyDescent="0.25">
      <c r="A1882" s="204">
        <v>42815</v>
      </c>
      <c r="B1882" s="462" t="s">
        <v>1485</v>
      </c>
      <c r="C1882" s="463"/>
      <c r="D1882" s="71"/>
      <c r="E1882" s="58">
        <v>50000</v>
      </c>
      <c r="F1882" s="8">
        <f t="shared" si="29"/>
        <v>50493</v>
      </c>
      <c r="G1882" s="26"/>
    </row>
    <row r="1883" spans="1:7" x14ac:dyDescent="0.25">
      <c r="A1883" s="204">
        <v>42815</v>
      </c>
      <c r="B1883" s="26" t="s">
        <v>117</v>
      </c>
      <c r="C1883" s="87" t="s">
        <v>32</v>
      </c>
      <c r="D1883" s="8">
        <v>16500</v>
      </c>
      <c r="E1883" s="8"/>
      <c r="F1883" s="8">
        <f t="shared" si="29"/>
        <v>33993</v>
      </c>
      <c r="G1883" s="26"/>
    </row>
    <row r="1884" spans="1:7" x14ac:dyDescent="0.25">
      <c r="A1884" s="204">
        <v>42815</v>
      </c>
      <c r="B1884" s="26" t="s">
        <v>59</v>
      </c>
      <c r="C1884" s="87" t="s">
        <v>32</v>
      </c>
      <c r="D1884" s="8">
        <v>500</v>
      </c>
      <c r="E1884" s="8"/>
      <c r="F1884" s="8">
        <f t="shared" si="29"/>
        <v>33493</v>
      </c>
      <c r="G1884" s="26"/>
    </row>
    <row r="1885" spans="1:7" x14ac:dyDescent="0.25">
      <c r="A1885" s="204">
        <v>42815</v>
      </c>
      <c r="B1885" s="26" t="s">
        <v>121</v>
      </c>
      <c r="C1885" s="87" t="s">
        <v>32</v>
      </c>
      <c r="D1885" s="8">
        <v>1000</v>
      </c>
      <c r="E1885" s="8"/>
      <c r="F1885" s="8">
        <f t="shared" si="29"/>
        <v>32493</v>
      </c>
      <c r="G1885" s="26"/>
    </row>
    <row r="1886" spans="1:7" x14ac:dyDescent="0.25">
      <c r="A1886" s="204">
        <v>42815</v>
      </c>
      <c r="B1886" s="29" t="s">
        <v>17</v>
      </c>
      <c r="C1886" s="89" t="s">
        <v>32</v>
      </c>
      <c r="D1886" s="14">
        <v>1000</v>
      </c>
      <c r="E1886" s="8"/>
      <c r="F1886" s="8">
        <f t="shared" si="29"/>
        <v>31493</v>
      </c>
      <c r="G1886" s="26"/>
    </row>
    <row r="1887" spans="1:7" x14ac:dyDescent="0.25">
      <c r="A1887" s="204">
        <v>42815</v>
      </c>
      <c r="B1887" s="26" t="s">
        <v>128</v>
      </c>
      <c r="C1887" s="87" t="s">
        <v>1477</v>
      </c>
      <c r="D1887" s="8">
        <v>12500</v>
      </c>
      <c r="E1887" s="8"/>
      <c r="F1887" s="8">
        <f t="shared" si="29"/>
        <v>18993</v>
      </c>
      <c r="G1887" s="26"/>
    </row>
    <row r="1888" spans="1:7" x14ac:dyDescent="0.25">
      <c r="A1888" s="204">
        <v>42815</v>
      </c>
      <c r="B1888" s="26" t="s">
        <v>248</v>
      </c>
      <c r="C1888" s="87" t="s">
        <v>1478</v>
      </c>
      <c r="D1888" s="8">
        <v>1170</v>
      </c>
      <c r="E1888" s="8"/>
      <c r="F1888" s="8">
        <f t="shared" si="29"/>
        <v>17823</v>
      </c>
      <c r="G1888" s="26"/>
    </row>
    <row r="1889" spans="1:7" x14ac:dyDescent="0.25">
      <c r="A1889" s="204">
        <v>42816</v>
      </c>
      <c r="B1889" s="26" t="s">
        <v>446</v>
      </c>
      <c r="C1889" s="87" t="s">
        <v>32</v>
      </c>
      <c r="D1889" s="8">
        <v>3000</v>
      </c>
      <c r="E1889" s="8"/>
      <c r="F1889" s="8">
        <f t="shared" si="29"/>
        <v>14823</v>
      </c>
      <c r="G1889" s="26"/>
    </row>
    <row r="1890" spans="1:7" x14ac:dyDescent="0.25">
      <c r="A1890" s="204">
        <v>42816</v>
      </c>
      <c r="B1890" s="26" t="s">
        <v>17</v>
      </c>
      <c r="C1890" s="87" t="s">
        <v>32</v>
      </c>
      <c r="D1890" s="8">
        <v>500</v>
      </c>
      <c r="E1890" s="8"/>
      <c r="F1890" s="8">
        <f t="shared" si="29"/>
        <v>14323</v>
      </c>
      <c r="G1890" s="26"/>
    </row>
    <row r="1891" spans="1:7" x14ac:dyDescent="0.25">
      <c r="A1891" s="204">
        <v>42816</v>
      </c>
      <c r="B1891" s="462" t="s">
        <v>1486</v>
      </c>
      <c r="C1891" s="463"/>
      <c r="D1891" s="71"/>
      <c r="E1891" s="58">
        <v>50000</v>
      </c>
      <c r="F1891" s="8">
        <f t="shared" si="29"/>
        <v>64323</v>
      </c>
      <c r="G1891" s="26"/>
    </row>
    <row r="1892" spans="1:7" x14ac:dyDescent="0.25">
      <c r="A1892" s="204">
        <v>42816</v>
      </c>
      <c r="B1892" s="26" t="s">
        <v>4</v>
      </c>
      <c r="C1892" s="87" t="s">
        <v>32</v>
      </c>
      <c r="D1892" s="8">
        <v>2000</v>
      </c>
      <c r="E1892" s="8"/>
      <c r="F1892" s="8">
        <f t="shared" si="29"/>
        <v>62323</v>
      </c>
      <c r="G1892" s="26"/>
    </row>
    <row r="1893" spans="1:7" x14ac:dyDescent="0.25">
      <c r="A1893" s="204">
        <v>42816</v>
      </c>
      <c r="B1893" s="26" t="s">
        <v>105</v>
      </c>
      <c r="C1893" s="87" t="s">
        <v>32</v>
      </c>
      <c r="D1893" s="8">
        <v>1000</v>
      </c>
      <c r="E1893" s="8"/>
      <c r="F1893" s="8">
        <f t="shared" si="29"/>
        <v>61323</v>
      </c>
      <c r="G1893" s="26"/>
    </row>
    <row r="1894" spans="1:7" x14ac:dyDescent="0.25">
      <c r="A1894" s="204">
        <v>42816</v>
      </c>
      <c r="B1894" s="29" t="s">
        <v>1346</v>
      </c>
      <c r="C1894" s="89" t="s">
        <v>1702</v>
      </c>
      <c r="D1894" s="14">
        <v>22225</v>
      </c>
      <c r="E1894" s="8"/>
      <c r="F1894" s="8">
        <f t="shared" si="29"/>
        <v>39098</v>
      </c>
      <c r="G1894" s="26"/>
    </row>
    <row r="1895" spans="1:7" ht="30" x14ac:dyDescent="0.25">
      <c r="A1895" s="204">
        <v>42816</v>
      </c>
      <c r="B1895" s="26" t="s">
        <v>26</v>
      </c>
      <c r="C1895" s="87" t="s">
        <v>1482</v>
      </c>
      <c r="D1895" s="8">
        <v>325</v>
      </c>
      <c r="E1895" s="8"/>
      <c r="F1895" s="8">
        <f t="shared" si="29"/>
        <v>38773</v>
      </c>
      <c r="G1895" s="26"/>
    </row>
    <row r="1896" spans="1:7" x14ac:dyDescent="0.25">
      <c r="A1896" s="204">
        <v>42816</v>
      </c>
      <c r="B1896" s="26" t="s">
        <v>165</v>
      </c>
      <c r="C1896" s="87" t="s">
        <v>32</v>
      </c>
      <c r="D1896" s="8">
        <v>25000</v>
      </c>
      <c r="E1896" s="8"/>
      <c r="F1896" s="8">
        <f t="shared" si="29"/>
        <v>13773</v>
      </c>
      <c r="G1896" s="26"/>
    </row>
    <row r="1897" spans="1:7" x14ac:dyDescent="0.25">
      <c r="A1897" s="204">
        <v>42816</v>
      </c>
      <c r="B1897" s="26" t="s">
        <v>108</v>
      </c>
      <c r="C1897" s="87" t="s">
        <v>1479</v>
      </c>
      <c r="D1897" s="8">
        <v>5000</v>
      </c>
      <c r="E1897" s="8"/>
      <c r="F1897" s="8">
        <f t="shared" si="29"/>
        <v>8773</v>
      </c>
      <c r="G1897" s="26"/>
    </row>
    <row r="1898" spans="1:7" x14ac:dyDescent="0.25">
      <c r="A1898" s="204">
        <v>42816</v>
      </c>
      <c r="B1898" s="26" t="s">
        <v>85</v>
      </c>
      <c r="C1898" s="87" t="s">
        <v>1480</v>
      </c>
      <c r="D1898" s="8">
        <v>3000</v>
      </c>
      <c r="E1898" s="8"/>
      <c r="F1898" s="8">
        <f t="shared" si="29"/>
        <v>5773</v>
      </c>
      <c r="G1898" s="26"/>
    </row>
    <row r="1899" spans="1:7" x14ac:dyDescent="0.25">
      <c r="A1899" s="204">
        <v>42816</v>
      </c>
      <c r="B1899" s="26" t="s">
        <v>121</v>
      </c>
      <c r="C1899" s="87" t="s">
        <v>32</v>
      </c>
      <c r="D1899" s="8">
        <v>2000</v>
      </c>
      <c r="E1899" s="8"/>
      <c r="F1899" s="8">
        <f t="shared" si="29"/>
        <v>3773</v>
      </c>
      <c r="G1899" s="26"/>
    </row>
    <row r="1900" spans="1:7" x14ac:dyDescent="0.25">
      <c r="A1900" s="204">
        <v>42816</v>
      </c>
      <c r="B1900" s="26" t="s">
        <v>17</v>
      </c>
      <c r="C1900" s="87" t="s">
        <v>32</v>
      </c>
      <c r="D1900" s="8">
        <v>1000</v>
      </c>
      <c r="E1900" s="8"/>
      <c r="F1900" s="8">
        <f t="shared" si="29"/>
        <v>2773</v>
      </c>
      <c r="G1900" s="26"/>
    </row>
    <row r="1901" spans="1:7" ht="30" x14ac:dyDescent="0.25">
      <c r="A1901" s="204">
        <v>42816</v>
      </c>
      <c r="B1901" s="29" t="s">
        <v>26</v>
      </c>
      <c r="C1901" s="89" t="s">
        <v>1481</v>
      </c>
      <c r="D1901" s="14">
        <v>275</v>
      </c>
      <c r="E1901" s="8"/>
      <c r="F1901" s="8">
        <f t="shared" si="29"/>
        <v>2498</v>
      </c>
      <c r="G1901" s="26"/>
    </row>
    <row r="1902" spans="1:7" ht="45" x14ac:dyDescent="0.25">
      <c r="A1902" s="204">
        <v>42816</v>
      </c>
      <c r="B1902" s="26" t="s">
        <v>26</v>
      </c>
      <c r="C1902" s="87" t="s">
        <v>1483</v>
      </c>
      <c r="D1902" s="8">
        <v>1130</v>
      </c>
      <c r="E1902" s="8"/>
      <c r="F1902" s="8">
        <f t="shared" si="29"/>
        <v>1368</v>
      </c>
      <c r="G1902" s="26"/>
    </row>
    <row r="1903" spans="1:7" x14ac:dyDescent="0.25">
      <c r="A1903" s="204">
        <v>42816</v>
      </c>
      <c r="B1903" s="26" t="s">
        <v>59</v>
      </c>
      <c r="C1903" s="87" t="s">
        <v>32</v>
      </c>
      <c r="D1903" s="8">
        <v>100</v>
      </c>
      <c r="E1903" s="8"/>
      <c r="F1903" s="8">
        <f t="shared" si="29"/>
        <v>1268</v>
      </c>
      <c r="G1903" s="26"/>
    </row>
    <row r="1904" spans="1:7" x14ac:dyDescent="0.25">
      <c r="A1904" s="204">
        <v>42818</v>
      </c>
      <c r="B1904" s="462" t="s">
        <v>1487</v>
      </c>
      <c r="C1904" s="463"/>
      <c r="D1904" s="71"/>
      <c r="E1904" s="58">
        <v>50000</v>
      </c>
      <c r="F1904" s="8">
        <f t="shared" si="29"/>
        <v>51268</v>
      </c>
      <c r="G1904" s="26"/>
    </row>
    <row r="1905" spans="1:7" x14ac:dyDescent="0.25">
      <c r="A1905" s="204">
        <v>42823</v>
      </c>
      <c r="B1905" s="26" t="s">
        <v>28</v>
      </c>
      <c r="C1905" s="87" t="s">
        <v>1494</v>
      </c>
      <c r="D1905" s="8">
        <v>3000</v>
      </c>
      <c r="E1905" s="14"/>
      <c r="F1905" s="8">
        <f t="shared" si="29"/>
        <v>48268</v>
      </c>
      <c r="G1905" s="29"/>
    </row>
    <row r="1906" spans="1:7" x14ac:dyDescent="0.25">
      <c r="A1906" s="204">
        <v>42823</v>
      </c>
      <c r="B1906" s="29" t="s">
        <v>1131</v>
      </c>
      <c r="C1906" s="89" t="s">
        <v>1488</v>
      </c>
      <c r="D1906" s="14">
        <v>5000</v>
      </c>
      <c r="E1906" s="14"/>
      <c r="F1906" s="8">
        <f t="shared" si="29"/>
        <v>43268</v>
      </c>
      <c r="G1906" s="29"/>
    </row>
    <row r="1907" spans="1:7" x14ac:dyDescent="0.25">
      <c r="A1907" s="204">
        <v>42824</v>
      </c>
      <c r="B1907" s="29" t="s">
        <v>59</v>
      </c>
      <c r="C1907" s="89" t="s">
        <v>1497</v>
      </c>
      <c r="D1907" s="14">
        <v>5990</v>
      </c>
      <c r="E1907" s="14"/>
      <c r="F1907" s="8">
        <f t="shared" si="29"/>
        <v>37278</v>
      </c>
      <c r="G1907" s="29"/>
    </row>
    <row r="1908" spans="1:7" x14ac:dyDescent="0.25">
      <c r="A1908" s="204">
        <v>42824</v>
      </c>
      <c r="B1908" s="29" t="s">
        <v>59</v>
      </c>
      <c r="C1908" s="89" t="s">
        <v>1496</v>
      </c>
      <c r="D1908" s="14">
        <v>800</v>
      </c>
      <c r="E1908" s="14"/>
      <c r="F1908" s="8">
        <f t="shared" si="29"/>
        <v>36478</v>
      </c>
      <c r="G1908" s="29"/>
    </row>
    <row r="1909" spans="1:7" x14ac:dyDescent="0.25">
      <c r="A1909" s="204">
        <v>42824</v>
      </c>
      <c r="B1909" s="29" t="s">
        <v>117</v>
      </c>
      <c r="C1909" s="89" t="s">
        <v>1489</v>
      </c>
      <c r="D1909" s="14">
        <v>8000</v>
      </c>
      <c r="E1909" s="14"/>
      <c r="F1909" s="8">
        <f t="shared" si="29"/>
        <v>28478</v>
      </c>
      <c r="G1909" s="29"/>
    </row>
    <row r="1910" spans="1:7" ht="30" x14ac:dyDescent="0.25">
      <c r="A1910" s="204">
        <v>42824</v>
      </c>
      <c r="B1910" s="29" t="s">
        <v>163</v>
      </c>
      <c r="C1910" s="89" t="s">
        <v>1501</v>
      </c>
      <c r="D1910" s="14">
        <v>19000</v>
      </c>
      <c r="E1910" s="14"/>
      <c r="F1910" s="8">
        <f t="shared" si="29"/>
        <v>9478</v>
      </c>
      <c r="G1910" s="29"/>
    </row>
    <row r="1911" spans="1:7" ht="30" x14ac:dyDescent="0.25">
      <c r="A1911" s="204">
        <v>42824</v>
      </c>
      <c r="B1911" s="29" t="s">
        <v>163</v>
      </c>
      <c r="C1911" s="208" t="s">
        <v>1502</v>
      </c>
      <c r="D1911" s="14">
        <v>1000</v>
      </c>
      <c r="E1911" s="14"/>
      <c r="F1911" s="8">
        <f t="shared" si="29"/>
        <v>8478</v>
      </c>
      <c r="G1911" s="29"/>
    </row>
    <row r="1912" spans="1:7" x14ac:dyDescent="0.25">
      <c r="A1912" s="204">
        <v>42824</v>
      </c>
      <c r="B1912" s="462" t="s">
        <v>1490</v>
      </c>
      <c r="C1912" s="463"/>
      <c r="D1912" s="71"/>
      <c r="E1912" s="58">
        <v>50000</v>
      </c>
      <c r="F1912" s="8">
        <f t="shared" si="29"/>
        <v>58478</v>
      </c>
      <c r="G1912" s="29"/>
    </row>
    <row r="1913" spans="1:7" x14ac:dyDescent="0.25">
      <c r="A1913" s="204">
        <v>42824</v>
      </c>
      <c r="B1913" s="29" t="s">
        <v>1334</v>
      </c>
      <c r="C1913" s="89" t="s">
        <v>1491</v>
      </c>
      <c r="D1913" s="14">
        <v>15000</v>
      </c>
      <c r="E1913" s="14"/>
      <c r="F1913" s="8">
        <f t="shared" si="29"/>
        <v>43478</v>
      </c>
      <c r="G1913" s="29"/>
    </row>
    <row r="1914" spans="1:7" x14ac:dyDescent="0.25">
      <c r="A1914" s="204">
        <v>42824</v>
      </c>
      <c r="B1914" s="29" t="s">
        <v>121</v>
      </c>
      <c r="C1914" s="89" t="s">
        <v>1492</v>
      </c>
      <c r="D1914" s="14">
        <v>1000</v>
      </c>
      <c r="E1914" s="14"/>
      <c r="F1914" s="8">
        <f t="shared" si="29"/>
        <v>42478</v>
      </c>
      <c r="G1914" s="29"/>
    </row>
    <row r="1915" spans="1:7" x14ac:dyDescent="0.25">
      <c r="A1915" s="204">
        <v>42824</v>
      </c>
      <c r="B1915" s="29" t="s">
        <v>1131</v>
      </c>
      <c r="C1915" s="89" t="s">
        <v>1493</v>
      </c>
      <c r="D1915" s="14">
        <v>22000</v>
      </c>
      <c r="E1915" s="14"/>
      <c r="F1915" s="8">
        <f t="shared" si="29"/>
        <v>20478</v>
      </c>
      <c r="G1915" s="29"/>
    </row>
    <row r="1916" spans="1:7" x14ac:dyDescent="0.25">
      <c r="A1916" s="204">
        <v>42825</v>
      </c>
      <c r="B1916" s="29" t="s">
        <v>4</v>
      </c>
      <c r="C1916" s="89" t="s">
        <v>32</v>
      </c>
      <c r="D1916" s="14">
        <v>10000</v>
      </c>
      <c r="E1916" s="14"/>
      <c r="F1916" s="8">
        <f t="shared" si="29"/>
        <v>10478</v>
      </c>
      <c r="G1916" s="29"/>
    </row>
    <row r="1917" spans="1:7" x14ac:dyDescent="0.25">
      <c r="A1917" s="204">
        <v>42825</v>
      </c>
      <c r="B1917" s="29" t="s">
        <v>85</v>
      </c>
      <c r="C1917" s="89" t="s">
        <v>1495</v>
      </c>
      <c r="D1917" s="14">
        <v>2000</v>
      </c>
      <c r="E1917" s="14"/>
      <c r="F1917" s="8">
        <f t="shared" si="29"/>
        <v>8478</v>
      </c>
      <c r="G1917" s="29"/>
    </row>
    <row r="1918" spans="1:7" x14ac:dyDescent="0.25">
      <c r="A1918" s="204">
        <v>42825</v>
      </c>
      <c r="B1918" s="29" t="s">
        <v>248</v>
      </c>
      <c r="C1918" s="89" t="s">
        <v>1498</v>
      </c>
      <c r="D1918" s="14">
        <v>395</v>
      </c>
      <c r="E1918" s="14"/>
      <c r="F1918" s="8">
        <f t="shared" si="29"/>
        <v>8083</v>
      </c>
      <c r="G1918" s="29"/>
    </row>
    <row r="1919" spans="1:7" x14ac:dyDescent="0.25">
      <c r="A1919" s="204">
        <v>42825</v>
      </c>
      <c r="B1919" s="29" t="s">
        <v>248</v>
      </c>
      <c r="C1919" s="89" t="s">
        <v>1498</v>
      </c>
      <c r="D1919" s="14">
        <v>255</v>
      </c>
      <c r="E1919" s="14"/>
      <c r="F1919" s="8">
        <f t="shared" si="29"/>
        <v>7828</v>
      </c>
      <c r="G1919" s="29"/>
    </row>
    <row r="1920" spans="1:7" x14ac:dyDescent="0.25">
      <c r="A1920" s="204">
        <v>42825</v>
      </c>
      <c r="B1920" s="29" t="s">
        <v>1504</v>
      </c>
      <c r="C1920" s="89" t="s">
        <v>1505</v>
      </c>
      <c r="D1920" s="14">
        <v>150</v>
      </c>
      <c r="E1920" s="14"/>
      <c r="F1920" s="8">
        <f t="shared" si="29"/>
        <v>7678</v>
      </c>
      <c r="G1920" s="29"/>
    </row>
    <row r="1921" spans="1:7" x14ac:dyDescent="0.25">
      <c r="A1921" s="204">
        <v>42825</v>
      </c>
      <c r="B1921" s="29" t="s">
        <v>248</v>
      </c>
      <c r="C1921" s="89" t="s">
        <v>1499</v>
      </c>
      <c r="D1921" s="14">
        <v>560</v>
      </c>
      <c r="E1921" s="14"/>
      <c r="F1921" s="8">
        <f t="shared" si="29"/>
        <v>7118</v>
      </c>
      <c r="G1921" s="29"/>
    </row>
    <row r="1922" spans="1:7" ht="30" x14ac:dyDescent="0.25">
      <c r="A1922" s="204">
        <v>42825</v>
      </c>
      <c r="B1922" s="29" t="s">
        <v>26</v>
      </c>
      <c r="C1922" s="89" t="s">
        <v>1517</v>
      </c>
      <c r="D1922" s="14">
        <v>560</v>
      </c>
      <c r="E1922" s="14"/>
      <c r="F1922" s="8">
        <f t="shared" si="29"/>
        <v>6558</v>
      </c>
      <c r="G1922" s="29"/>
    </row>
    <row r="1923" spans="1:7" x14ac:dyDescent="0.25">
      <c r="A1923" s="204">
        <v>42825</v>
      </c>
      <c r="B1923" s="197" t="s">
        <v>117</v>
      </c>
      <c r="C1923" s="198" t="s">
        <v>1500</v>
      </c>
      <c r="D1923" s="75">
        <v>5000</v>
      </c>
      <c r="E1923" s="14"/>
      <c r="F1923" s="8">
        <f t="shared" ref="F1923:F1986" si="30">F1922-D1923+E1923</f>
        <v>1558</v>
      </c>
      <c r="G1923" s="29"/>
    </row>
    <row r="1924" spans="1:7" x14ac:dyDescent="0.25">
      <c r="A1924" s="204">
        <v>42825</v>
      </c>
      <c r="B1924" s="462" t="s">
        <v>1503</v>
      </c>
      <c r="C1924" s="463"/>
      <c r="D1924" s="71"/>
      <c r="E1924" s="58">
        <v>50000</v>
      </c>
      <c r="F1924" s="8">
        <f t="shared" si="30"/>
        <v>51558</v>
      </c>
      <c r="G1924" s="29"/>
    </row>
    <row r="1925" spans="1:7" ht="30" x14ac:dyDescent="0.25">
      <c r="A1925" s="204">
        <v>42825</v>
      </c>
      <c r="B1925" s="89" t="s">
        <v>1506</v>
      </c>
      <c r="C1925" s="89" t="s">
        <v>1507</v>
      </c>
      <c r="D1925" s="14">
        <v>5400</v>
      </c>
      <c r="E1925" s="14"/>
      <c r="F1925" s="8">
        <f t="shared" si="30"/>
        <v>46158</v>
      </c>
      <c r="G1925" s="29"/>
    </row>
    <row r="1926" spans="1:7" ht="30" x14ac:dyDescent="0.25">
      <c r="A1926" s="204">
        <v>42825</v>
      </c>
      <c r="B1926" s="29" t="s">
        <v>59</v>
      </c>
      <c r="C1926" s="89" t="s">
        <v>1550</v>
      </c>
      <c r="D1926" s="14">
        <v>8798</v>
      </c>
      <c r="E1926" s="14"/>
      <c r="F1926" s="8">
        <f t="shared" si="30"/>
        <v>37360</v>
      </c>
      <c r="G1926" s="29"/>
    </row>
    <row r="1927" spans="1:7" x14ac:dyDescent="0.25">
      <c r="A1927" s="204">
        <v>42825</v>
      </c>
      <c r="B1927" s="29" t="s">
        <v>1006</v>
      </c>
      <c r="C1927" s="89" t="s">
        <v>1508</v>
      </c>
      <c r="D1927" s="14">
        <v>2720</v>
      </c>
      <c r="E1927" s="14"/>
      <c r="F1927" s="8">
        <f t="shared" si="30"/>
        <v>34640</v>
      </c>
      <c r="G1927" s="29"/>
    </row>
    <row r="1928" spans="1:7" x14ac:dyDescent="0.25">
      <c r="A1928" s="204">
        <v>42826</v>
      </c>
      <c r="B1928" s="29" t="s">
        <v>109</v>
      </c>
      <c r="C1928" s="89" t="s">
        <v>1509</v>
      </c>
      <c r="D1928" s="14">
        <v>200</v>
      </c>
      <c r="E1928" s="14"/>
      <c r="F1928" s="8">
        <f t="shared" si="30"/>
        <v>34440</v>
      </c>
      <c r="G1928" s="29"/>
    </row>
    <row r="1929" spans="1:7" x14ac:dyDescent="0.25">
      <c r="A1929" s="204">
        <v>42826</v>
      </c>
      <c r="B1929" s="29" t="s">
        <v>1346</v>
      </c>
      <c r="C1929" s="89" t="s">
        <v>73</v>
      </c>
      <c r="D1929" s="14">
        <v>20000</v>
      </c>
      <c r="E1929" s="14"/>
      <c r="F1929" s="8">
        <f t="shared" si="30"/>
        <v>14440</v>
      </c>
      <c r="G1929" s="29"/>
    </row>
    <row r="1930" spans="1:7" ht="30" x14ac:dyDescent="0.25">
      <c r="A1930" s="204">
        <v>42826</v>
      </c>
      <c r="B1930" s="29" t="s">
        <v>1346</v>
      </c>
      <c r="C1930" s="89" t="s">
        <v>1510</v>
      </c>
      <c r="D1930" s="14">
        <v>8000</v>
      </c>
      <c r="E1930" s="14"/>
      <c r="F1930" s="8">
        <f t="shared" si="30"/>
        <v>6440</v>
      </c>
      <c r="G1930" s="29"/>
    </row>
    <row r="1931" spans="1:7" x14ac:dyDescent="0.25">
      <c r="A1931" s="204">
        <v>42826</v>
      </c>
      <c r="B1931" s="29" t="s">
        <v>117</v>
      </c>
      <c r="C1931" s="89" t="s">
        <v>1511</v>
      </c>
      <c r="D1931" s="14">
        <v>2000</v>
      </c>
      <c r="E1931" s="14"/>
      <c r="F1931" s="8">
        <f t="shared" si="30"/>
        <v>4440</v>
      </c>
      <c r="G1931" s="29"/>
    </row>
    <row r="1932" spans="1:7" x14ac:dyDescent="0.25">
      <c r="A1932" s="204">
        <v>42828</v>
      </c>
      <c r="B1932" s="462" t="s">
        <v>1514</v>
      </c>
      <c r="C1932" s="463"/>
      <c r="D1932" s="71"/>
      <c r="E1932" s="58">
        <v>25000</v>
      </c>
      <c r="F1932" s="8">
        <f t="shared" si="30"/>
        <v>29440</v>
      </c>
      <c r="G1932" s="29"/>
    </row>
    <row r="1933" spans="1:7" x14ac:dyDescent="0.25">
      <c r="A1933" s="204">
        <v>42828</v>
      </c>
      <c r="B1933" s="29" t="s">
        <v>121</v>
      </c>
      <c r="C1933" s="89" t="s">
        <v>32</v>
      </c>
      <c r="D1933" s="14">
        <v>100</v>
      </c>
      <c r="E1933" s="14"/>
      <c r="F1933" s="8">
        <f t="shared" si="30"/>
        <v>29340</v>
      </c>
      <c r="G1933" s="29"/>
    </row>
    <row r="1934" spans="1:7" x14ac:dyDescent="0.25">
      <c r="A1934" s="204">
        <v>42828</v>
      </c>
      <c r="B1934" s="29" t="s">
        <v>117</v>
      </c>
      <c r="C1934" s="89" t="s">
        <v>1527</v>
      </c>
      <c r="D1934" s="14">
        <v>5500</v>
      </c>
      <c r="E1934" s="14"/>
      <c r="F1934" s="8">
        <f t="shared" si="30"/>
        <v>23840</v>
      </c>
      <c r="G1934" s="29"/>
    </row>
    <row r="1935" spans="1:7" x14ac:dyDescent="0.25">
      <c r="A1935" s="204">
        <v>42828</v>
      </c>
      <c r="B1935" s="29" t="s">
        <v>57</v>
      </c>
      <c r="C1935" s="89" t="s">
        <v>34</v>
      </c>
      <c r="D1935" s="14">
        <v>50</v>
      </c>
      <c r="E1935" s="14"/>
      <c r="F1935" s="8">
        <f t="shared" si="30"/>
        <v>23790</v>
      </c>
      <c r="G1935" s="29"/>
    </row>
    <row r="1936" spans="1:7" x14ac:dyDescent="0.25">
      <c r="A1936" s="204">
        <v>42828</v>
      </c>
      <c r="B1936" s="29" t="s">
        <v>26</v>
      </c>
      <c r="C1936" s="89" t="s">
        <v>1512</v>
      </c>
      <c r="D1936" s="14">
        <v>30</v>
      </c>
      <c r="E1936" s="14"/>
      <c r="F1936" s="8">
        <f t="shared" si="30"/>
        <v>23760</v>
      </c>
      <c r="G1936" s="29"/>
    </row>
    <row r="1937" spans="1:7" ht="45" x14ac:dyDescent="0.25">
      <c r="A1937" s="204">
        <v>42828</v>
      </c>
      <c r="B1937" s="29" t="s">
        <v>59</v>
      </c>
      <c r="C1937" s="89" t="s">
        <v>1551</v>
      </c>
      <c r="D1937" s="14">
        <v>4000</v>
      </c>
      <c r="E1937" s="14"/>
      <c r="F1937" s="8">
        <f t="shared" si="30"/>
        <v>19760</v>
      </c>
      <c r="G1937" s="29"/>
    </row>
    <row r="1938" spans="1:7" x14ac:dyDescent="0.25">
      <c r="A1938" s="204">
        <v>42828</v>
      </c>
      <c r="B1938" s="29" t="s">
        <v>121</v>
      </c>
      <c r="C1938" s="89" t="s">
        <v>32</v>
      </c>
      <c r="D1938" s="14">
        <v>1000</v>
      </c>
      <c r="E1938" s="14"/>
      <c r="F1938" s="8">
        <f t="shared" si="30"/>
        <v>18760</v>
      </c>
      <c r="G1938" s="29"/>
    </row>
    <row r="1939" spans="1:7" x14ac:dyDescent="0.25">
      <c r="A1939" s="204">
        <v>42828</v>
      </c>
      <c r="B1939" s="29" t="s">
        <v>26</v>
      </c>
      <c r="C1939" s="89" t="s">
        <v>1518</v>
      </c>
      <c r="D1939" s="14">
        <v>70</v>
      </c>
      <c r="E1939" s="14"/>
      <c r="F1939" s="8">
        <f t="shared" si="30"/>
        <v>18690</v>
      </c>
      <c r="G1939" s="29"/>
    </row>
    <row r="1940" spans="1:7" x14ac:dyDescent="0.25">
      <c r="A1940" s="204">
        <v>42828</v>
      </c>
      <c r="B1940" s="29" t="s">
        <v>121</v>
      </c>
      <c r="C1940" s="89" t="s">
        <v>1513</v>
      </c>
      <c r="D1940" s="14">
        <v>5300</v>
      </c>
      <c r="E1940" s="14"/>
      <c r="F1940" s="8">
        <f t="shared" si="30"/>
        <v>13390</v>
      </c>
      <c r="G1940" s="29"/>
    </row>
    <row r="1941" spans="1:7" x14ac:dyDescent="0.25">
      <c r="A1941" s="204">
        <v>42828</v>
      </c>
      <c r="B1941" s="29" t="s">
        <v>19</v>
      </c>
      <c r="C1941" s="89" t="s">
        <v>32</v>
      </c>
      <c r="D1941" s="14">
        <v>2000</v>
      </c>
      <c r="E1941" s="14"/>
      <c r="F1941" s="8">
        <f t="shared" si="30"/>
        <v>11390</v>
      </c>
      <c r="G1941" s="29"/>
    </row>
    <row r="1942" spans="1:7" x14ac:dyDescent="0.25">
      <c r="A1942" s="204">
        <v>42828</v>
      </c>
      <c r="B1942" s="29" t="s">
        <v>105</v>
      </c>
      <c r="C1942" s="89" t="s">
        <v>1523</v>
      </c>
      <c r="D1942" s="14">
        <v>5500</v>
      </c>
      <c r="E1942" s="14"/>
      <c r="F1942" s="8">
        <f t="shared" si="30"/>
        <v>5890</v>
      </c>
      <c r="G1942" s="29"/>
    </row>
    <row r="1943" spans="1:7" x14ac:dyDescent="0.25">
      <c r="A1943" s="204">
        <v>42829</v>
      </c>
      <c r="B1943" s="29" t="s">
        <v>1515</v>
      </c>
      <c r="C1943" s="89" t="s">
        <v>1516</v>
      </c>
      <c r="D1943" s="14">
        <v>3000</v>
      </c>
      <c r="E1943" s="14"/>
      <c r="F1943" s="8">
        <f t="shared" si="30"/>
        <v>2890</v>
      </c>
      <c r="G1943" s="29"/>
    </row>
    <row r="1944" spans="1:7" x14ac:dyDescent="0.25">
      <c r="A1944" s="204">
        <v>42829</v>
      </c>
      <c r="B1944" s="462" t="s">
        <v>1519</v>
      </c>
      <c r="C1944" s="463"/>
      <c r="D1944" s="71"/>
      <c r="E1944" s="58">
        <v>70000</v>
      </c>
      <c r="F1944" s="8">
        <f t="shared" si="30"/>
        <v>72890</v>
      </c>
      <c r="G1944" s="29"/>
    </row>
    <row r="1945" spans="1:7" x14ac:dyDescent="0.25">
      <c r="A1945" s="204">
        <v>42829</v>
      </c>
      <c r="B1945" s="29" t="s">
        <v>165</v>
      </c>
      <c r="C1945" s="89" t="s">
        <v>1520</v>
      </c>
      <c r="D1945" s="14">
        <v>5000</v>
      </c>
      <c r="E1945" s="14"/>
      <c r="F1945" s="8">
        <f t="shared" si="30"/>
        <v>67890</v>
      </c>
      <c r="G1945" s="29"/>
    </row>
    <row r="1946" spans="1:7" x14ac:dyDescent="0.25">
      <c r="A1946" s="204">
        <v>42829</v>
      </c>
      <c r="B1946" s="29" t="s">
        <v>1131</v>
      </c>
      <c r="C1946" s="89" t="s">
        <v>1521</v>
      </c>
      <c r="D1946" s="14">
        <v>10000</v>
      </c>
      <c r="E1946" s="14"/>
      <c r="F1946" s="8">
        <f t="shared" si="30"/>
        <v>57890</v>
      </c>
      <c r="G1946" s="29"/>
    </row>
    <row r="1947" spans="1:7" x14ac:dyDescent="0.25">
      <c r="A1947" s="204">
        <v>42829</v>
      </c>
      <c r="B1947" s="29" t="s">
        <v>1131</v>
      </c>
      <c r="C1947" s="89" t="s">
        <v>1522</v>
      </c>
      <c r="D1947" s="14">
        <v>10000</v>
      </c>
      <c r="E1947" s="14"/>
      <c r="F1947" s="8">
        <f t="shared" si="30"/>
        <v>47890</v>
      </c>
      <c r="G1947" s="29"/>
    </row>
    <row r="1948" spans="1:7" x14ac:dyDescent="0.25">
      <c r="A1948" s="204">
        <v>42829</v>
      </c>
      <c r="B1948" s="29" t="s">
        <v>165</v>
      </c>
      <c r="C1948" s="89" t="s">
        <v>32</v>
      </c>
      <c r="D1948" s="14">
        <v>10000</v>
      </c>
      <c r="E1948" s="14"/>
      <c r="F1948" s="8">
        <f t="shared" si="30"/>
        <v>37890</v>
      </c>
      <c r="G1948" s="29"/>
    </row>
    <row r="1949" spans="1:7" x14ac:dyDescent="0.25">
      <c r="A1949" s="204">
        <v>42829</v>
      </c>
      <c r="B1949" s="29" t="s">
        <v>17</v>
      </c>
      <c r="C1949" s="89" t="s">
        <v>1528</v>
      </c>
      <c r="D1949" s="14">
        <v>25000</v>
      </c>
      <c r="E1949" s="14"/>
      <c r="F1949" s="8">
        <f t="shared" si="30"/>
        <v>12890</v>
      </c>
      <c r="G1949" s="29"/>
    </row>
    <row r="1950" spans="1:7" ht="30" x14ac:dyDescent="0.25">
      <c r="A1950" s="204">
        <v>42829</v>
      </c>
      <c r="B1950" s="29" t="s">
        <v>59</v>
      </c>
      <c r="C1950" s="89" t="s">
        <v>1552</v>
      </c>
      <c r="D1950" s="14">
        <v>100</v>
      </c>
      <c r="E1950" s="14"/>
      <c r="F1950" s="8">
        <f t="shared" si="30"/>
        <v>12790</v>
      </c>
      <c r="G1950" s="29"/>
    </row>
    <row r="1951" spans="1:7" ht="30" x14ac:dyDescent="0.25">
      <c r="A1951" s="204">
        <v>42829</v>
      </c>
      <c r="B1951" s="29" t="s">
        <v>59</v>
      </c>
      <c r="C1951" s="208" t="s">
        <v>1553</v>
      </c>
      <c r="D1951" s="14">
        <v>100</v>
      </c>
      <c r="E1951" s="14"/>
      <c r="F1951" s="8">
        <f t="shared" si="30"/>
        <v>12690</v>
      </c>
      <c r="G1951" s="29"/>
    </row>
    <row r="1952" spans="1:7" ht="45" x14ac:dyDescent="0.25">
      <c r="A1952" s="204">
        <v>42829</v>
      </c>
      <c r="B1952" s="29" t="s">
        <v>59</v>
      </c>
      <c r="C1952" s="208" t="s">
        <v>1554</v>
      </c>
      <c r="D1952" s="14">
        <v>250</v>
      </c>
      <c r="E1952" s="14"/>
      <c r="F1952" s="8">
        <f t="shared" si="30"/>
        <v>12440</v>
      </c>
      <c r="G1952" s="29"/>
    </row>
    <row r="1953" spans="1:7" x14ac:dyDescent="0.25">
      <c r="A1953" s="204">
        <v>42829</v>
      </c>
      <c r="B1953" s="462" t="s">
        <v>1524</v>
      </c>
      <c r="C1953" s="463"/>
      <c r="D1953" s="71"/>
      <c r="E1953" s="58">
        <v>3000</v>
      </c>
      <c r="F1953" s="8">
        <f t="shared" si="30"/>
        <v>15440</v>
      </c>
      <c r="G1953" s="29"/>
    </row>
    <row r="1954" spans="1:7" x14ac:dyDescent="0.25">
      <c r="A1954" s="204">
        <v>42830</v>
      </c>
      <c r="B1954" s="29" t="s">
        <v>109</v>
      </c>
      <c r="C1954" s="89" t="s">
        <v>1509</v>
      </c>
      <c r="D1954" s="14">
        <v>300</v>
      </c>
      <c r="E1954" s="14"/>
      <c r="F1954" s="8">
        <f t="shared" si="30"/>
        <v>15140</v>
      </c>
      <c r="G1954" s="29"/>
    </row>
    <row r="1955" spans="1:7" x14ac:dyDescent="0.25">
      <c r="A1955" s="204">
        <v>42830</v>
      </c>
      <c r="B1955" s="29" t="s">
        <v>26</v>
      </c>
      <c r="C1955" s="89" t="s">
        <v>1525</v>
      </c>
      <c r="D1955" s="14">
        <v>150</v>
      </c>
      <c r="E1955" s="14"/>
      <c r="F1955" s="8">
        <f t="shared" si="30"/>
        <v>14990</v>
      </c>
      <c r="G1955" s="29"/>
    </row>
    <row r="1956" spans="1:7" x14ac:dyDescent="0.25">
      <c r="A1956" s="204">
        <v>42830</v>
      </c>
      <c r="B1956" s="29" t="s">
        <v>26</v>
      </c>
      <c r="C1956" s="89" t="s">
        <v>1529</v>
      </c>
      <c r="D1956" s="14">
        <v>70</v>
      </c>
      <c r="E1956" s="14"/>
      <c r="F1956" s="8">
        <f t="shared" si="30"/>
        <v>14920</v>
      </c>
      <c r="G1956" s="29"/>
    </row>
    <row r="1957" spans="1:7" x14ac:dyDescent="0.25">
      <c r="A1957" s="204">
        <v>42830</v>
      </c>
      <c r="B1957" s="29" t="s">
        <v>117</v>
      </c>
      <c r="C1957" s="89" t="s">
        <v>1526</v>
      </c>
      <c r="D1957" s="14">
        <v>150</v>
      </c>
      <c r="E1957" s="14"/>
      <c r="F1957" s="8">
        <f t="shared" si="30"/>
        <v>14770</v>
      </c>
      <c r="G1957" s="29"/>
    </row>
    <row r="1958" spans="1:7" ht="30" x14ac:dyDescent="0.25">
      <c r="A1958" s="204">
        <v>42830</v>
      </c>
      <c r="B1958" s="26" t="s">
        <v>1125</v>
      </c>
      <c r="C1958" s="87" t="s">
        <v>1564</v>
      </c>
      <c r="D1958" s="8">
        <v>1000</v>
      </c>
      <c r="E1958" s="8"/>
      <c r="F1958" s="8">
        <f t="shared" si="30"/>
        <v>13770</v>
      </c>
      <c r="G1958" s="26"/>
    </row>
    <row r="1959" spans="1:7" x14ac:dyDescent="0.25">
      <c r="A1959" s="204">
        <v>42830</v>
      </c>
      <c r="B1959" s="26" t="s">
        <v>121</v>
      </c>
      <c r="C1959" s="87" t="s">
        <v>295</v>
      </c>
      <c r="D1959" s="8">
        <v>1000</v>
      </c>
      <c r="E1959" s="8"/>
      <c r="F1959" s="8">
        <f t="shared" si="30"/>
        <v>12770</v>
      </c>
      <c r="G1959" s="26"/>
    </row>
    <row r="1960" spans="1:7" x14ac:dyDescent="0.25">
      <c r="A1960" s="204">
        <v>42830</v>
      </c>
      <c r="B1960" s="26" t="s">
        <v>28</v>
      </c>
      <c r="C1960" s="87" t="s">
        <v>490</v>
      </c>
      <c r="D1960" s="8">
        <v>1500</v>
      </c>
      <c r="E1960" s="8"/>
      <c r="F1960" s="8">
        <f t="shared" si="30"/>
        <v>11270</v>
      </c>
      <c r="G1960" s="26"/>
    </row>
    <row r="1961" spans="1:7" x14ac:dyDescent="0.25">
      <c r="A1961" s="204">
        <v>42830</v>
      </c>
      <c r="B1961" s="26" t="s">
        <v>1531</v>
      </c>
      <c r="C1961" s="87" t="s">
        <v>1532</v>
      </c>
      <c r="D1961" s="8">
        <v>1700</v>
      </c>
      <c r="E1961" s="8"/>
      <c r="F1961" s="8">
        <f t="shared" si="30"/>
        <v>9570</v>
      </c>
      <c r="G1961" s="26"/>
    </row>
    <row r="1962" spans="1:7" x14ac:dyDescent="0.25">
      <c r="A1962" s="204"/>
      <c r="B1962" s="462" t="s">
        <v>1537</v>
      </c>
      <c r="C1962" s="463"/>
      <c r="D1962" s="71"/>
      <c r="E1962" s="58">
        <v>1810</v>
      </c>
      <c r="F1962" s="8">
        <f t="shared" si="30"/>
        <v>11380</v>
      </c>
      <c r="G1962" s="26"/>
    </row>
    <row r="1963" spans="1:7" x14ac:dyDescent="0.25">
      <c r="A1963" s="204">
        <v>42831</v>
      </c>
      <c r="B1963" s="26" t="s">
        <v>4</v>
      </c>
      <c r="C1963" s="87" t="s">
        <v>1533</v>
      </c>
      <c r="D1963" s="8">
        <v>2000</v>
      </c>
      <c r="E1963" s="8"/>
      <c r="F1963" s="8">
        <f t="shared" si="30"/>
        <v>9380</v>
      </c>
      <c r="G1963" s="26"/>
    </row>
    <row r="1964" spans="1:7" x14ac:dyDescent="0.25">
      <c r="A1964" s="204">
        <v>42831</v>
      </c>
      <c r="B1964" s="26" t="s">
        <v>1413</v>
      </c>
      <c r="C1964" s="87" t="s">
        <v>1511</v>
      </c>
      <c r="D1964" s="8">
        <v>2000</v>
      </c>
      <c r="E1964" s="8"/>
      <c r="F1964" s="8">
        <f t="shared" si="30"/>
        <v>7380</v>
      </c>
      <c r="G1964" s="26"/>
    </row>
    <row r="1965" spans="1:7" x14ac:dyDescent="0.25">
      <c r="A1965" s="204">
        <v>42831</v>
      </c>
      <c r="B1965" s="462" t="s">
        <v>1487</v>
      </c>
      <c r="C1965" s="463"/>
      <c r="D1965" s="71"/>
      <c r="E1965" s="58">
        <v>50000</v>
      </c>
      <c r="F1965" s="8">
        <f t="shared" si="30"/>
        <v>57380</v>
      </c>
      <c r="G1965" s="26"/>
    </row>
    <row r="1966" spans="1:7" x14ac:dyDescent="0.25">
      <c r="A1966" s="204">
        <v>42831</v>
      </c>
      <c r="B1966" s="26" t="s">
        <v>28</v>
      </c>
      <c r="C1966" s="87" t="s">
        <v>1534</v>
      </c>
      <c r="D1966" s="8">
        <v>35000</v>
      </c>
      <c r="E1966" s="8"/>
      <c r="F1966" s="8">
        <f t="shared" si="30"/>
        <v>22380</v>
      </c>
      <c r="G1966" s="26"/>
    </row>
    <row r="1967" spans="1:7" x14ac:dyDescent="0.25">
      <c r="A1967" s="204">
        <v>42831</v>
      </c>
      <c r="B1967" s="26" t="s">
        <v>117</v>
      </c>
      <c r="C1967" s="87" t="s">
        <v>32</v>
      </c>
      <c r="D1967" s="8">
        <v>2000</v>
      </c>
      <c r="E1967" s="8"/>
      <c r="F1967" s="8">
        <f t="shared" si="30"/>
        <v>20380</v>
      </c>
      <c r="G1967" s="26"/>
    </row>
    <row r="1968" spans="1:7" x14ac:dyDescent="0.25">
      <c r="A1968" s="204">
        <v>42831</v>
      </c>
      <c r="B1968" s="26" t="s">
        <v>248</v>
      </c>
      <c r="C1968" s="87" t="s">
        <v>1538</v>
      </c>
      <c r="D1968" s="8">
        <v>1265</v>
      </c>
      <c r="E1968" s="8"/>
      <c r="F1968" s="8">
        <f t="shared" si="30"/>
        <v>19115</v>
      </c>
      <c r="G1968" s="26"/>
    </row>
    <row r="1969" spans="1:7" x14ac:dyDescent="0.25">
      <c r="A1969" s="204">
        <v>42831</v>
      </c>
      <c r="B1969" s="26" t="s">
        <v>1515</v>
      </c>
      <c r="C1969" s="87" t="s">
        <v>1535</v>
      </c>
      <c r="D1969" s="8">
        <v>1000</v>
      </c>
      <c r="E1969" s="8"/>
      <c r="F1969" s="8">
        <f t="shared" si="30"/>
        <v>18115</v>
      </c>
      <c r="G1969" s="26"/>
    </row>
    <row r="1970" spans="1:7" x14ac:dyDescent="0.25">
      <c r="A1970" s="204">
        <v>42831</v>
      </c>
      <c r="B1970" s="26" t="s">
        <v>85</v>
      </c>
      <c r="C1970" s="87" t="s">
        <v>1536</v>
      </c>
      <c r="D1970" s="8">
        <v>3000</v>
      </c>
      <c r="E1970" s="8"/>
      <c r="F1970" s="8">
        <f t="shared" si="30"/>
        <v>15115</v>
      </c>
      <c r="G1970" s="26"/>
    </row>
    <row r="1971" spans="1:7" x14ac:dyDescent="0.25">
      <c r="A1971" s="204">
        <v>42831</v>
      </c>
      <c r="B1971" s="26" t="s">
        <v>26</v>
      </c>
      <c r="C1971" s="87" t="s">
        <v>1541</v>
      </c>
      <c r="D1971" s="8">
        <v>250</v>
      </c>
      <c r="E1971" s="8"/>
      <c r="F1971" s="8">
        <f t="shared" si="30"/>
        <v>14865</v>
      </c>
      <c r="G1971" s="26"/>
    </row>
    <row r="1972" spans="1:7" ht="30" x14ac:dyDescent="0.25">
      <c r="A1972" s="204">
        <v>42831</v>
      </c>
      <c r="B1972" s="29" t="s">
        <v>26</v>
      </c>
      <c r="C1972" s="89" t="s">
        <v>1561</v>
      </c>
      <c r="D1972" s="14">
        <v>400</v>
      </c>
      <c r="E1972" s="8"/>
      <c r="F1972" s="8">
        <f t="shared" si="30"/>
        <v>14465</v>
      </c>
      <c r="G1972" s="26"/>
    </row>
    <row r="1973" spans="1:7" x14ac:dyDescent="0.25">
      <c r="A1973" s="204">
        <v>42831</v>
      </c>
      <c r="B1973" s="26" t="s">
        <v>121</v>
      </c>
      <c r="C1973" s="87" t="s">
        <v>32</v>
      </c>
      <c r="D1973" s="8">
        <v>6000</v>
      </c>
      <c r="E1973" s="8"/>
      <c r="F1973" s="8">
        <f t="shared" si="30"/>
        <v>8465</v>
      </c>
      <c r="G1973" s="26"/>
    </row>
    <row r="1974" spans="1:7" x14ac:dyDescent="0.25">
      <c r="A1974" s="204">
        <v>42832</v>
      </c>
      <c r="B1974" s="462" t="s">
        <v>1539</v>
      </c>
      <c r="C1974" s="463"/>
      <c r="D1974" s="71"/>
      <c r="E1974" s="58">
        <v>62500</v>
      </c>
      <c r="F1974" s="8">
        <f t="shared" si="30"/>
        <v>70965</v>
      </c>
      <c r="G1974" s="26"/>
    </row>
    <row r="1975" spans="1:7" x14ac:dyDescent="0.25">
      <c r="A1975" s="204">
        <v>42832</v>
      </c>
      <c r="B1975" s="197" t="s">
        <v>117</v>
      </c>
      <c r="C1975" s="198" t="s">
        <v>799</v>
      </c>
      <c r="D1975" s="75">
        <v>5000</v>
      </c>
      <c r="E1975" s="8"/>
      <c r="F1975" s="8">
        <f t="shared" si="30"/>
        <v>65965</v>
      </c>
      <c r="G1975" s="26"/>
    </row>
    <row r="1976" spans="1:7" x14ac:dyDescent="0.25">
      <c r="A1976" s="204">
        <v>42832</v>
      </c>
      <c r="B1976" s="26" t="s">
        <v>542</v>
      </c>
      <c r="C1976" s="87" t="s">
        <v>1540</v>
      </c>
      <c r="D1976" s="8">
        <v>10000</v>
      </c>
      <c r="E1976" s="8"/>
      <c r="F1976" s="8">
        <f t="shared" si="30"/>
        <v>55965</v>
      </c>
      <c r="G1976" s="26"/>
    </row>
    <row r="1977" spans="1:7" x14ac:dyDescent="0.25">
      <c r="A1977" s="204">
        <v>42832</v>
      </c>
      <c r="B1977" s="26" t="s">
        <v>1196</v>
      </c>
      <c r="C1977" s="87" t="s">
        <v>1235</v>
      </c>
      <c r="D1977" s="8">
        <v>2400</v>
      </c>
      <c r="E1977" s="8"/>
      <c r="F1977" s="8">
        <f t="shared" si="30"/>
        <v>53565</v>
      </c>
      <c r="G1977" s="26"/>
    </row>
    <row r="1978" spans="1:7" x14ac:dyDescent="0.25">
      <c r="A1978" s="204">
        <v>42832</v>
      </c>
      <c r="B1978" s="26" t="s">
        <v>1196</v>
      </c>
      <c r="C1978" s="87" t="s">
        <v>1543</v>
      </c>
      <c r="D1978" s="8">
        <v>1000</v>
      </c>
      <c r="E1978" s="8"/>
      <c r="F1978" s="8">
        <f t="shared" si="30"/>
        <v>52565</v>
      </c>
      <c r="G1978" s="26"/>
    </row>
    <row r="1979" spans="1:7" x14ac:dyDescent="0.25">
      <c r="A1979" s="204">
        <v>42832</v>
      </c>
      <c r="B1979" s="26" t="s">
        <v>59</v>
      </c>
      <c r="C1979" s="87" t="s">
        <v>1557</v>
      </c>
      <c r="D1979" s="8">
        <v>900</v>
      </c>
      <c r="E1979" s="8"/>
      <c r="F1979" s="8">
        <f t="shared" si="30"/>
        <v>51665</v>
      </c>
      <c r="G1979" s="26"/>
    </row>
    <row r="1980" spans="1:7" x14ac:dyDescent="0.25">
      <c r="A1980" s="204">
        <v>42832</v>
      </c>
      <c r="B1980" s="26" t="s">
        <v>59</v>
      </c>
      <c r="C1980" s="87" t="s">
        <v>1555</v>
      </c>
      <c r="D1980" s="8">
        <v>4930</v>
      </c>
      <c r="E1980" s="8"/>
      <c r="F1980" s="8">
        <f t="shared" si="30"/>
        <v>46735</v>
      </c>
      <c r="G1980" s="26"/>
    </row>
    <row r="1981" spans="1:7" x14ac:dyDescent="0.25">
      <c r="A1981" s="204">
        <v>42832</v>
      </c>
      <c r="B1981" s="26" t="s">
        <v>59</v>
      </c>
      <c r="C1981" s="87" t="s">
        <v>1556</v>
      </c>
      <c r="D1981" s="8">
        <v>1320</v>
      </c>
      <c r="E1981" s="8"/>
      <c r="F1981" s="8">
        <f t="shared" si="30"/>
        <v>45415</v>
      </c>
      <c r="G1981" s="26"/>
    </row>
    <row r="1982" spans="1:7" x14ac:dyDescent="0.25">
      <c r="A1982" s="204">
        <v>42832</v>
      </c>
      <c r="B1982" s="26" t="s">
        <v>1331</v>
      </c>
      <c r="C1982" s="87" t="s">
        <v>1533</v>
      </c>
      <c r="D1982" s="8">
        <v>3600</v>
      </c>
      <c r="E1982" s="8"/>
      <c r="F1982" s="8">
        <f t="shared" si="30"/>
        <v>41815</v>
      </c>
      <c r="G1982" s="26"/>
    </row>
    <row r="1983" spans="1:7" x14ac:dyDescent="0.25">
      <c r="A1983" s="204">
        <v>42832</v>
      </c>
      <c r="B1983" s="26" t="s">
        <v>26</v>
      </c>
      <c r="C1983" s="87" t="s">
        <v>1558</v>
      </c>
      <c r="D1983" s="8">
        <v>5000</v>
      </c>
      <c r="E1983" s="8"/>
      <c r="F1983" s="8">
        <f t="shared" si="30"/>
        <v>36815</v>
      </c>
      <c r="G1983" s="26"/>
    </row>
    <row r="1984" spans="1:7" x14ac:dyDescent="0.25">
      <c r="A1984" s="204">
        <v>42832</v>
      </c>
      <c r="B1984" s="26" t="s">
        <v>26</v>
      </c>
      <c r="C1984" s="87" t="s">
        <v>1562</v>
      </c>
      <c r="D1984" s="8">
        <v>85</v>
      </c>
      <c r="E1984" s="8"/>
      <c r="F1984" s="8">
        <f t="shared" si="30"/>
        <v>36730</v>
      </c>
      <c r="G1984" s="26"/>
    </row>
    <row r="1985" spans="1:7" x14ac:dyDescent="0.25">
      <c r="A1985" s="204">
        <v>42832</v>
      </c>
      <c r="B1985" s="26" t="s">
        <v>1284</v>
      </c>
      <c r="C1985" s="87" t="s">
        <v>1542</v>
      </c>
      <c r="D1985" s="8">
        <v>2400</v>
      </c>
      <c r="E1985" s="8"/>
      <c r="F1985" s="8">
        <f t="shared" si="30"/>
        <v>34330</v>
      </c>
      <c r="G1985" s="26"/>
    </row>
    <row r="1986" spans="1:7" x14ac:dyDescent="0.25">
      <c r="A1986" s="204">
        <v>42832</v>
      </c>
      <c r="B1986" s="29" t="s">
        <v>109</v>
      </c>
      <c r="C1986" s="89" t="s">
        <v>1615</v>
      </c>
      <c r="D1986" s="14">
        <v>600</v>
      </c>
      <c r="E1986" s="8"/>
      <c r="F1986" s="8">
        <f t="shared" si="30"/>
        <v>33730</v>
      </c>
      <c r="G1986" s="26"/>
    </row>
    <row r="1987" spans="1:7" x14ac:dyDescent="0.25">
      <c r="A1987" s="204">
        <v>42833</v>
      </c>
      <c r="B1987" s="26" t="s">
        <v>1544</v>
      </c>
      <c r="C1987" s="87" t="s">
        <v>1545</v>
      </c>
      <c r="D1987" s="8">
        <v>1640</v>
      </c>
      <c r="E1987" s="8"/>
      <c r="F1987" s="8">
        <f t="shared" ref="F1987:F2050" si="31">F1986-D1987+E1987</f>
        <v>32090</v>
      </c>
      <c r="G1987" s="26"/>
    </row>
    <row r="1988" spans="1:7" ht="30" x14ac:dyDescent="0.25">
      <c r="A1988" s="204">
        <v>42833</v>
      </c>
      <c r="B1988" s="26" t="s">
        <v>1544</v>
      </c>
      <c r="C1988" s="87" t="s">
        <v>1566</v>
      </c>
      <c r="D1988" s="8">
        <v>500</v>
      </c>
      <c r="E1988" s="8"/>
      <c r="F1988" s="8">
        <f t="shared" si="31"/>
        <v>31590</v>
      </c>
      <c r="G1988" s="26"/>
    </row>
    <row r="1989" spans="1:7" ht="30" x14ac:dyDescent="0.25">
      <c r="A1989" s="204">
        <v>42833</v>
      </c>
      <c r="B1989" s="26" t="s">
        <v>26</v>
      </c>
      <c r="C1989" s="87" t="s">
        <v>1563</v>
      </c>
      <c r="D1989" s="8">
        <v>550</v>
      </c>
      <c r="E1989" s="8"/>
      <c r="F1989" s="8">
        <f t="shared" si="31"/>
        <v>31040</v>
      </c>
      <c r="G1989" s="26"/>
    </row>
    <row r="1990" spans="1:7" x14ac:dyDescent="0.25">
      <c r="A1990" s="204">
        <v>42833</v>
      </c>
      <c r="B1990" s="26" t="s">
        <v>26</v>
      </c>
      <c r="C1990" s="87" t="s">
        <v>1560</v>
      </c>
      <c r="D1990" s="8">
        <v>140</v>
      </c>
      <c r="E1990" s="8"/>
      <c r="F1990" s="8">
        <f t="shared" si="31"/>
        <v>30900</v>
      </c>
      <c r="G1990" s="26"/>
    </row>
    <row r="1991" spans="1:7" x14ac:dyDescent="0.25">
      <c r="A1991" s="204">
        <v>42833</v>
      </c>
      <c r="B1991" s="26" t="s">
        <v>55</v>
      </c>
      <c r="C1991" s="87" t="s">
        <v>1546</v>
      </c>
      <c r="D1991" s="8">
        <v>7770</v>
      </c>
      <c r="E1991" s="8"/>
      <c r="F1991" s="8">
        <f t="shared" si="31"/>
        <v>23130</v>
      </c>
      <c r="G1991" s="26"/>
    </row>
    <row r="1992" spans="1:7" x14ac:dyDescent="0.25">
      <c r="A1992" s="204">
        <v>42833</v>
      </c>
      <c r="B1992" s="26" t="s">
        <v>55</v>
      </c>
      <c r="C1992" s="87" t="s">
        <v>1547</v>
      </c>
      <c r="D1992" s="8">
        <v>4200</v>
      </c>
      <c r="E1992" s="8"/>
      <c r="F1992" s="8">
        <f t="shared" si="31"/>
        <v>18930</v>
      </c>
      <c r="G1992" s="26"/>
    </row>
    <row r="1993" spans="1:7" ht="30" x14ac:dyDescent="0.25">
      <c r="A1993" s="204">
        <v>42833</v>
      </c>
      <c r="B1993" s="26" t="s">
        <v>26</v>
      </c>
      <c r="C1993" s="87" t="s">
        <v>1548</v>
      </c>
      <c r="D1993" s="8">
        <v>1500</v>
      </c>
      <c r="E1993" s="8"/>
      <c r="F1993" s="8">
        <f t="shared" si="31"/>
        <v>17430</v>
      </c>
      <c r="G1993" s="26"/>
    </row>
    <row r="1994" spans="1:7" x14ac:dyDescent="0.25">
      <c r="A1994" s="204">
        <v>42833</v>
      </c>
      <c r="B1994" s="26" t="s">
        <v>165</v>
      </c>
      <c r="C1994" s="87" t="s">
        <v>32</v>
      </c>
      <c r="D1994" s="8">
        <v>5000</v>
      </c>
      <c r="E1994" s="8"/>
      <c r="F1994" s="8">
        <f t="shared" si="31"/>
        <v>12430</v>
      </c>
      <c r="G1994" s="26"/>
    </row>
    <row r="1995" spans="1:7" ht="30" x14ac:dyDescent="0.25">
      <c r="A1995" s="204">
        <v>42833</v>
      </c>
      <c r="B1995" s="29" t="s">
        <v>59</v>
      </c>
      <c r="C1995" s="89" t="s">
        <v>1567</v>
      </c>
      <c r="D1995" s="14">
        <v>100</v>
      </c>
      <c r="E1995" s="8"/>
      <c r="F1995" s="8">
        <f t="shared" si="31"/>
        <v>12330</v>
      </c>
      <c r="G1995" s="26"/>
    </row>
    <row r="1996" spans="1:7" x14ac:dyDescent="0.25">
      <c r="A1996" s="204">
        <v>42833</v>
      </c>
      <c r="B1996" s="29" t="s">
        <v>59</v>
      </c>
      <c r="C1996" s="87" t="s">
        <v>1549</v>
      </c>
      <c r="D1996" s="8">
        <v>100</v>
      </c>
      <c r="E1996" s="8"/>
      <c r="F1996" s="8">
        <f t="shared" si="31"/>
        <v>12230</v>
      </c>
      <c r="G1996" s="26"/>
    </row>
    <row r="1997" spans="1:7" ht="30" x14ac:dyDescent="0.25">
      <c r="A1997" s="204">
        <v>42833</v>
      </c>
      <c r="B1997" s="29" t="s">
        <v>117</v>
      </c>
      <c r="C1997" s="89" t="s">
        <v>1641</v>
      </c>
      <c r="D1997" s="14">
        <v>2000</v>
      </c>
      <c r="E1997" s="14"/>
      <c r="F1997" s="8">
        <f t="shared" si="31"/>
        <v>10230</v>
      </c>
      <c r="G1997" s="26"/>
    </row>
    <row r="1998" spans="1:7" x14ac:dyDescent="0.25">
      <c r="A1998" s="204">
        <v>42833</v>
      </c>
      <c r="B1998" s="26" t="s">
        <v>117</v>
      </c>
      <c r="C1998" s="87" t="s">
        <v>78</v>
      </c>
      <c r="D1998" s="8">
        <v>5000</v>
      </c>
      <c r="E1998" s="8"/>
      <c r="F1998" s="8">
        <f t="shared" si="31"/>
        <v>5230</v>
      </c>
      <c r="G1998" s="26"/>
    </row>
    <row r="1999" spans="1:7" x14ac:dyDescent="0.25">
      <c r="A1999" s="204">
        <v>42835</v>
      </c>
      <c r="B1999" s="26" t="s">
        <v>61</v>
      </c>
      <c r="C1999" s="87" t="s">
        <v>1559</v>
      </c>
      <c r="D1999" s="8">
        <v>1230</v>
      </c>
      <c r="E1999" s="8"/>
      <c r="F1999" s="8">
        <f t="shared" si="31"/>
        <v>4000</v>
      </c>
      <c r="G1999" s="26"/>
    </row>
    <row r="2000" spans="1:7" x14ac:dyDescent="0.25">
      <c r="A2000" s="204">
        <v>42835</v>
      </c>
      <c r="B2000" s="26" t="s">
        <v>26</v>
      </c>
      <c r="C2000" s="87" t="s">
        <v>1571</v>
      </c>
      <c r="D2000" s="8">
        <v>250</v>
      </c>
      <c r="E2000" s="8"/>
      <c r="F2000" s="8">
        <f t="shared" si="31"/>
        <v>3750</v>
      </c>
      <c r="G2000" s="26"/>
    </row>
    <row r="2001" spans="1:7" x14ac:dyDescent="0.25">
      <c r="A2001" s="204">
        <v>42835</v>
      </c>
      <c r="B2001" s="26" t="s">
        <v>26</v>
      </c>
      <c r="C2001" s="87" t="s">
        <v>1572</v>
      </c>
      <c r="D2001" s="8">
        <f>185+50</f>
        <v>235</v>
      </c>
      <c r="E2001" s="8"/>
      <c r="F2001" s="8">
        <f t="shared" si="31"/>
        <v>3515</v>
      </c>
      <c r="G2001" s="26"/>
    </row>
    <row r="2002" spans="1:7" x14ac:dyDescent="0.25">
      <c r="A2002" s="204">
        <v>42835</v>
      </c>
      <c r="B2002" s="26" t="s">
        <v>4</v>
      </c>
      <c r="C2002" s="87" t="s">
        <v>1565</v>
      </c>
      <c r="D2002" s="8">
        <v>2000</v>
      </c>
      <c r="E2002" s="8"/>
      <c r="F2002" s="8">
        <f t="shared" si="31"/>
        <v>1515</v>
      </c>
      <c r="G2002" s="26"/>
    </row>
    <row r="2003" spans="1:7" x14ac:dyDescent="0.25">
      <c r="A2003" s="204">
        <v>42835</v>
      </c>
      <c r="B2003" s="26" t="s">
        <v>26</v>
      </c>
      <c r="C2003" s="87" t="s">
        <v>1573</v>
      </c>
      <c r="D2003" s="8">
        <v>80</v>
      </c>
      <c r="E2003" s="8"/>
      <c r="F2003" s="8">
        <f t="shared" si="31"/>
        <v>1435</v>
      </c>
      <c r="G2003" s="26"/>
    </row>
    <row r="2004" spans="1:7" x14ac:dyDescent="0.25">
      <c r="A2004" s="204">
        <v>42836</v>
      </c>
      <c r="B2004" s="26" t="s">
        <v>17</v>
      </c>
      <c r="C2004" s="87" t="s">
        <v>34</v>
      </c>
      <c r="D2004" s="8">
        <v>200</v>
      </c>
      <c r="E2004" s="8"/>
      <c r="F2004" s="8">
        <f t="shared" si="31"/>
        <v>1235</v>
      </c>
      <c r="G2004" s="26"/>
    </row>
    <row r="2005" spans="1:7" x14ac:dyDescent="0.25">
      <c r="A2005" s="204">
        <v>42836</v>
      </c>
      <c r="B2005" s="462" t="s">
        <v>1568</v>
      </c>
      <c r="C2005" s="463"/>
      <c r="D2005" s="71"/>
      <c r="E2005" s="58">
        <v>50000</v>
      </c>
      <c r="F2005" s="8">
        <f t="shared" si="31"/>
        <v>51235</v>
      </c>
      <c r="G2005" s="26"/>
    </row>
    <row r="2006" spans="1:7" x14ac:dyDescent="0.25">
      <c r="A2006" s="204">
        <v>42836</v>
      </c>
      <c r="B2006" s="29" t="s">
        <v>59</v>
      </c>
      <c r="C2006" s="89" t="s">
        <v>1569</v>
      </c>
      <c r="D2006" s="14">
        <v>6000</v>
      </c>
      <c r="E2006" s="8"/>
      <c r="F2006" s="8">
        <f t="shared" si="31"/>
        <v>45235</v>
      </c>
      <c r="G2006" s="26"/>
    </row>
    <row r="2007" spans="1:7" x14ac:dyDescent="0.25">
      <c r="A2007" s="204">
        <v>42836</v>
      </c>
      <c r="B2007" s="26" t="s">
        <v>28</v>
      </c>
      <c r="C2007" s="87" t="s">
        <v>32</v>
      </c>
      <c r="D2007" s="8">
        <v>8000</v>
      </c>
      <c r="E2007" s="8"/>
      <c r="F2007" s="8">
        <f t="shared" si="31"/>
        <v>37235</v>
      </c>
      <c r="G2007" s="26"/>
    </row>
    <row r="2008" spans="1:7" x14ac:dyDescent="0.25">
      <c r="A2008" s="204">
        <v>42836</v>
      </c>
      <c r="B2008" s="29" t="s">
        <v>26</v>
      </c>
      <c r="C2008" s="89" t="s">
        <v>1570</v>
      </c>
      <c r="D2008" s="14">
        <v>410</v>
      </c>
      <c r="E2008" s="8"/>
      <c r="F2008" s="8">
        <f t="shared" si="31"/>
        <v>36825</v>
      </c>
      <c r="G2008" s="26"/>
    </row>
    <row r="2009" spans="1:7" x14ac:dyDescent="0.25">
      <c r="A2009" s="204">
        <v>42836</v>
      </c>
      <c r="B2009" s="29" t="s">
        <v>59</v>
      </c>
      <c r="C2009" s="89" t="s">
        <v>78</v>
      </c>
      <c r="D2009" s="14">
        <v>5000</v>
      </c>
      <c r="E2009" s="8"/>
      <c r="F2009" s="8">
        <f t="shared" si="31"/>
        <v>31825</v>
      </c>
      <c r="G2009" s="26"/>
    </row>
    <row r="2010" spans="1:7" x14ac:dyDescent="0.25">
      <c r="A2010" s="204">
        <v>42836</v>
      </c>
      <c r="B2010" s="26" t="s">
        <v>0</v>
      </c>
      <c r="C2010" s="87" t="s">
        <v>1574</v>
      </c>
      <c r="D2010" s="8">
        <v>10000</v>
      </c>
      <c r="E2010" s="8"/>
      <c r="F2010" s="8">
        <f t="shared" si="31"/>
        <v>21825</v>
      </c>
      <c r="G2010" s="26"/>
    </row>
    <row r="2011" spans="1:7" x14ac:dyDescent="0.25">
      <c r="A2011" s="204">
        <v>42836</v>
      </c>
      <c r="B2011" s="26" t="s">
        <v>28</v>
      </c>
      <c r="C2011" s="87" t="s">
        <v>32</v>
      </c>
      <c r="D2011" s="8">
        <v>3000</v>
      </c>
      <c r="E2011" s="8"/>
      <c r="F2011" s="8">
        <f t="shared" si="31"/>
        <v>18825</v>
      </c>
      <c r="G2011" s="26"/>
    </row>
    <row r="2012" spans="1:7" x14ac:dyDescent="0.25">
      <c r="A2012" s="204">
        <v>42836</v>
      </c>
      <c r="B2012" s="26" t="s">
        <v>26</v>
      </c>
      <c r="C2012" s="87" t="s">
        <v>1575</v>
      </c>
      <c r="D2012" s="8">
        <v>60</v>
      </c>
      <c r="E2012" s="8"/>
      <c r="F2012" s="8">
        <f t="shared" si="31"/>
        <v>18765</v>
      </c>
      <c r="G2012" s="26"/>
    </row>
    <row r="2013" spans="1:7" x14ac:dyDescent="0.25">
      <c r="A2013" s="204">
        <v>42836</v>
      </c>
      <c r="B2013" s="26" t="s">
        <v>17</v>
      </c>
      <c r="C2013" s="87" t="s">
        <v>1576</v>
      </c>
      <c r="D2013" s="8">
        <v>9000</v>
      </c>
      <c r="E2013" s="8"/>
      <c r="F2013" s="8">
        <f t="shared" si="31"/>
        <v>9765</v>
      </c>
      <c r="G2013" s="26"/>
    </row>
    <row r="2014" spans="1:7" ht="30" x14ac:dyDescent="0.25">
      <c r="A2014" s="204">
        <v>42837</v>
      </c>
      <c r="B2014" s="29" t="s">
        <v>105</v>
      </c>
      <c r="C2014" s="89" t="s">
        <v>1594</v>
      </c>
      <c r="D2014" s="14">
        <v>1380</v>
      </c>
      <c r="E2014" s="8"/>
      <c r="F2014" s="8">
        <f t="shared" si="31"/>
        <v>8385</v>
      </c>
      <c r="G2014" s="26"/>
    </row>
    <row r="2015" spans="1:7" x14ac:dyDescent="0.25">
      <c r="A2015" s="204">
        <v>42837</v>
      </c>
      <c r="B2015" s="26" t="s">
        <v>446</v>
      </c>
      <c r="C2015" s="87" t="s">
        <v>1577</v>
      </c>
      <c r="D2015" s="8">
        <v>2000</v>
      </c>
      <c r="E2015" s="8"/>
      <c r="F2015" s="8">
        <f t="shared" si="31"/>
        <v>6385</v>
      </c>
      <c r="G2015" s="26"/>
    </row>
    <row r="2016" spans="1:7" x14ac:dyDescent="0.25">
      <c r="A2016" s="204">
        <v>42837</v>
      </c>
      <c r="B2016" s="462" t="s">
        <v>1568</v>
      </c>
      <c r="C2016" s="463"/>
      <c r="D2016" s="71"/>
      <c r="E2016" s="58">
        <v>32930</v>
      </c>
      <c r="F2016" s="8">
        <f t="shared" si="31"/>
        <v>39315</v>
      </c>
      <c r="G2016" s="26"/>
    </row>
    <row r="2017" spans="1:10" x14ac:dyDescent="0.25">
      <c r="A2017" s="204">
        <v>42837</v>
      </c>
      <c r="B2017" s="29" t="s">
        <v>1334</v>
      </c>
      <c r="C2017" s="89" t="s">
        <v>1596</v>
      </c>
      <c r="D2017" s="14">
        <v>8000</v>
      </c>
      <c r="E2017" s="8"/>
      <c r="F2017" s="8">
        <f t="shared" si="31"/>
        <v>31315</v>
      </c>
      <c r="G2017" s="26"/>
    </row>
    <row r="2018" spans="1:10" x14ac:dyDescent="0.25">
      <c r="A2018" s="204">
        <v>42837</v>
      </c>
      <c r="B2018" s="26" t="s">
        <v>165</v>
      </c>
      <c r="C2018" s="87" t="s">
        <v>32</v>
      </c>
      <c r="D2018" s="8">
        <v>20000</v>
      </c>
      <c r="E2018" s="8"/>
      <c r="F2018" s="8">
        <f t="shared" si="31"/>
        <v>11315</v>
      </c>
      <c r="G2018" s="26"/>
    </row>
    <row r="2019" spans="1:10" x14ac:dyDescent="0.25">
      <c r="A2019" s="204">
        <v>42837</v>
      </c>
      <c r="B2019" s="462" t="s">
        <v>1591</v>
      </c>
      <c r="C2019" s="463"/>
      <c r="D2019" s="71"/>
      <c r="E2019" s="58">
        <v>21450</v>
      </c>
      <c r="F2019" s="8">
        <f t="shared" si="31"/>
        <v>32765</v>
      </c>
      <c r="G2019" s="26"/>
    </row>
    <row r="2020" spans="1:10" s="49" customFormat="1" x14ac:dyDescent="0.25">
      <c r="A2020" s="204">
        <v>42837</v>
      </c>
      <c r="B2020" s="80" t="s">
        <v>59</v>
      </c>
      <c r="C2020" s="83" t="s">
        <v>1533</v>
      </c>
      <c r="D2020" s="81">
        <v>21000</v>
      </c>
      <c r="E2020" s="41"/>
      <c r="F2020" s="8">
        <f t="shared" si="31"/>
        <v>11765</v>
      </c>
      <c r="G2020" s="40"/>
      <c r="H2020" s="116"/>
      <c r="I2020" s="116"/>
      <c r="J2020" s="116"/>
    </row>
    <row r="2021" spans="1:10" x14ac:dyDescent="0.25">
      <c r="A2021" s="204">
        <v>42837</v>
      </c>
      <c r="B2021" s="29" t="s">
        <v>542</v>
      </c>
      <c r="C2021" s="89" t="s">
        <v>1592</v>
      </c>
      <c r="D2021" s="14">
        <v>1500</v>
      </c>
      <c r="E2021" s="8"/>
      <c r="F2021" s="8">
        <f t="shared" si="31"/>
        <v>10265</v>
      </c>
      <c r="G2021" s="26"/>
    </row>
    <row r="2022" spans="1:10" x14ac:dyDescent="0.25">
      <c r="A2022" s="204">
        <v>42837</v>
      </c>
      <c r="B2022" s="29" t="s">
        <v>248</v>
      </c>
      <c r="C2022" s="89" t="s">
        <v>1593</v>
      </c>
      <c r="D2022" s="14">
        <v>560</v>
      </c>
      <c r="E2022" s="8"/>
      <c r="F2022" s="8">
        <f t="shared" si="31"/>
        <v>9705</v>
      </c>
      <c r="G2022" s="26"/>
    </row>
    <row r="2023" spans="1:10" x14ac:dyDescent="0.25">
      <c r="A2023" s="204">
        <v>42837</v>
      </c>
      <c r="B2023" s="26" t="s">
        <v>28</v>
      </c>
      <c r="C2023" s="87" t="s">
        <v>1578</v>
      </c>
      <c r="D2023" s="8">
        <v>5000</v>
      </c>
      <c r="E2023" s="8"/>
      <c r="F2023" s="8">
        <f t="shared" si="31"/>
        <v>4705</v>
      </c>
      <c r="G2023" s="26"/>
    </row>
    <row r="2024" spans="1:10" ht="30" x14ac:dyDescent="0.25">
      <c r="A2024" s="204">
        <v>42837</v>
      </c>
      <c r="B2024" s="26" t="s">
        <v>26</v>
      </c>
      <c r="C2024" s="87" t="s">
        <v>1590</v>
      </c>
      <c r="D2024" s="8">
        <v>265</v>
      </c>
      <c r="E2024" s="8"/>
      <c r="F2024" s="8">
        <f t="shared" si="31"/>
        <v>4440</v>
      </c>
      <c r="G2024" s="26"/>
    </row>
    <row r="2025" spans="1:10" x14ac:dyDescent="0.25">
      <c r="A2025" s="204">
        <v>42838</v>
      </c>
      <c r="B2025" s="462" t="s">
        <v>1580</v>
      </c>
      <c r="C2025" s="463"/>
      <c r="D2025" s="71"/>
      <c r="E2025" s="58">
        <v>100000</v>
      </c>
      <c r="F2025" s="8">
        <f t="shared" si="31"/>
        <v>104440</v>
      </c>
      <c r="G2025" s="26"/>
    </row>
    <row r="2026" spans="1:10" x14ac:dyDescent="0.25">
      <c r="A2026" s="204">
        <v>42838</v>
      </c>
      <c r="B2026" s="26" t="s">
        <v>1581</v>
      </c>
      <c r="C2026" s="87" t="s">
        <v>1583</v>
      </c>
      <c r="D2026" s="8">
        <v>420</v>
      </c>
      <c r="E2026" s="8"/>
      <c r="F2026" s="8">
        <f t="shared" si="31"/>
        <v>104020</v>
      </c>
      <c r="G2026" s="26"/>
    </row>
    <row r="2027" spans="1:10" x14ac:dyDescent="0.25">
      <c r="A2027" s="204">
        <v>42838</v>
      </c>
      <c r="B2027" s="26" t="s">
        <v>446</v>
      </c>
      <c r="C2027" s="87" t="s">
        <v>1579</v>
      </c>
      <c r="D2027" s="8">
        <v>3000</v>
      </c>
      <c r="E2027" s="8"/>
      <c r="F2027" s="8">
        <f t="shared" si="31"/>
        <v>101020</v>
      </c>
      <c r="G2027" s="26"/>
    </row>
    <row r="2028" spans="1:10" ht="60" x14ac:dyDescent="0.25">
      <c r="A2028" s="204">
        <v>42838</v>
      </c>
      <c r="B2028" s="26" t="s">
        <v>26</v>
      </c>
      <c r="C2028" s="87" t="s">
        <v>1589</v>
      </c>
      <c r="D2028" s="8">
        <v>480</v>
      </c>
      <c r="E2028" s="8"/>
      <c r="F2028" s="8">
        <f t="shared" si="31"/>
        <v>100540</v>
      </c>
      <c r="G2028" s="26"/>
    </row>
    <row r="2029" spans="1:10" x14ac:dyDescent="0.25">
      <c r="A2029" s="204">
        <v>42838</v>
      </c>
      <c r="B2029" s="29" t="s">
        <v>59</v>
      </c>
      <c r="C2029" s="89" t="s">
        <v>1582</v>
      </c>
      <c r="D2029" s="14">
        <v>4200</v>
      </c>
      <c r="E2029" s="8"/>
      <c r="F2029" s="8">
        <f t="shared" si="31"/>
        <v>96340</v>
      </c>
      <c r="G2029" s="26"/>
    </row>
    <row r="2030" spans="1:10" x14ac:dyDescent="0.25">
      <c r="A2030" s="204">
        <v>42838</v>
      </c>
      <c r="B2030" s="29" t="s">
        <v>59</v>
      </c>
      <c r="C2030" s="89" t="s">
        <v>1584</v>
      </c>
      <c r="D2030" s="14">
        <v>2000</v>
      </c>
      <c r="E2030" s="8"/>
      <c r="F2030" s="8">
        <f t="shared" si="31"/>
        <v>94340</v>
      </c>
      <c r="G2030" s="26"/>
    </row>
    <row r="2031" spans="1:10" x14ac:dyDescent="0.25">
      <c r="A2031" s="204">
        <v>42838</v>
      </c>
      <c r="B2031" s="29" t="s">
        <v>121</v>
      </c>
      <c r="C2031" s="89" t="s">
        <v>1601</v>
      </c>
      <c r="D2031" s="14">
        <v>20000</v>
      </c>
      <c r="E2031" s="8"/>
      <c r="F2031" s="8">
        <f t="shared" si="31"/>
        <v>74340</v>
      </c>
      <c r="G2031" s="26"/>
    </row>
    <row r="2032" spans="1:10" x14ac:dyDescent="0.25">
      <c r="A2032" s="204">
        <v>42838</v>
      </c>
      <c r="B2032" s="26" t="s">
        <v>1586</v>
      </c>
      <c r="C2032" s="87" t="s">
        <v>1585</v>
      </c>
      <c r="D2032" s="8">
        <v>5500</v>
      </c>
      <c r="E2032" s="8"/>
      <c r="F2032" s="8">
        <f t="shared" si="31"/>
        <v>68840</v>
      </c>
      <c r="G2032" s="26"/>
    </row>
    <row r="2033" spans="1:7" x14ac:dyDescent="0.25">
      <c r="A2033" s="204">
        <v>42838</v>
      </c>
      <c r="B2033" s="26" t="s">
        <v>4</v>
      </c>
      <c r="C2033" s="87" t="s">
        <v>1533</v>
      </c>
      <c r="D2033" s="8">
        <v>20000</v>
      </c>
      <c r="E2033" s="8"/>
      <c r="F2033" s="8">
        <f t="shared" si="31"/>
        <v>48840</v>
      </c>
      <c r="G2033" s="26"/>
    </row>
    <row r="2034" spans="1:7" x14ac:dyDescent="0.25">
      <c r="A2034" s="204">
        <v>42838</v>
      </c>
      <c r="B2034" s="26" t="s">
        <v>1587</v>
      </c>
      <c r="C2034" s="87" t="s">
        <v>1588</v>
      </c>
      <c r="D2034" s="8">
        <v>4000</v>
      </c>
      <c r="E2034" s="8"/>
      <c r="F2034" s="8">
        <f t="shared" si="31"/>
        <v>44840</v>
      </c>
      <c r="G2034" s="26"/>
    </row>
    <row r="2035" spans="1:7" x14ac:dyDescent="0.25">
      <c r="A2035" s="204">
        <v>42839</v>
      </c>
      <c r="B2035" s="26" t="s">
        <v>26</v>
      </c>
      <c r="C2035" s="87" t="s">
        <v>52</v>
      </c>
      <c r="D2035" s="8">
        <v>18</v>
      </c>
      <c r="E2035" s="8"/>
      <c r="F2035" s="8">
        <f t="shared" si="31"/>
        <v>44822</v>
      </c>
      <c r="G2035" s="26"/>
    </row>
    <row r="2036" spans="1:7" x14ac:dyDescent="0.25">
      <c r="A2036" s="204">
        <v>42839</v>
      </c>
      <c r="B2036" s="26" t="s">
        <v>28</v>
      </c>
      <c r="C2036" s="87" t="s">
        <v>78</v>
      </c>
      <c r="D2036" s="8">
        <v>3000</v>
      </c>
      <c r="E2036" s="8"/>
      <c r="F2036" s="8">
        <f t="shared" si="31"/>
        <v>41822</v>
      </c>
      <c r="G2036" s="26"/>
    </row>
    <row r="2037" spans="1:7" x14ac:dyDescent="0.25">
      <c r="A2037" s="204">
        <v>42839</v>
      </c>
      <c r="B2037" s="26" t="s">
        <v>10</v>
      </c>
      <c r="C2037" s="87" t="s">
        <v>1595</v>
      </c>
      <c r="D2037" s="8">
        <v>2000</v>
      </c>
      <c r="E2037" s="8"/>
      <c r="F2037" s="8">
        <f t="shared" si="31"/>
        <v>39822</v>
      </c>
      <c r="G2037" s="26"/>
    </row>
    <row r="2038" spans="1:7" x14ac:dyDescent="0.25">
      <c r="A2038" s="204">
        <v>42840</v>
      </c>
      <c r="B2038" s="26" t="s">
        <v>19</v>
      </c>
      <c r="C2038" s="87" t="s">
        <v>1597</v>
      </c>
      <c r="D2038" s="8">
        <v>1000</v>
      </c>
      <c r="E2038" s="8"/>
      <c r="F2038" s="8">
        <f t="shared" si="31"/>
        <v>38822</v>
      </c>
      <c r="G2038" s="26"/>
    </row>
    <row r="2039" spans="1:7" x14ac:dyDescent="0.25">
      <c r="A2039" s="204">
        <v>42840</v>
      </c>
      <c r="B2039" s="26" t="s">
        <v>323</v>
      </c>
      <c r="C2039" s="87" t="s">
        <v>1598</v>
      </c>
      <c r="D2039" s="8">
        <v>11600</v>
      </c>
      <c r="E2039" s="8"/>
      <c r="F2039" s="8">
        <f t="shared" si="31"/>
        <v>27222</v>
      </c>
      <c r="G2039" s="26"/>
    </row>
    <row r="2040" spans="1:7" x14ac:dyDescent="0.25">
      <c r="A2040" s="204">
        <v>42840</v>
      </c>
      <c r="B2040" s="26" t="s">
        <v>1452</v>
      </c>
      <c r="C2040" s="87" t="s">
        <v>1599</v>
      </c>
      <c r="D2040" s="8">
        <v>400</v>
      </c>
      <c r="E2040" s="8"/>
      <c r="F2040" s="8">
        <f t="shared" si="31"/>
        <v>26822</v>
      </c>
      <c r="G2040" s="26"/>
    </row>
    <row r="2041" spans="1:7" x14ac:dyDescent="0.25">
      <c r="A2041" s="204">
        <v>42840</v>
      </c>
      <c r="B2041" s="26" t="s">
        <v>165</v>
      </c>
      <c r="C2041" s="87" t="s">
        <v>32</v>
      </c>
      <c r="D2041" s="8">
        <v>10000</v>
      </c>
      <c r="E2041" s="8"/>
      <c r="F2041" s="8">
        <f t="shared" si="31"/>
        <v>16822</v>
      </c>
      <c r="G2041" s="26"/>
    </row>
    <row r="2042" spans="1:7" x14ac:dyDescent="0.25">
      <c r="A2042" s="204">
        <v>42840</v>
      </c>
      <c r="B2042" s="26" t="s">
        <v>59</v>
      </c>
      <c r="C2042" s="87" t="s">
        <v>32</v>
      </c>
      <c r="D2042" s="8">
        <v>15000</v>
      </c>
      <c r="E2042" s="8"/>
      <c r="F2042" s="8">
        <f t="shared" si="31"/>
        <v>1822</v>
      </c>
      <c r="G2042" s="26"/>
    </row>
    <row r="2043" spans="1:7" x14ac:dyDescent="0.25">
      <c r="A2043" s="204">
        <v>42842</v>
      </c>
      <c r="B2043" s="462" t="s">
        <v>1600</v>
      </c>
      <c r="C2043" s="463"/>
      <c r="D2043" s="71"/>
      <c r="E2043" s="58">
        <v>50000</v>
      </c>
      <c r="F2043" s="8">
        <f t="shared" si="31"/>
        <v>51822</v>
      </c>
      <c r="G2043" s="26"/>
    </row>
    <row r="2044" spans="1:7" x14ac:dyDescent="0.25">
      <c r="A2044" s="204">
        <v>42842</v>
      </c>
      <c r="B2044" s="26" t="s">
        <v>61</v>
      </c>
      <c r="C2044" s="87" t="s">
        <v>32</v>
      </c>
      <c r="D2044" s="8">
        <v>10000</v>
      </c>
      <c r="E2044" s="8"/>
      <c r="F2044" s="8">
        <f t="shared" si="31"/>
        <v>41822</v>
      </c>
      <c r="G2044" s="26"/>
    </row>
    <row r="2045" spans="1:7" x14ac:dyDescent="0.25">
      <c r="A2045" s="204">
        <v>42842</v>
      </c>
      <c r="B2045" s="26" t="s">
        <v>121</v>
      </c>
      <c r="C2045" s="87" t="s">
        <v>1602</v>
      </c>
      <c r="D2045" s="8">
        <v>30000</v>
      </c>
      <c r="E2045" s="8"/>
      <c r="F2045" s="8">
        <f t="shared" si="31"/>
        <v>11822</v>
      </c>
      <c r="G2045" s="26"/>
    </row>
    <row r="2046" spans="1:7" x14ac:dyDescent="0.25">
      <c r="A2046" s="204">
        <v>42842</v>
      </c>
      <c r="B2046" s="26" t="s">
        <v>26</v>
      </c>
      <c r="C2046" s="87" t="s">
        <v>1631</v>
      </c>
      <c r="D2046" s="8">
        <v>30</v>
      </c>
      <c r="E2046" s="8"/>
      <c r="F2046" s="8">
        <f t="shared" si="31"/>
        <v>11792</v>
      </c>
      <c r="G2046" s="26"/>
    </row>
    <row r="2047" spans="1:7" x14ac:dyDescent="0.25">
      <c r="A2047" s="204">
        <v>42842</v>
      </c>
      <c r="B2047" s="26" t="s">
        <v>182</v>
      </c>
      <c r="C2047" s="87" t="s">
        <v>1603</v>
      </c>
      <c r="D2047" s="8">
        <v>10000</v>
      </c>
      <c r="E2047" s="8"/>
      <c r="F2047" s="8">
        <f t="shared" si="31"/>
        <v>1792</v>
      </c>
      <c r="G2047" s="26"/>
    </row>
    <row r="2048" spans="1:7" x14ac:dyDescent="0.25">
      <c r="A2048" s="204">
        <v>42842</v>
      </c>
      <c r="B2048" s="462" t="s">
        <v>1604</v>
      </c>
      <c r="C2048" s="463"/>
      <c r="D2048" s="71"/>
      <c r="E2048" s="58">
        <v>100000</v>
      </c>
      <c r="F2048" s="8">
        <f t="shared" si="31"/>
        <v>101792</v>
      </c>
      <c r="G2048" s="26"/>
    </row>
    <row r="2049" spans="1:7" x14ac:dyDescent="0.25">
      <c r="A2049" s="204">
        <v>42842</v>
      </c>
      <c r="B2049" s="26" t="s">
        <v>1334</v>
      </c>
      <c r="C2049" s="87" t="s">
        <v>1605</v>
      </c>
      <c r="D2049" s="8">
        <v>10000</v>
      </c>
      <c r="E2049" s="8"/>
      <c r="F2049" s="8">
        <f t="shared" si="31"/>
        <v>91792</v>
      </c>
      <c r="G2049" s="26"/>
    </row>
    <row r="2050" spans="1:7" x14ac:dyDescent="0.25">
      <c r="A2050" s="204">
        <v>42842</v>
      </c>
      <c r="B2050" s="197" t="s">
        <v>1334</v>
      </c>
      <c r="C2050" s="198" t="s">
        <v>1606</v>
      </c>
      <c r="D2050" s="75">
        <v>45000</v>
      </c>
      <c r="E2050" s="8"/>
      <c r="F2050" s="8">
        <f t="shared" si="31"/>
        <v>46792</v>
      </c>
      <c r="G2050" s="26"/>
    </row>
    <row r="2051" spans="1:7" x14ac:dyDescent="0.25">
      <c r="A2051" s="204">
        <v>42842</v>
      </c>
      <c r="B2051" s="26" t="s">
        <v>1413</v>
      </c>
      <c r="C2051" s="87" t="s">
        <v>1607</v>
      </c>
      <c r="D2051" s="8">
        <v>2000</v>
      </c>
      <c r="E2051" s="8"/>
      <c r="F2051" s="8">
        <f t="shared" ref="F2051:F2114" si="32">F2050-D2051+E2051</f>
        <v>44792</v>
      </c>
      <c r="G2051" s="26"/>
    </row>
    <row r="2052" spans="1:7" x14ac:dyDescent="0.25">
      <c r="A2052" s="204">
        <v>42842</v>
      </c>
      <c r="B2052" s="18" t="s">
        <v>26</v>
      </c>
      <c r="C2052" s="196" t="s">
        <v>1613</v>
      </c>
      <c r="D2052" s="8">
        <v>30</v>
      </c>
      <c r="E2052" s="8"/>
      <c r="F2052" s="8">
        <f t="shared" si="32"/>
        <v>44762</v>
      </c>
      <c r="G2052" s="26"/>
    </row>
    <row r="2053" spans="1:7" x14ac:dyDescent="0.25">
      <c r="A2053" s="204">
        <v>42842</v>
      </c>
      <c r="B2053" s="462" t="s">
        <v>1608</v>
      </c>
      <c r="C2053" s="463"/>
      <c r="D2053" s="71"/>
      <c r="E2053" s="58">
        <v>10000</v>
      </c>
      <c r="F2053" s="8">
        <f t="shared" si="32"/>
        <v>54762</v>
      </c>
      <c r="G2053" s="26"/>
    </row>
    <row r="2054" spans="1:7" x14ac:dyDescent="0.25">
      <c r="A2054" s="204">
        <v>42842</v>
      </c>
      <c r="B2054" s="26" t="s">
        <v>1609</v>
      </c>
      <c r="C2054" s="87" t="s">
        <v>41</v>
      </c>
      <c r="D2054" s="8">
        <v>15000</v>
      </c>
      <c r="E2054" s="8"/>
      <c r="F2054" s="8">
        <f t="shared" si="32"/>
        <v>39762</v>
      </c>
      <c r="G2054" s="26"/>
    </row>
    <row r="2055" spans="1:7" x14ac:dyDescent="0.25">
      <c r="A2055" s="204">
        <v>42843</v>
      </c>
      <c r="B2055" s="26" t="s">
        <v>4</v>
      </c>
      <c r="C2055" s="87" t="s">
        <v>1610</v>
      </c>
      <c r="D2055" s="8">
        <v>2000</v>
      </c>
      <c r="E2055" s="8"/>
      <c r="F2055" s="8">
        <f t="shared" si="32"/>
        <v>37762</v>
      </c>
      <c r="G2055" s="26"/>
    </row>
    <row r="2056" spans="1:7" x14ac:dyDescent="0.25">
      <c r="A2056" s="204">
        <v>42843</v>
      </c>
      <c r="B2056" s="26" t="s">
        <v>59</v>
      </c>
      <c r="C2056" s="87" t="s">
        <v>32</v>
      </c>
      <c r="D2056" s="8">
        <v>6000</v>
      </c>
      <c r="E2056" s="8"/>
      <c r="F2056" s="8">
        <f t="shared" si="32"/>
        <v>31762</v>
      </c>
      <c r="G2056" s="26"/>
    </row>
    <row r="2057" spans="1:7" x14ac:dyDescent="0.25">
      <c r="A2057" s="204">
        <v>42843</v>
      </c>
      <c r="B2057" s="26" t="s">
        <v>26</v>
      </c>
      <c r="C2057" s="87" t="s">
        <v>84</v>
      </c>
      <c r="D2057" s="8">
        <v>140</v>
      </c>
      <c r="E2057" s="8"/>
      <c r="F2057" s="8">
        <f t="shared" si="32"/>
        <v>31622</v>
      </c>
      <c r="G2057" s="26"/>
    </row>
    <row r="2058" spans="1:7" x14ac:dyDescent="0.25">
      <c r="A2058" s="204">
        <v>42843</v>
      </c>
      <c r="B2058" s="26" t="s">
        <v>0</v>
      </c>
      <c r="C2058" s="87" t="s">
        <v>1611</v>
      </c>
      <c r="D2058" s="8">
        <v>9000</v>
      </c>
      <c r="E2058" s="8"/>
      <c r="F2058" s="8">
        <f t="shared" si="32"/>
        <v>22622</v>
      </c>
      <c r="G2058" s="26"/>
    </row>
    <row r="2059" spans="1:7" x14ac:dyDescent="0.25">
      <c r="A2059" s="204">
        <v>42843</v>
      </c>
      <c r="B2059" s="26" t="s">
        <v>0</v>
      </c>
      <c r="C2059" s="87" t="s">
        <v>32</v>
      </c>
      <c r="D2059" s="8">
        <v>2000</v>
      </c>
      <c r="E2059" s="8"/>
      <c r="F2059" s="8">
        <f t="shared" si="32"/>
        <v>20622</v>
      </c>
      <c r="G2059" s="26"/>
    </row>
    <row r="2060" spans="1:7" x14ac:dyDescent="0.25">
      <c r="A2060" s="204">
        <v>42843</v>
      </c>
      <c r="B2060" s="26" t="s">
        <v>85</v>
      </c>
      <c r="C2060" s="87" t="s">
        <v>74</v>
      </c>
      <c r="D2060" s="8">
        <v>4000</v>
      </c>
      <c r="E2060" s="8"/>
      <c r="F2060" s="8">
        <f t="shared" si="32"/>
        <v>16622</v>
      </c>
      <c r="G2060" s="26"/>
    </row>
    <row r="2061" spans="1:7" x14ac:dyDescent="0.25">
      <c r="A2061" s="204">
        <v>42843</v>
      </c>
      <c r="B2061" s="26" t="s">
        <v>85</v>
      </c>
      <c r="C2061" s="87" t="s">
        <v>1612</v>
      </c>
      <c r="D2061" s="8">
        <v>5000</v>
      </c>
      <c r="E2061" s="8"/>
      <c r="F2061" s="8">
        <f t="shared" si="32"/>
        <v>11622</v>
      </c>
      <c r="G2061" s="26"/>
    </row>
    <row r="2062" spans="1:7" x14ac:dyDescent="0.25">
      <c r="A2062" s="204">
        <v>42843</v>
      </c>
      <c r="B2062" s="29" t="s">
        <v>542</v>
      </c>
      <c r="C2062" s="89" t="s">
        <v>257</v>
      </c>
      <c r="D2062" s="14">
        <v>5500</v>
      </c>
      <c r="E2062" s="8"/>
      <c r="F2062" s="8">
        <f t="shared" si="32"/>
        <v>6122</v>
      </c>
      <c r="G2062" s="26"/>
    </row>
    <row r="2063" spans="1:7" x14ac:dyDescent="0.25">
      <c r="A2063" s="204">
        <v>42843</v>
      </c>
      <c r="B2063" s="29" t="s">
        <v>248</v>
      </c>
      <c r="C2063" s="89" t="s">
        <v>1651</v>
      </c>
      <c r="D2063" s="14">
        <v>560</v>
      </c>
      <c r="E2063" s="8"/>
      <c r="F2063" s="8">
        <f t="shared" si="32"/>
        <v>5562</v>
      </c>
      <c r="G2063" s="26"/>
    </row>
    <row r="2064" spans="1:7" x14ac:dyDescent="0.25">
      <c r="A2064" s="204">
        <v>42844</v>
      </c>
      <c r="B2064" s="26" t="s">
        <v>996</v>
      </c>
      <c r="C2064" s="87" t="s">
        <v>1614</v>
      </c>
      <c r="D2064" s="8">
        <v>300</v>
      </c>
      <c r="E2064" s="8"/>
      <c r="F2064" s="8">
        <f t="shared" si="32"/>
        <v>5262</v>
      </c>
      <c r="G2064" s="26"/>
    </row>
    <row r="2065" spans="1:7" x14ac:dyDescent="0.25">
      <c r="A2065" s="204">
        <v>42844</v>
      </c>
      <c r="B2065" s="26" t="s">
        <v>28</v>
      </c>
      <c r="C2065" s="87" t="s">
        <v>32</v>
      </c>
      <c r="D2065" s="8">
        <v>3000</v>
      </c>
      <c r="E2065" s="8"/>
      <c r="F2065" s="8">
        <f t="shared" si="32"/>
        <v>2262</v>
      </c>
      <c r="G2065" s="26"/>
    </row>
    <row r="2066" spans="1:7" ht="30" x14ac:dyDescent="0.25">
      <c r="A2066" s="204">
        <v>42844</v>
      </c>
      <c r="B2066" s="26" t="s">
        <v>163</v>
      </c>
      <c r="C2066" s="87" t="s">
        <v>1616</v>
      </c>
      <c r="D2066" s="8">
        <v>100</v>
      </c>
      <c r="E2066" s="8"/>
      <c r="F2066" s="8">
        <f t="shared" si="32"/>
        <v>2162</v>
      </c>
      <c r="G2066" s="26"/>
    </row>
    <row r="2067" spans="1:7" x14ac:dyDescent="0.25">
      <c r="A2067" s="204">
        <v>42844</v>
      </c>
      <c r="B2067" s="26" t="s">
        <v>163</v>
      </c>
      <c r="C2067" s="87" t="s">
        <v>1617</v>
      </c>
      <c r="D2067" s="8">
        <v>250</v>
      </c>
      <c r="E2067" s="8"/>
      <c r="F2067" s="8">
        <f t="shared" si="32"/>
        <v>1912</v>
      </c>
      <c r="G2067" s="26"/>
    </row>
    <row r="2068" spans="1:7" x14ac:dyDescent="0.25">
      <c r="A2068" s="204">
        <v>42844</v>
      </c>
      <c r="B2068" s="26" t="s">
        <v>542</v>
      </c>
      <c r="C2068" s="87" t="s">
        <v>1618</v>
      </c>
      <c r="D2068" s="8">
        <v>600</v>
      </c>
      <c r="E2068" s="8"/>
      <c r="F2068" s="8">
        <f t="shared" si="32"/>
        <v>1312</v>
      </c>
      <c r="G2068" s="26"/>
    </row>
    <row r="2069" spans="1:7" x14ac:dyDescent="0.25">
      <c r="A2069" s="204"/>
      <c r="B2069" s="462" t="s">
        <v>1600</v>
      </c>
      <c r="C2069" s="463"/>
      <c r="D2069" s="71"/>
      <c r="E2069" s="58">
        <v>50000</v>
      </c>
      <c r="F2069" s="8">
        <f t="shared" si="32"/>
        <v>51312</v>
      </c>
      <c r="G2069" s="26"/>
    </row>
    <row r="2070" spans="1:7" x14ac:dyDescent="0.25">
      <c r="A2070" s="204">
        <v>42844</v>
      </c>
      <c r="B2070" s="26" t="s">
        <v>1619</v>
      </c>
      <c r="C2070" s="87" t="s">
        <v>1007</v>
      </c>
      <c r="D2070" s="8">
        <v>500</v>
      </c>
      <c r="E2070" s="8"/>
      <c r="F2070" s="8">
        <f t="shared" si="32"/>
        <v>50812</v>
      </c>
      <c r="G2070" s="26"/>
    </row>
    <row r="2071" spans="1:7" x14ac:dyDescent="0.25">
      <c r="A2071" s="204">
        <v>42844</v>
      </c>
      <c r="B2071" s="26" t="s">
        <v>117</v>
      </c>
      <c r="C2071" s="87" t="s">
        <v>1620</v>
      </c>
      <c r="D2071" s="8">
        <v>200</v>
      </c>
      <c r="E2071" s="8"/>
      <c r="F2071" s="8">
        <f t="shared" si="32"/>
        <v>50612</v>
      </c>
      <c r="G2071" s="26"/>
    </row>
    <row r="2072" spans="1:7" x14ac:dyDescent="0.25">
      <c r="A2072" s="204">
        <v>42844</v>
      </c>
      <c r="B2072" s="26" t="s">
        <v>1346</v>
      </c>
      <c r="C2072" s="87" t="s">
        <v>1621</v>
      </c>
      <c r="D2072" s="8">
        <v>10000</v>
      </c>
      <c r="E2072" s="8"/>
      <c r="F2072" s="8">
        <f t="shared" si="32"/>
        <v>40612</v>
      </c>
      <c r="G2072" s="26"/>
    </row>
    <row r="2073" spans="1:7" x14ac:dyDescent="0.25">
      <c r="A2073" s="204">
        <v>42844</v>
      </c>
      <c r="B2073" s="29" t="s">
        <v>1346</v>
      </c>
      <c r="C2073" s="89" t="s">
        <v>1703</v>
      </c>
      <c r="D2073" s="14">
        <v>6250</v>
      </c>
      <c r="E2073" s="8"/>
      <c r="F2073" s="8">
        <f t="shared" si="32"/>
        <v>34362</v>
      </c>
      <c r="G2073" s="26"/>
    </row>
    <row r="2074" spans="1:7" x14ac:dyDescent="0.25">
      <c r="A2074" s="204">
        <v>42844</v>
      </c>
      <c r="B2074" s="26" t="s">
        <v>1622</v>
      </c>
      <c r="C2074" s="87" t="s">
        <v>1623</v>
      </c>
      <c r="D2074" s="8">
        <v>6000</v>
      </c>
      <c r="E2074" s="8"/>
      <c r="F2074" s="8">
        <f t="shared" si="32"/>
        <v>28362</v>
      </c>
      <c r="G2074" s="26"/>
    </row>
    <row r="2075" spans="1:7" x14ac:dyDescent="0.25">
      <c r="A2075" s="204">
        <v>42844</v>
      </c>
      <c r="B2075" s="26" t="s">
        <v>26</v>
      </c>
      <c r="C2075" s="87" t="s">
        <v>1632</v>
      </c>
      <c r="D2075" s="8">
        <v>295</v>
      </c>
      <c r="E2075" s="8"/>
      <c r="F2075" s="8">
        <f t="shared" si="32"/>
        <v>28067</v>
      </c>
      <c r="G2075" s="26"/>
    </row>
    <row r="2076" spans="1:7" x14ac:dyDescent="0.25">
      <c r="A2076" s="204">
        <v>42845</v>
      </c>
      <c r="B2076" s="26" t="s">
        <v>1624</v>
      </c>
      <c r="C2076" s="87" t="s">
        <v>1625</v>
      </c>
      <c r="D2076" s="8">
        <v>8000</v>
      </c>
      <c r="E2076" s="8"/>
      <c r="F2076" s="8">
        <f t="shared" si="32"/>
        <v>20067</v>
      </c>
      <c r="G2076" s="26"/>
    </row>
    <row r="2077" spans="1:7" x14ac:dyDescent="0.25">
      <c r="A2077" s="204">
        <v>42845</v>
      </c>
      <c r="B2077" s="26" t="s">
        <v>446</v>
      </c>
      <c r="C2077" s="87" t="s">
        <v>541</v>
      </c>
      <c r="D2077" s="8">
        <v>2000</v>
      </c>
      <c r="E2077" s="8"/>
      <c r="F2077" s="8">
        <f t="shared" si="32"/>
        <v>18067</v>
      </c>
      <c r="G2077" s="26"/>
    </row>
    <row r="2078" spans="1:7" x14ac:dyDescent="0.25">
      <c r="A2078" s="204">
        <v>42845</v>
      </c>
      <c r="B2078" s="26" t="s">
        <v>105</v>
      </c>
      <c r="C2078" s="87" t="s">
        <v>32</v>
      </c>
      <c r="D2078" s="8">
        <v>2000</v>
      </c>
      <c r="E2078" s="8"/>
      <c r="F2078" s="8">
        <f t="shared" si="32"/>
        <v>16067</v>
      </c>
      <c r="G2078" s="26"/>
    </row>
    <row r="2079" spans="1:7" x14ac:dyDescent="0.25">
      <c r="A2079" s="204">
        <v>42845</v>
      </c>
      <c r="B2079" s="26" t="s">
        <v>19</v>
      </c>
      <c r="C2079" s="87" t="s">
        <v>1628</v>
      </c>
      <c r="D2079" s="8">
        <v>500</v>
      </c>
      <c r="E2079" s="8"/>
      <c r="F2079" s="8">
        <f t="shared" si="32"/>
        <v>15567</v>
      </c>
      <c r="G2079" s="26"/>
    </row>
    <row r="2080" spans="1:7" x14ac:dyDescent="0.25">
      <c r="A2080" s="204">
        <v>42845</v>
      </c>
      <c r="B2080" s="26" t="s">
        <v>26</v>
      </c>
      <c r="C2080" s="87" t="s">
        <v>1633</v>
      </c>
      <c r="D2080" s="8">
        <v>20</v>
      </c>
      <c r="E2080" s="8"/>
      <c r="F2080" s="8">
        <f t="shared" si="32"/>
        <v>15547</v>
      </c>
      <c r="G2080" s="26"/>
    </row>
    <row r="2081" spans="1:7" ht="30" x14ac:dyDescent="0.25">
      <c r="A2081" s="204">
        <v>42845</v>
      </c>
      <c r="B2081" s="26" t="s">
        <v>26</v>
      </c>
      <c r="C2081" s="87" t="s">
        <v>1629</v>
      </c>
      <c r="D2081" s="8">
        <v>505</v>
      </c>
      <c r="E2081" s="8"/>
      <c r="F2081" s="8">
        <f t="shared" si="32"/>
        <v>15042</v>
      </c>
      <c r="G2081" s="26"/>
    </row>
    <row r="2082" spans="1:7" x14ac:dyDescent="0.25">
      <c r="A2082" s="204">
        <v>42845</v>
      </c>
      <c r="B2082" s="26" t="s">
        <v>26</v>
      </c>
      <c r="C2082" s="87" t="s">
        <v>942</v>
      </c>
      <c r="D2082" s="8">
        <v>380</v>
      </c>
      <c r="E2082" s="8"/>
      <c r="F2082" s="8">
        <f t="shared" si="32"/>
        <v>14662</v>
      </c>
      <c r="G2082" s="26"/>
    </row>
    <row r="2083" spans="1:7" x14ac:dyDescent="0.25">
      <c r="A2083" s="204">
        <v>42845</v>
      </c>
      <c r="B2083" s="26" t="s">
        <v>165</v>
      </c>
      <c r="C2083" s="87" t="s">
        <v>32</v>
      </c>
      <c r="D2083" s="8">
        <v>15000</v>
      </c>
      <c r="E2083" s="8"/>
      <c r="F2083" s="8">
        <f t="shared" si="32"/>
        <v>-338</v>
      </c>
      <c r="G2083" s="26"/>
    </row>
    <row r="2084" spans="1:7" x14ac:dyDescent="0.25">
      <c r="A2084" s="204">
        <v>42846</v>
      </c>
      <c r="B2084" s="462" t="s">
        <v>1626</v>
      </c>
      <c r="C2084" s="463"/>
      <c r="D2084" s="71"/>
      <c r="E2084" s="58">
        <v>100000</v>
      </c>
      <c r="F2084" s="8">
        <f t="shared" si="32"/>
        <v>99662</v>
      </c>
      <c r="G2084" s="26"/>
    </row>
    <row r="2085" spans="1:7" x14ac:dyDescent="0.25">
      <c r="A2085" s="204">
        <v>42846</v>
      </c>
      <c r="B2085" s="26" t="s">
        <v>17</v>
      </c>
      <c r="C2085" s="87" t="s">
        <v>32</v>
      </c>
      <c r="D2085" s="8">
        <v>10000</v>
      </c>
      <c r="E2085" s="8"/>
      <c r="F2085" s="8">
        <f t="shared" si="32"/>
        <v>89662</v>
      </c>
      <c r="G2085" s="26"/>
    </row>
    <row r="2086" spans="1:7" x14ac:dyDescent="0.25">
      <c r="A2086" s="204">
        <v>42846</v>
      </c>
      <c r="B2086" s="26" t="s">
        <v>0</v>
      </c>
      <c r="C2086" s="87" t="s">
        <v>32</v>
      </c>
      <c r="D2086" s="8">
        <v>10000</v>
      </c>
      <c r="E2086" s="8"/>
      <c r="F2086" s="8">
        <f t="shared" si="32"/>
        <v>79662</v>
      </c>
      <c r="G2086" s="26"/>
    </row>
    <row r="2087" spans="1:7" x14ac:dyDescent="0.25">
      <c r="A2087" s="204">
        <v>42846</v>
      </c>
      <c r="B2087" s="26" t="s">
        <v>26</v>
      </c>
      <c r="C2087" s="87" t="s">
        <v>1630</v>
      </c>
      <c r="D2087" s="8">
        <v>120</v>
      </c>
      <c r="E2087" s="8"/>
      <c r="F2087" s="8">
        <f t="shared" si="32"/>
        <v>79542</v>
      </c>
      <c r="G2087" s="26"/>
    </row>
    <row r="2088" spans="1:7" x14ac:dyDescent="0.25">
      <c r="A2088" s="204">
        <v>42846</v>
      </c>
      <c r="B2088" s="26" t="s">
        <v>59</v>
      </c>
      <c r="C2088" s="87" t="s">
        <v>32</v>
      </c>
      <c r="D2088" s="8">
        <v>1000</v>
      </c>
      <c r="E2088" s="8"/>
      <c r="F2088" s="8">
        <f t="shared" si="32"/>
        <v>78542</v>
      </c>
      <c r="G2088" s="26"/>
    </row>
    <row r="2089" spans="1:7" x14ac:dyDescent="0.25">
      <c r="A2089" s="204">
        <v>42846</v>
      </c>
      <c r="B2089" s="26" t="s">
        <v>182</v>
      </c>
      <c r="C2089" s="87" t="s">
        <v>32</v>
      </c>
      <c r="D2089" s="8">
        <v>10000</v>
      </c>
      <c r="E2089" s="8"/>
      <c r="F2089" s="8">
        <f t="shared" si="32"/>
        <v>68542</v>
      </c>
      <c r="G2089" s="26"/>
    </row>
    <row r="2090" spans="1:7" x14ac:dyDescent="0.25">
      <c r="A2090" s="204">
        <v>42846</v>
      </c>
      <c r="B2090" s="29" t="s">
        <v>248</v>
      </c>
      <c r="C2090" s="89" t="s">
        <v>1498</v>
      </c>
      <c r="D2090" s="14">
        <v>500</v>
      </c>
      <c r="E2090" s="8"/>
      <c r="F2090" s="8">
        <f t="shared" si="32"/>
        <v>68042</v>
      </c>
      <c r="G2090" s="26"/>
    </row>
    <row r="2091" spans="1:7" x14ac:dyDescent="0.25">
      <c r="A2091" s="204">
        <v>42846</v>
      </c>
      <c r="B2091" s="26" t="s">
        <v>57</v>
      </c>
      <c r="C2091" s="87" t="s">
        <v>1627</v>
      </c>
      <c r="D2091" s="8">
        <v>100</v>
      </c>
      <c r="E2091" s="8"/>
      <c r="F2091" s="8">
        <f t="shared" si="32"/>
        <v>67942</v>
      </c>
      <c r="G2091" s="26"/>
    </row>
    <row r="2092" spans="1:7" x14ac:dyDescent="0.25">
      <c r="A2092" s="204">
        <v>42847</v>
      </c>
      <c r="B2092" s="26" t="s">
        <v>19</v>
      </c>
      <c r="C2092" s="87" t="s">
        <v>32</v>
      </c>
      <c r="D2092" s="8">
        <v>2000</v>
      </c>
      <c r="E2092" s="8"/>
      <c r="F2092" s="8">
        <f t="shared" si="32"/>
        <v>65942</v>
      </c>
      <c r="G2092" s="26"/>
    </row>
    <row r="2093" spans="1:7" x14ac:dyDescent="0.25">
      <c r="A2093" s="204">
        <v>42847</v>
      </c>
      <c r="B2093" s="26" t="s">
        <v>85</v>
      </c>
      <c r="C2093" s="87" t="s">
        <v>1634</v>
      </c>
      <c r="D2093" s="8">
        <v>2000</v>
      </c>
      <c r="E2093" s="8"/>
      <c r="F2093" s="8">
        <f t="shared" si="32"/>
        <v>63942</v>
      </c>
      <c r="G2093" s="26"/>
    </row>
    <row r="2094" spans="1:7" x14ac:dyDescent="0.25">
      <c r="A2094" s="204">
        <v>42847</v>
      </c>
      <c r="B2094" s="29" t="s">
        <v>1346</v>
      </c>
      <c r="C2094" s="89" t="s">
        <v>1704</v>
      </c>
      <c r="D2094" s="14">
        <v>9200</v>
      </c>
      <c r="E2094" s="8"/>
      <c r="F2094" s="8">
        <f t="shared" si="32"/>
        <v>54742</v>
      </c>
      <c r="G2094" s="26"/>
    </row>
    <row r="2095" spans="1:7" x14ac:dyDescent="0.25">
      <c r="A2095" s="204">
        <v>42847</v>
      </c>
      <c r="B2095" s="26" t="s">
        <v>4</v>
      </c>
      <c r="C2095" s="87" t="s">
        <v>32</v>
      </c>
      <c r="D2095" s="8">
        <v>10000</v>
      </c>
      <c r="E2095" s="8"/>
      <c r="F2095" s="8">
        <f t="shared" si="32"/>
        <v>44742</v>
      </c>
      <c r="G2095" s="26"/>
    </row>
    <row r="2096" spans="1:7" ht="30" x14ac:dyDescent="0.25">
      <c r="A2096" s="204">
        <v>42847</v>
      </c>
      <c r="B2096" s="29" t="s">
        <v>69</v>
      </c>
      <c r="C2096" s="89" t="s">
        <v>1648</v>
      </c>
      <c r="D2096" s="14">
        <v>1650</v>
      </c>
      <c r="E2096" s="8"/>
      <c r="F2096" s="8">
        <f t="shared" si="32"/>
        <v>43092</v>
      </c>
      <c r="G2096" s="26"/>
    </row>
    <row r="2097" spans="1:7" x14ac:dyDescent="0.25">
      <c r="A2097" s="204">
        <v>42847</v>
      </c>
      <c r="B2097" s="29" t="s">
        <v>59</v>
      </c>
      <c r="C2097" s="89" t="s">
        <v>1635</v>
      </c>
      <c r="D2097" s="14">
        <v>314</v>
      </c>
      <c r="E2097" s="8"/>
      <c r="F2097" s="8">
        <f t="shared" si="32"/>
        <v>42778</v>
      </c>
      <c r="G2097" s="26"/>
    </row>
    <row r="2098" spans="1:7" x14ac:dyDescent="0.25">
      <c r="A2098" s="204">
        <v>42847</v>
      </c>
      <c r="B2098" s="29" t="s">
        <v>1636</v>
      </c>
      <c r="C2098" s="89" t="s">
        <v>1637</v>
      </c>
      <c r="D2098" s="14">
        <v>150</v>
      </c>
      <c r="E2098" s="8"/>
      <c r="F2098" s="8">
        <f t="shared" si="32"/>
        <v>42628</v>
      </c>
      <c r="G2098" s="26"/>
    </row>
    <row r="2099" spans="1:7" x14ac:dyDescent="0.25">
      <c r="A2099" s="204">
        <v>42847</v>
      </c>
      <c r="B2099" s="26" t="s">
        <v>28</v>
      </c>
      <c r="C2099" s="87" t="s">
        <v>32</v>
      </c>
      <c r="D2099" s="8">
        <v>5000</v>
      </c>
      <c r="E2099" s="8"/>
      <c r="F2099" s="8">
        <f t="shared" si="32"/>
        <v>37628</v>
      </c>
      <c r="G2099" s="26"/>
    </row>
    <row r="2100" spans="1:7" x14ac:dyDescent="0.25">
      <c r="A2100" s="204">
        <v>42847</v>
      </c>
      <c r="B2100" s="26" t="s">
        <v>85</v>
      </c>
      <c r="C2100" s="87" t="s">
        <v>248</v>
      </c>
      <c r="D2100" s="8">
        <v>5000</v>
      </c>
      <c r="E2100" s="8"/>
      <c r="F2100" s="8">
        <f t="shared" si="32"/>
        <v>32628</v>
      </c>
      <c r="G2100" s="26"/>
    </row>
    <row r="2101" spans="1:7" x14ac:dyDescent="0.25">
      <c r="A2101" s="204">
        <v>42847</v>
      </c>
      <c r="B2101" s="26" t="s">
        <v>59</v>
      </c>
      <c r="C2101" s="87" t="s">
        <v>1638</v>
      </c>
      <c r="D2101" s="8">
        <v>1000</v>
      </c>
      <c r="E2101" s="8"/>
      <c r="F2101" s="8">
        <f t="shared" si="32"/>
        <v>31628</v>
      </c>
      <c r="G2101" s="26"/>
    </row>
    <row r="2102" spans="1:7" x14ac:dyDescent="0.25">
      <c r="A2102" s="204">
        <v>42847</v>
      </c>
      <c r="B2102" s="26" t="s">
        <v>248</v>
      </c>
      <c r="C2102" s="87" t="s">
        <v>1639</v>
      </c>
      <c r="D2102" s="8">
        <v>3680</v>
      </c>
      <c r="E2102" s="8"/>
      <c r="F2102" s="8">
        <f t="shared" si="32"/>
        <v>27948</v>
      </c>
      <c r="G2102" s="26"/>
    </row>
    <row r="2103" spans="1:7" x14ac:dyDescent="0.25">
      <c r="A2103" s="204">
        <v>42847</v>
      </c>
      <c r="B2103" s="26" t="s">
        <v>26</v>
      </c>
      <c r="C2103" s="87" t="s">
        <v>1644</v>
      </c>
      <c r="D2103" s="8">
        <v>220</v>
      </c>
      <c r="E2103" s="8"/>
      <c r="F2103" s="8">
        <f t="shared" si="32"/>
        <v>27728</v>
      </c>
      <c r="G2103" s="26"/>
    </row>
    <row r="2104" spans="1:7" x14ac:dyDescent="0.25">
      <c r="A2104" s="204">
        <v>42847</v>
      </c>
      <c r="B2104" s="26" t="s">
        <v>26</v>
      </c>
      <c r="C2104" s="87" t="s">
        <v>1645</v>
      </c>
      <c r="D2104" s="8">
        <v>240</v>
      </c>
      <c r="E2104" s="8"/>
      <c r="F2104" s="8">
        <f t="shared" si="32"/>
        <v>27488</v>
      </c>
      <c r="G2104" s="26"/>
    </row>
    <row r="2105" spans="1:7" ht="30" x14ac:dyDescent="0.25">
      <c r="A2105" s="204">
        <v>42847</v>
      </c>
      <c r="B2105" s="26" t="s">
        <v>26</v>
      </c>
      <c r="C2105" s="87" t="s">
        <v>1646</v>
      </c>
      <c r="D2105" s="8">
        <v>150</v>
      </c>
      <c r="E2105" s="8"/>
      <c r="F2105" s="8">
        <f t="shared" si="32"/>
        <v>27338</v>
      </c>
      <c r="G2105" s="26"/>
    </row>
    <row r="2106" spans="1:7" ht="30" x14ac:dyDescent="0.25">
      <c r="A2106" s="204">
        <v>42847</v>
      </c>
      <c r="B2106" s="26" t="s">
        <v>26</v>
      </c>
      <c r="C2106" s="87" t="s">
        <v>1647</v>
      </c>
      <c r="D2106" s="8">
        <v>90</v>
      </c>
      <c r="E2106" s="8"/>
      <c r="F2106" s="8">
        <f t="shared" si="32"/>
        <v>27248</v>
      </c>
      <c r="G2106" s="26"/>
    </row>
    <row r="2107" spans="1:7" x14ac:dyDescent="0.25">
      <c r="A2107" s="204">
        <v>42849</v>
      </c>
      <c r="B2107" s="26" t="s">
        <v>446</v>
      </c>
      <c r="C2107" s="87" t="s">
        <v>32</v>
      </c>
      <c r="D2107" s="8">
        <v>1000</v>
      </c>
      <c r="E2107" s="8"/>
      <c r="F2107" s="8">
        <f t="shared" si="32"/>
        <v>26248</v>
      </c>
      <c r="G2107" s="26"/>
    </row>
    <row r="2108" spans="1:7" x14ac:dyDescent="0.25">
      <c r="A2108" s="204">
        <v>42849</v>
      </c>
      <c r="B2108" s="26" t="s">
        <v>4</v>
      </c>
      <c r="C2108" s="87" t="s">
        <v>1640</v>
      </c>
      <c r="D2108" s="8">
        <v>20000</v>
      </c>
      <c r="E2108" s="8"/>
      <c r="F2108" s="8">
        <f t="shared" si="32"/>
        <v>6248</v>
      </c>
      <c r="G2108" s="26"/>
    </row>
    <row r="2109" spans="1:7" x14ac:dyDescent="0.25">
      <c r="A2109" s="204">
        <v>42849</v>
      </c>
      <c r="B2109" s="26" t="s">
        <v>117</v>
      </c>
      <c r="C2109" s="87" t="s">
        <v>1642</v>
      </c>
      <c r="D2109" s="8">
        <v>3185</v>
      </c>
      <c r="E2109" s="8"/>
      <c r="F2109" s="8">
        <f t="shared" si="32"/>
        <v>3063</v>
      </c>
      <c r="G2109" s="26"/>
    </row>
    <row r="2110" spans="1:7" x14ac:dyDescent="0.25">
      <c r="A2110" s="204">
        <v>42849</v>
      </c>
      <c r="B2110" s="29" t="s">
        <v>117</v>
      </c>
      <c r="C2110" s="89" t="s">
        <v>1664</v>
      </c>
      <c r="D2110" s="14">
        <v>900</v>
      </c>
      <c r="E2110" s="8"/>
      <c r="F2110" s="8">
        <f t="shared" si="32"/>
        <v>2163</v>
      </c>
      <c r="G2110" s="26"/>
    </row>
    <row r="2111" spans="1:7" x14ac:dyDescent="0.25">
      <c r="A2111" s="204">
        <v>42849</v>
      </c>
      <c r="B2111" s="462" t="s">
        <v>1643</v>
      </c>
      <c r="C2111" s="463"/>
      <c r="D2111" s="71"/>
      <c r="E2111" s="58">
        <v>50000</v>
      </c>
      <c r="F2111" s="8">
        <f t="shared" si="32"/>
        <v>52163</v>
      </c>
      <c r="G2111" s="26"/>
    </row>
    <row r="2112" spans="1:7" x14ac:dyDescent="0.25">
      <c r="A2112" s="204">
        <v>42849</v>
      </c>
      <c r="B2112" s="26" t="s">
        <v>121</v>
      </c>
      <c r="C2112" s="87" t="s">
        <v>32</v>
      </c>
      <c r="D2112" s="8">
        <v>15000</v>
      </c>
      <c r="E2112" s="8"/>
      <c r="F2112" s="8">
        <f t="shared" si="32"/>
        <v>37163</v>
      </c>
      <c r="G2112" s="26"/>
    </row>
    <row r="2113" spans="1:7" x14ac:dyDescent="0.25">
      <c r="A2113" s="204">
        <v>42849</v>
      </c>
      <c r="B2113" s="26" t="s">
        <v>59</v>
      </c>
      <c r="C2113" s="87" t="s">
        <v>34</v>
      </c>
      <c r="D2113" s="8">
        <v>100</v>
      </c>
      <c r="E2113" s="8"/>
      <c r="F2113" s="8">
        <f t="shared" si="32"/>
        <v>37063</v>
      </c>
      <c r="G2113" s="26"/>
    </row>
    <row r="2114" spans="1:7" ht="30" x14ac:dyDescent="0.25">
      <c r="A2114" s="204">
        <v>42849</v>
      </c>
      <c r="B2114" s="26" t="s">
        <v>26</v>
      </c>
      <c r="C2114" s="87" t="s">
        <v>1670</v>
      </c>
      <c r="D2114" s="8">
        <v>350</v>
      </c>
      <c r="E2114" s="8"/>
      <c r="F2114" s="8">
        <f t="shared" si="32"/>
        <v>36713</v>
      </c>
      <c r="G2114" s="26"/>
    </row>
    <row r="2115" spans="1:7" ht="30" x14ac:dyDescent="0.25">
      <c r="A2115" s="204">
        <v>42849</v>
      </c>
      <c r="B2115" s="26" t="s">
        <v>1636</v>
      </c>
      <c r="C2115" s="87" t="s">
        <v>1650</v>
      </c>
      <c r="D2115" s="8">
        <v>1400</v>
      </c>
      <c r="E2115" s="8"/>
      <c r="F2115" s="8">
        <f t="shared" ref="F2115:F2178" si="33">F2114-D2115+E2115</f>
        <v>35313</v>
      </c>
      <c r="G2115" s="26"/>
    </row>
    <row r="2116" spans="1:7" x14ac:dyDescent="0.25">
      <c r="A2116" s="204">
        <v>42849</v>
      </c>
      <c r="B2116" s="26" t="s">
        <v>85</v>
      </c>
      <c r="C2116" s="87" t="s">
        <v>29</v>
      </c>
      <c r="D2116" s="8">
        <v>25000</v>
      </c>
      <c r="E2116" s="8"/>
      <c r="F2116" s="8">
        <f t="shared" si="33"/>
        <v>10313</v>
      </c>
      <c r="G2116" s="26"/>
    </row>
    <row r="2117" spans="1:7" x14ac:dyDescent="0.25">
      <c r="A2117" s="204">
        <v>42849</v>
      </c>
      <c r="B2117" s="26" t="s">
        <v>128</v>
      </c>
      <c r="C2117" s="87" t="s">
        <v>32</v>
      </c>
      <c r="D2117" s="8">
        <v>7070</v>
      </c>
      <c r="E2117" s="8"/>
      <c r="F2117" s="8">
        <f t="shared" si="33"/>
        <v>3243</v>
      </c>
      <c r="G2117" s="26"/>
    </row>
    <row r="2118" spans="1:7" x14ac:dyDescent="0.25">
      <c r="A2118" s="204">
        <v>42850</v>
      </c>
      <c r="B2118" s="197" t="s">
        <v>69</v>
      </c>
      <c r="C2118" s="198" t="s">
        <v>1649</v>
      </c>
      <c r="D2118" s="75">
        <v>350</v>
      </c>
      <c r="E2118" s="8"/>
      <c r="F2118" s="8">
        <f t="shared" si="33"/>
        <v>2893</v>
      </c>
      <c r="G2118" s="26"/>
    </row>
    <row r="2119" spans="1:7" x14ac:dyDescent="0.25">
      <c r="A2119" s="204">
        <v>42850</v>
      </c>
      <c r="B2119" s="26" t="s">
        <v>85</v>
      </c>
      <c r="C2119" s="87" t="s">
        <v>1652</v>
      </c>
      <c r="D2119" s="8">
        <v>1000</v>
      </c>
      <c r="E2119" s="8"/>
      <c r="F2119" s="8">
        <f t="shared" si="33"/>
        <v>1893</v>
      </c>
      <c r="G2119" s="26"/>
    </row>
    <row r="2120" spans="1:7" x14ac:dyDescent="0.25">
      <c r="A2120" s="204">
        <v>42850</v>
      </c>
      <c r="B2120" s="462" t="s">
        <v>1654</v>
      </c>
      <c r="C2120" s="463"/>
      <c r="D2120" s="71"/>
      <c r="E2120" s="58">
        <v>50000</v>
      </c>
      <c r="F2120" s="8">
        <f t="shared" si="33"/>
        <v>51893</v>
      </c>
      <c r="G2120" s="26"/>
    </row>
    <row r="2121" spans="1:7" x14ac:dyDescent="0.25">
      <c r="A2121" s="204">
        <v>42850</v>
      </c>
      <c r="B2121" s="26" t="s">
        <v>1006</v>
      </c>
      <c r="C2121" s="87" t="s">
        <v>1653</v>
      </c>
      <c r="D2121" s="8">
        <v>450</v>
      </c>
      <c r="E2121" s="8"/>
      <c r="F2121" s="8">
        <f t="shared" si="33"/>
        <v>51443</v>
      </c>
      <c r="G2121" s="26"/>
    </row>
    <row r="2122" spans="1:7" x14ac:dyDescent="0.25">
      <c r="A2122" s="204">
        <v>42850</v>
      </c>
      <c r="B2122" s="26" t="s">
        <v>85</v>
      </c>
      <c r="C2122" s="87" t="s">
        <v>1655</v>
      </c>
      <c r="D2122" s="8">
        <v>3000</v>
      </c>
      <c r="E2122" s="8"/>
      <c r="F2122" s="8">
        <f t="shared" si="33"/>
        <v>48443</v>
      </c>
      <c r="G2122" s="26"/>
    </row>
    <row r="2123" spans="1:7" x14ac:dyDescent="0.25">
      <c r="A2123" s="204">
        <v>42850</v>
      </c>
      <c r="B2123" s="26" t="s">
        <v>1656</v>
      </c>
      <c r="C2123" s="87" t="s">
        <v>1657</v>
      </c>
      <c r="D2123" s="8">
        <v>15500</v>
      </c>
      <c r="E2123" s="8"/>
      <c r="F2123" s="8">
        <f t="shared" si="33"/>
        <v>32943</v>
      </c>
      <c r="G2123" s="26"/>
    </row>
    <row r="2124" spans="1:7" x14ac:dyDescent="0.25">
      <c r="A2124" s="204">
        <v>42851</v>
      </c>
      <c r="B2124" s="26" t="s">
        <v>85</v>
      </c>
      <c r="C2124" s="87" t="s">
        <v>1658</v>
      </c>
      <c r="D2124" s="8">
        <v>1000</v>
      </c>
      <c r="E2124" s="8"/>
      <c r="F2124" s="8">
        <f t="shared" si="33"/>
        <v>31943</v>
      </c>
      <c r="G2124" s="26"/>
    </row>
    <row r="2125" spans="1:7" x14ac:dyDescent="0.25">
      <c r="A2125" s="204">
        <v>42851</v>
      </c>
      <c r="B2125" s="26" t="s">
        <v>446</v>
      </c>
      <c r="C2125" s="87" t="s">
        <v>32</v>
      </c>
      <c r="D2125" s="8">
        <v>1000</v>
      </c>
      <c r="E2125" s="8"/>
      <c r="F2125" s="8">
        <f t="shared" si="33"/>
        <v>30943</v>
      </c>
      <c r="G2125" s="26"/>
    </row>
    <row r="2126" spans="1:7" x14ac:dyDescent="0.25">
      <c r="A2126" s="204">
        <v>42851</v>
      </c>
      <c r="B2126" s="26" t="s">
        <v>165</v>
      </c>
      <c r="C2126" s="87" t="s">
        <v>1659</v>
      </c>
      <c r="D2126" s="8">
        <v>10000</v>
      </c>
      <c r="E2126" s="8"/>
      <c r="F2126" s="8">
        <f t="shared" si="33"/>
        <v>20943</v>
      </c>
      <c r="G2126" s="26"/>
    </row>
    <row r="2127" spans="1:7" ht="45" x14ac:dyDescent="0.25">
      <c r="A2127" s="204">
        <v>42851</v>
      </c>
      <c r="B2127" s="26" t="s">
        <v>26</v>
      </c>
      <c r="C2127" s="87" t="s">
        <v>1660</v>
      </c>
      <c r="D2127" s="8">
        <v>1200</v>
      </c>
      <c r="E2127" s="8"/>
      <c r="F2127" s="8">
        <f t="shared" si="33"/>
        <v>19743</v>
      </c>
      <c r="G2127" s="26"/>
    </row>
    <row r="2128" spans="1:7" x14ac:dyDescent="0.25">
      <c r="A2128" s="204">
        <v>42851</v>
      </c>
      <c r="B2128" s="26" t="s">
        <v>1619</v>
      </c>
      <c r="C2128" s="87" t="s">
        <v>1661</v>
      </c>
      <c r="D2128" s="8">
        <v>1500</v>
      </c>
      <c r="E2128" s="8"/>
      <c r="F2128" s="8">
        <f t="shared" si="33"/>
        <v>18243</v>
      </c>
      <c r="G2128" s="26"/>
    </row>
    <row r="2129" spans="1:7" x14ac:dyDescent="0.25">
      <c r="A2129" s="204">
        <v>42851</v>
      </c>
      <c r="B2129" s="26" t="s">
        <v>26</v>
      </c>
      <c r="C2129" s="87" t="s">
        <v>1662</v>
      </c>
      <c r="D2129" s="8">
        <v>200</v>
      </c>
      <c r="E2129" s="8"/>
      <c r="F2129" s="8">
        <f t="shared" si="33"/>
        <v>18043</v>
      </c>
      <c r="G2129" s="26"/>
    </row>
    <row r="2130" spans="1:7" x14ac:dyDescent="0.25">
      <c r="A2130" s="204">
        <v>42851</v>
      </c>
      <c r="B2130" s="29" t="s">
        <v>117</v>
      </c>
      <c r="C2130" s="89" t="s">
        <v>1663</v>
      </c>
      <c r="D2130" s="14">
        <v>10000</v>
      </c>
      <c r="E2130" s="8"/>
      <c r="F2130" s="8">
        <f t="shared" si="33"/>
        <v>8043</v>
      </c>
      <c r="G2130" s="26"/>
    </row>
    <row r="2131" spans="1:7" x14ac:dyDescent="0.25">
      <c r="A2131" s="204">
        <v>42851</v>
      </c>
      <c r="B2131" s="197" t="s">
        <v>117</v>
      </c>
      <c r="C2131" s="198" t="s">
        <v>1665</v>
      </c>
      <c r="D2131" s="75">
        <v>600</v>
      </c>
      <c r="E2131" s="8"/>
      <c r="F2131" s="8">
        <f t="shared" si="33"/>
        <v>7443</v>
      </c>
      <c r="G2131" s="26"/>
    </row>
    <row r="2132" spans="1:7" x14ac:dyDescent="0.25">
      <c r="A2132" s="204">
        <v>42851</v>
      </c>
      <c r="B2132" s="197" t="s">
        <v>117</v>
      </c>
      <c r="C2132" s="198" t="s">
        <v>1667</v>
      </c>
      <c r="D2132" s="75">
        <v>160</v>
      </c>
      <c r="E2132" s="8"/>
      <c r="F2132" s="8">
        <f t="shared" si="33"/>
        <v>7283</v>
      </c>
      <c r="G2132" s="26"/>
    </row>
    <row r="2133" spans="1:7" x14ac:dyDescent="0.25">
      <c r="A2133" s="204">
        <v>42851</v>
      </c>
      <c r="B2133" s="26" t="s">
        <v>17</v>
      </c>
      <c r="C2133" s="87" t="s">
        <v>1666</v>
      </c>
      <c r="D2133" s="8">
        <v>1000</v>
      </c>
      <c r="E2133" s="8"/>
      <c r="F2133" s="8">
        <f t="shared" si="33"/>
        <v>6283</v>
      </c>
      <c r="G2133" s="26"/>
    </row>
    <row r="2134" spans="1:7" x14ac:dyDescent="0.25">
      <c r="A2134" s="204">
        <v>42851</v>
      </c>
      <c r="B2134" s="26" t="s">
        <v>59</v>
      </c>
      <c r="C2134" s="87" t="s">
        <v>32</v>
      </c>
      <c r="D2134" s="8">
        <v>100</v>
      </c>
      <c r="E2134" s="8"/>
      <c r="F2134" s="8">
        <f t="shared" si="33"/>
        <v>6183</v>
      </c>
      <c r="G2134" s="26"/>
    </row>
    <row r="2135" spans="1:7" x14ac:dyDescent="0.25">
      <c r="A2135" s="204">
        <v>42852</v>
      </c>
      <c r="B2135" s="26" t="s">
        <v>19</v>
      </c>
      <c r="C2135" s="87" t="s">
        <v>32</v>
      </c>
      <c r="D2135" s="8">
        <v>2000</v>
      </c>
      <c r="E2135" s="8"/>
      <c r="F2135" s="8">
        <f t="shared" si="33"/>
        <v>4183</v>
      </c>
      <c r="G2135" s="26"/>
    </row>
    <row r="2136" spans="1:7" x14ac:dyDescent="0.25">
      <c r="A2136" s="204">
        <v>42852</v>
      </c>
      <c r="B2136" s="26" t="s">
        <v>59</v>
      </c>
      <c r="C2136" s="87" t="s">
        <v>32</v>
      </c>
      <c r="D2136" s="8">
        <v>500</v>
      </c>
      <c r="E2136" s="8"/>
      <c r="F2136" s="8">
        <f t="shared" si="33"/>
        <v>3683</v>
      </c>
      <c r="G2136" s="26"/>
    </row>
    <row r="2137" spans="1:7" x14ac:dyDescent="0.25">
      <c r="A2137" s="204">
        <v>42852</v>
      </c>
      <c r="B2137" s="29" t="s">
        <v>248</v>
      </c>
      <c r="C2137" s="89" t="s">
        <v>1669</v>
      </c>
      <c r="D2137" s="14">
        <v>100</v>
      </c>
      <c r="E2137" s="8"/>
      <c r="F2137" s="8">
        <f t="shared" si="33"/>
        <v>3583</v>
      </c>
      <c r="G2137" s="26"/>
    </row>
    <row r="2138" spans="1:7" x14ac:dyDescent="0.25">
      <c r="A2138" s="204">
        <v>42852</v>
      </c>
      <c r="B2138" s="26" t="s">
        <v>1636</v>
      </c>
      <c r="C2138" s="87" t="s">
        <v>1668</v>
      </c>
      <c r="D2138" s="8">
        <v>2000</v>
      </c>
      <c r="E2138" s="8"/>
      <c r="F2138" s="8">
        <f t="shared" si="33"/>
        <v>1583</v>
      </c>
      <c r="G2138" s="26"/>
    </row>
    <row r="2139" spans="1:7" x14ac:dyDescent="0.25">
      <c r="A2139" s="204">
        <v>42852</v>
      </c>
      <c r="B2139" s="26" t="s">
        <v>1636</v>
      </c>
      <c r="C2139" s="87" t="s">
        <v>1671</v>
      </c>
      <c r="D2139" s="8">
        <v>160</v>
      </c>
      <c r="E2139" s="8"/>
      <c r="F2139" s="8">
        <f t="shared" si="33"/>
        <v>1423</v>
      </c>
      <c r="G2139" s="26"/>
    </row>
    <row r="2140" spans="1:7" x14ac:dyDescent="0.25">
      <c r="A2140" s="204">
        <v>42852</v>
      </c>
      <c r="B2140" s="26" t="s">
        <v>1636</v>
      </c>
      <c r="C2140" s="87" t="s">
        <v>1672</v>
      </c>
      <c r="D2140" s="8">
        <v>360</v>
      </c>
      <c r="E2140" s="8"/>
      <c r="F2140" s="8">
        <f t="shared" si="33"/>
        <v>1063</v>
      </c>
      <c r="G2140" s="26"/>
    </row>
    <row r="2141" spans="1:7" x14ac:dyDescent="0.25">
      <c r="A2141" s="204">
        <v>42852</v>
      </c>
      <c r="B2141" s="462" t="s">
        <v>1673</v>
      </c>
      <c r="C2141" s="463"/>
      <c r="D2141" s="71"/>
      <c r="E2141" s="58">
        <v>100000</v>
      </c>
      <c r="F2141" s="8">
        <f t="shared" si="33"/>
        <v>101063</v>
      </c>
      <c r="G2141" s="26"/>
    </row>
    <row r="2142" spans="1:7" x14ac:dyDescent="0.25">
      <c r="A2142" s="204">
        <v>42853</v>
      </c>
      <c r="B2142" s="26" t="s">
        <v>165</v>
      </c>
      <c r="C2142" s="87" t="s">
        <v>32</v>
      </c>
      <c r="D2142" s="8">
        <v>50000</v>
      </c>
      <c r="E2142" s="8"/>
      <c r="F2142" s="8">
        <f t="shared" si="33"/>
        <v>51063</v>
      </c>
      <c r="G2142" s="26"/>
    </row>
    <row r="2143" spans="1:7" x14ac:dyDescent="0.25">
      <c r="A2143" s="204">
        <v>42853</v>
      </c>
      <c r="B2143" s="26" t="s">
        <v>117</v>
      </c>
      <c r="C2143" s="87" t="s">
        <v>1674</v>
      </c>
      <c r="D2143" s="8">
        <v>5000</v>
      </c>
      <c r="E2143" s="8"/>
      <c r="F2143" s="8">
        <f t="shared" si="33"/>
        <v>46063</v>
      </c>
      <c r="G2143" s="26"/>
    </row>
    <row r="2144" spans="1:7" x14ac:dyDescent="0.25">
      <c r="A2144" s="204">
        <v>42853</v>
      </c>
      <c r="B2144" s="26" t="s">
        <v>28</v>
      </c>
      <c r="C2144" s="87" t="s">
        <v>32</v>
      </c>
      <c r="D2144" s="8">
        <v>2000</v>
      </c>
      <c r="E2144" s="8"/>
      <c r="F2144" s="8">
        <f t="shared" si="33"/>
        <v>44063</v>
      </c>
      <c r="G2144" s="26"/>
    </row>
    <row r="2145" spans="1:7" x14ac:dyDescent="0.25">
      <c r="A2145" s="204">
        <v>42853</v>
      </c>
      <c r="B2145" s="26" t="s">
        <v>1675</v>
      </c>
      <c r="C2145" s="87" t="s">
        <v>295</v>
      </c>
      <c r="D2145" s="8">
        <v>5000</v>
      </c>
      <c r="E2145" s="8"/>
      <c r="F2145" s="8">
        <f t="shared" si="33"/>
        <v>39063</v>
      </c>
      <c r="G2145" s="26"/>
    </row>
    <row r="2146" spans="1:7" x14ac:dyDescent="0.25">
      <c r="A2146" s="204">
        <v>42854</v>
      </c>
      <c r="B2146" s="26" t="s">
        <v>165</v>
      </c>
      <c r="C2146" s="87" t="s">
        <v>32</v>
      </c>
      <c r="D2146" s="8">
        <v>15000</v>
      </c>
      <c r="E2146" s="8"/>
      <c r="F2146" s="8">
        <f t="shared" si="33"/>
        <v>24063</v>
      </c>
      <c r="G2146" s="26"/>
    </row>
    <row r="2147" spans="1:7" x14ac:dyDescent="0.25">
      <c r="A2147" s="204">
        <v>42854</v>
      </c>
      <c r="B2147" s="26" t="s">
        <v>85</v>
      </c>
      <c r="C2147" s="87" t="s">
        <v>1676</v>
      </c>
      <c r="D2147" s="8">
        <v>20000</v>
      </c>
      <c r="E2147" s="8"/>
      <c r="F2147" s="8">
        <f t="shared" si="33"/>
        <v>4063</v>
      </c>
      <c r="G2147" s="26"/>
    </row>
    <row r="2148" spans="1:7" x14ac:dyDescent="0.25">
      <c r="A2148" s="204">
        <v>42854</v>
      </c>
      <c r="B2148" s="26" t="s">
        <v>59</v>
      </c>
      <c r="C2148" s="87" t="s">
        <v>1677</v>
      </c>
      <c r="D2148" s="8">
        <v>250</v>
      </c>
      <c r="E2148" s="8"/>
      <c r="F2148" s="8">
        <f t="shared" si="33"/>
        <v>3813</v>
      </c>
      <c r="G2148" s="26"/>
    </row>
    <row r="2149" spans="1:7" x14ac:dyDescent="0.25">
      <c r="A2149" s="204">
        <v>42854</v>
      </c>
      <c r="B2149" s="26" t="s">
        <v>59</v>
      </c>
      <c r="C2149" s="87" t="s">
        <v>1686</v>
      </c>
      <c r="D2149" s="8">
        <v>3650</v>
      </c>
      <c r="E2149" s="8"/>
      <c r="F2149" s="8">
        <f t="shared" si="33"/>
        <v>163</v>
      </c>
      <c r="G2149" s="26"/>
    </row>
    <row r="2150" spans="1:7" x14ac:dyDescent="0.25">
      <c r="A2150" s="204">
        <v>42854</v>
      </c>
      <c r="B2150" s="26" t="s">
        <v>248</v>
      </c>
      <c r="C2150" s="87" t="s">
        <v>1678</v>
      </c>
      <c r="D2150" s="8">
        <v>100</v>
      </c>
      <c r="E2150" s="8"/>
      <c r="F2150" s="8">
        <f t="shared" si="33"/>
        <v>63</v>
      </c>
      <c r="G2150" s="26"/>
    </row>
    <row r="2151" spans="1:7" x14ac:dyDescent="0.25">
      <c r="A2151" s="204">
        <v>42854</v>
      </c>
      <c r="B2151" s="26" t="s">
        <v>26</v>
      </c>
      <c r="C2151" s="87" t="s">
        <v>1679</v>
      </c>
      <c r="D2151" s="8">
        <f>39+39+35+50</f>
        <v>163</v>
      </c>
      <c r="E2151" s="8"/>
      <c r="F2151" s="8">
        <f t="shared" si="33"/>
        <v>-100</v>
      </c>
      <c r="G2151" s="26"/>
    </row>
    <row r="2152" spans="1:7" ht="30" x14ac:dyDescent="0.25">
      <c r="A2152" s="204">
        <v>42854</v>
      </c>
      <c r="B2152" s="26" t="s">
        <v>26</v>
      </c>
      <c r="C2152" s="87" t="s">
        <v>1680</v>
      </c>
      <c r="D2152" s="8">
        <f>140+50</f>
        <v>190</v>
      </c>
      <c r="E2152" s="8"/>
      <c r="F2152" s="8">
        <f t="shared" si="33"/>
        <v>-290</v>
      </c>
      <c r="G2152" s="26"/>
    </row>
    <row r="2153" spans="1:7" x14ac:dyDescent="0.25">
      <c r="A2153" s="204">
        <v>42854</v>
      </c>
      <c r="B2153" s="197" t="s">
        <v>248</v>
      </c>
      <c r="C2153" s="198" t="s">
        <v>1683</v>
      </c>
      <c r="D2153" s="75">
        <v>100</v>
      </c>
      <c r="E2153" s="8"/>
      <c r="F2153" s="8">
        <f t="shared" si="33"/>
        <v>-390</v>
      </c>
      <c r="G2153" s="26"/>
    </row>
    <row r="2154" spans="1:7" x14ac:dyDescent="0.25">
      <c r="A2154" s="204">
        <v>42854</v>
      </c>
      <c r="B2154" s="26" t="s">
        <v>28</v>
      </c>
      <c r="C2154" s="87" t="s">
        <v>32</v>
      </c>
      <c r="D2154" s="8">
        <v>1000</v>
      </c>
      <c r="E2154" s="8"/>
      <c r="F2154" s="8">
        <f t="shared" si="33"/>
        <v>-1390</v>
      </c>
      <c r="G2154" s="26"/>
    </row>
    <row r="2155" spans="1:7" x14ac:dyDescent="0.25">
      <c r="A2155" s="204">
        <v>42854</v>
      </c>
      <c r="B2155" s="462" t="s">
        <v>1681</v>
      </c>
      <c r="C2155" s="463"/>
      <c r="D2155" s="71"/>
      <c r="E2155" s="58">
        <v>50000</v>
      </c>
      <c r="F2155" s="8">
        <f t="shared" si="33"/>
        <v>48610</v>
      </c>
      <c r="G2155" s="26"/>
    </row>
    <row r="2156" spans="1:7" x14ac:dyDescent="0.25">
      <c r="A2156" s="204">
        <v>42854</v>
      </c>
      <c r="B2156" s="26" t="s">
        <v>182</v>
      </c>
      <c r="C2156" s="87" t="s">
        <v>32</v>
      </c>
      <c r="D2156" s="8">
        <v>15000</v>
      </c>
      <c r="E2156" s="8"/>
      <c r="F2156" s="8">
        <f t="shared" si="33"/>
        <v>33610</v>
      </c>
      <c r="G2156" s="26"/>
    </row>
    <row r="2157" spans="1:7" x14ac:dyDescent="0.25">
      <c r="A2157" s="204">
        <v>42854</v>
      </c>
      <c r="B2157" s="26" t="s">
        <v>1682</v>
      </c>
      <c r="C2157" s="87" t="s">
        <v>32</v>
      </c>
      <c r="D2157" s="8">
        <v>25000</v>
      </c>
      <c r="E2157" s="8"/>
      <c r="F2157" s="8">
        <f t="shared" si="33"/>
        <v>8610</v>
      </c>
      <c r="G2157" s="26"/>
    </row>
    <row r="2158" spans="1:7" x14ac:dyDescent="0.25">
      <c r="A2158" s="204">
        <v>42857</v>
      </c>
      <c r="B2158" s="26" t="s">
        <v>121</v>
      </c>
      <c r="C2158" s="87" t="s">
        <v>1684</v>
      </c>
      <c r="D2158" s="8">
        <v>250</v>
      </c>
      <c r="E2158" s="8"/>
      <c r="F2158" s="8">
        <f t="shared" si="33"/>
        <v>8360</v>
      </c>
      <c r="G2158" s="26"/>
    </row>
    <row r="2159" spans="1:7" x14ac:dyDescent="0.25">
      <c r="A2159" s="204">
        <v>42857</v>
      </c>
      <c r="B2159" s="29" t="s">
        <v>117</v>
      </c>
      <c r="C2159" s="89" t="s">
        <v>1685</v>
      </c>
      <c r="D2159" s="14">
        <v>2945</v>
      </c>
      <c r="E2159" s="8"/>
      <c r="F2159" s="8">
        <f t="shared" si="33"/>
        <v>5415</v>
      </c>
      <c r="G2159" s="26"/>
    </row>
    <row r="2160" spans="1:7" x14ac:dyDescent="0.25">
      <c r="A2160" s="204">
        <v>42857</v>
      </c>
      <c r="B2160" s="197" t="s">
        <v>117</v>
      </c>
      <c r="C2160" s="198" t="s">
        <v>1685</v>
      </c>
      <c r="D2160" s="75">
        <v>1055</v>
      </c>
      <c r="E2160" s="8"/>
      <c r="F2160" s="8">
        <f t="shared" si="33"/>
        <v>4360</v>
      </c>
      <c r="G2160" s="26"/>
    </row>
    <row r="2161" spans="1:7" x14ac:dyDescent="0.25">
      <c r="A2161" s="204">
        <v>42858</v>
      </c>
      <c r="B2161" s="26" t="s">
        <v>1636</v>
      </c>
      <c r="C2161" s="87" t="s">
        <v>1687</v>
      </c>
      <c r="D2161" s="8">
        <v>605</v>
      </c>
      <c r="E2161" s="8"/>
      <c r="F2161" s="8">
        <f t="shared" si="33"/>
        <v>3755</v>
      </c>
      <c r="G2161" s="26"/>
    </row>
    <row r="2162" spans="1:7" x14ac:dyDescent="0.25">
      <c r="A2162" s="204">
        <v>42858</v>
      </c>
      <c r="B2162" s="26" t="s">
        <v>17</v>
      </c>
      <c r="C2162" s="87" t="s">
        <v>32</v>
      </c>
      <c r="D2162" s="8">
        <v>200</v>
      </c>
      <c r="E2162" s="8"/>
      <c r="F2162" s="8">
        <f t="shared" si="33"/>
        <v>3555</v>
      </c>
      <c r="G2162" s="26"/>
    </row>
    <row r="2163" spans="1:7" x14ac:dyDescent="0.25">
      <c r="A2163" s="204">
        <v>42858</v>
      </c>
      <c r="B2163" s="26" t="s">
        <v>26</v>
      </c>
      <c r="C2163" s="87" t="s">
        <v>1688</v>
      </c>
      <c r="D2163" s="8">
        <v>200</v>
      </c>
      <c r="E2163" s="8"/>
      <c r="F2163" s="8">
        <f t="shared" si="33"/>
        <v>3355</v>
      </c>
      <c r="G2163" s="26"/>
    </row>
    <row r="2164" spans="1:7" x14ac:dyDescent="0.25">
      <c r="A2164" s="204">
        <v>42858</v>
      </c>
      <c r="B2164" s="26" t="s">
        <v>121</v>
      </c>
      <c r="C2164" s="87" t="s">
        <v>32</v>
      </c>
      <c r="D2164" s="8">
        <v>1000</v>
      </c>
      <c r="E2164" s="8"/>
      <c r="F2164" s="8">
        <f t="shared" si="33"/>
        <v>2355</v>
      </c>
      <c r="G2164" s="26"/>
    </row>
    <row r="2165" spans="1:7" x14ac:dyDescent="0.25">
      <c r="A2165" s="204">
        <v>42858</v>
      </c>
      <c r="B2165" s="26" t="s">
        <v>59</v>
      </c>
      <c r="C2165" s="87" t="s">
        <v>32</v>
      </c>
      <c r="D2165" s="8">
        <v>100</v>
      </c>
      <c r="E2165" s="8"/>
      <c r="F2165" s="8">
        <f t="shared" si="33"/>
        <v>2255</v>
      </c>
      <c r="G2165" s="26"/>
    </row>
    <row r="2166" spans="1:7" x14ac:dyDescent="0.25">
      <c r="A2166" s="204">
        <v>42858</v>
      </c>
      <c r="B2166" s="26" t="s">
        <v>1689</v>
      </c>
      <c r="C2166" s="87" t="s">
        <v>1690</v>
      </c>
      <c r="D2166" s="8">
        <v>418</v>
      </c>
      <c r="E2166" s="8"/>
      <c r="F2166" s="8">
        <f t="shared" si="33"/>
        <v>1837</v>
      </c>
      <c r="G2166" s="26"/>
    </row>
    <row r="2167" spans="1:7" x14ac:dyDescent="0.25">
      <c r="A2167" s="204">
        <v>42858</v>
      </c>
      <c r="B2167" s="26" t="s">
        <v>1689</v>
      </c>
      <c r="C2167" s="87" t="s">
        <v>1691</v>
      </c>
      <c r="D2167" s="8">
        <v>113</v>
      </c>
      <c r="E2167" s="8"/>
      <c r="F2167" s="8">
        <f t="shared" si="33"/>
        <v>1724</v>
      </c>
      <c r="G2167" s="26"/>
    </row>
    <row r="2168" spans="1:7" x14ac:dyDescent="0.25">
      <c r="A2168" s="204">
        <v>42859</v>
      </c>
      <c r="B2168" s="26" t="s">
        <v>59</v>
      </c>
      <c r="C2168" s="87" t="s">
        <v>32</v>
      </c>
      <c r="D2168" s="8">
        <v>300</v>
      </c>
      <c r="E2168" s="8"/>
      <c r="F2168" s="8">
        <f t="shared" si="33"/>
        <v>1424</v>
      </c>
      <c r="G2168" s="26"/>
    </row>
    <row r="2169" spans="1:7" x14ac:dyDescent="0.25">
      <c r="A2169" s="204">
        <v>42859</v>
      </c>
      <c r="B2169" s="209" t="s">
        <v>1682</v>
      </c>
      <c r="C2169" s="210" t="s">
        <v>1692</v>
      </c>
      <c r="D2169" s="93">
        <v>200</v>
      </c>
      <c r="E2169" s="8"/>
      <c r="F2169" s="8">
        <f t="shared" si="33"/>
        <v>1224</v>
      </c>
      <c r="G2169" s="26"/>
    </row>
    <row r="2170" spans="1:7" x14ac:dyDescent="0.25">
      <c r="A2170" s="204">
        <v>42859</v>
      </c>
      <c r="B2170" s="209" t="s">
        <v>248</v>
      </c>
      <c r="C2170" s="210" t="s">
        <v>1693</v>
      </c>
      <c r="D2170" s="93">
        <v>500</v>
      </c>
      <c r="E2170" s="8"/>
      <c r="F2170" s="8">
        <f t="shared" si="33"/>
        <v>724</v>
      </c>
      <c r="G2170" s="26"/>
    </row>
    <row r="2171" spans="1:7" x14ac:dyDescent="0.25">
      <c r="A2171" s="204">
        <v>42859</v>
      </c>
      <c r="B2171" s="26" t="s">
        <v>1284</v>
      </c>
      <c r="C2171" s="87" t="s">
        <v>1694</v>
      </c>
      <c r="D2171" s="8">
        <v>35</v>
      </c>
      <c r="E2171" s="8"/>
      <c r="F2171" s="8">
        <f t="shared" si="33"/>
        <v>689</v>
      </c>
      <c r="G2171" s="26"/>
    </row>
    <row r="2172" spans="1:7" x14ac:dyDescent="0.25">
      <c r="A2172" s="204">
        <v>42859</v>
      </c>
      <c r="B2172" s="462" t="s">
        <v>1699</v>
      </c>
      <c r="C2172" s="463"/>
      <c r="D2172" s="71"/>
      <c r="E2172" s="58">
        <v>50000</v>
      </c>
      <c r="F2172" s="8">
        <f t="shared" si="33"/>
        <v>50689</v>
      </c>
      <c r="G2172" s="26"/>
    </row>
    <row r="2173" spans="1:7" x14ac:dyDescent="0.25">
      <c r="A2173" s="204">
        <v>42859</v>
      </c>
      <c r="B2173" s="26" t="s">
        <v>19</v>
      </c>
      <c r="C2173" s="87" t="s">
        <v>32</v>
      </c>
      <c r="D2173" s="8">
        <v>2000</v>
      </c>
      <c r="E2173" s="8"/>
      <c r="F2173" s="8">
        <f t="shared" si="33"/>
        <v>48689</v>
      </c>
      <c r="G2173" s="26"/>
    </row>
    <row r="2174" spans="1:7" x14ac:dyDescent="0.25">
      <c r="A2174" s="204">
        <v>42859</v>
      </c>
      <c r="B2174" s="26" t="s">
        <v>128</v>
      </c>
      <c r="C2174" s="87" t="s">
        <v>1695</v>
      </c>
      <c r="D2174" s="8">
        <v>5950</v>
      </c>
      <c r="E2174" s="8"/>
      <c r="F2174" s="8">
        <f t="shared" si="33"/>
        <v>42739</v>
      </c>
      <c r="G2174" s="26"/>
    </row>
    <row r="2175" spans="1:7" x14ac:dyDescent="0.25">
      <c r="A2175" s="204">
        <v>42859</v>
      </c>
      <c r="B2175" s="209" t="s">
        <v>121</v>
      </c>
      <c r="C2175" s="210" t="s">
        <v>32</v>
      </c>
      <c r="D2175" s="93">
        <v>5000</v>
      </c>
      <c r="E2175" s="8"/>
      <c r="F2175" s="8">
        <f t="shared" si="33"/>
        <v>37739</v>
      </c>
      <c r="G2175" s="26"/>
    </row>
    <row r="2176" spans="1:7" x14ac:dyDescent="0.25">
      <c r="A2176" s="204">
        <v>42859</v>
      </c>
      <c r="B2176" s="29" t="s">
        <v>1696</v>
      </c>
      <c r="C2176" s="89" t="s">
        <v>1697</v>
      </c>
      <c r="D2176" s="14">
        <v>6000</v>
      </c>
      <c r="E2176" s="8"/>
      <c r="F2176" s="8">
        <f t="shared" si="33"/>
        <v>31739</v>
      </c>
      <c r="G2176" s="26"/>
    </row>
    <row r="2177" spans="1:7" x14ac:dyDescent="0.25">
      <c r="A2177" s="204">
        <v>42859</v>
      </c>
      <c r="B2177" s="26" t="s">
        <v>28</v>
      </c>
      <c r="C2177" s="87" t="s">
        <v>32</v>
      </c>
      <c r="D2177" s="8">
        <v>13000</v>
      </c>
      <c r="E2177" s="8"/>
      <c r="F2177" s="8">
        <f t="shared" si="33"/>
        <v>18739</v>
      </c>
      <c r="G2177" s="26"/>
    </row>
    <row r="2178" spans="1:7" x14ac:dyDescent="0.25">
      <c r="A2178" s="204">
        <v>42859</v>
      </c>
      <c r="B2178" s="26" t="s">
        <v>17</v>
      </c>
      <c r="C2178" s="87" t="s">
        <v>32</v>
      </c>
      <c r="D2178" s="8">
        <v>500</v>
      </c>
      <c r="E2178" s="8"/>
      <c r="F2178" s="8">
        <f t="shared" si="33"/>
        <v>18239</v>
      </c>
      <c r="G2178" s="26"/>
    </row>
    <row r="2179" spans="1:7" x14ac:dyDescent="0.25">
      <c r="A2179" s="204">
        <v>42859</v>
      </c>
      <c r="B2179" s="26" t="s">
        <v>26</v>
      </c>
      <c r="C2179" s="87" t="s">
        <v>1707</v>
      </c>
      <c r="D2179" s="8">
        <v>290</v>
      </c>
      <c r="E2179" s="8"/>
      <c r="F2179" s="8">
        <f t="shared" ref="F2179:F2242" si="34">F2178-D2179+E2179</f>
        <v>17949</v>
      </c>
      <c r="G2179" s="26"/>
    </row>
    <row r="2180" spans="1:7" x14ac:dyDescent="0.25">
      <c r="A2180" s="204">
        <v>42859</v>
      </c>
      <c r="B2180" s="26" t="s">
        <v>26</v>
      </c>
      <c r="C2180" s="87" t="s">
        <v>1708</v>
      </c>
      <c r="D2180" s="8">
        <v>160</v>
      </c>
      <c r="E2180" s="8"/>
      <c r="F2180" s="8">
        <f t="shared" si="34"/>
        <v>17789</v>
      </c>
      <c r="G2180" s="26"/>
    </row>
    <row r="2181" spans="1:7" x14ac:dyDescent="0.25">
      <c r="A2181" s="204">
        <v>42859</v>
      </c>
      <c r="B2181" s="26" t="s">
        <v>248</v>
      </c>
      <c r="C2181" s="87" t="s">
        <v>1774</v>
      </c>
      <c r="D2181" s="8">
        <v>140</v>
      </c>
      <c r="E2181" s="8"/>
      <c r="F2181" s="8">
        <f t="shared" si="34"/>
        <v>17649</v>
      </c>
      <c r="G2181" s="26"/>
    </row>
    <row r="2182" spans="1:7" x14ac:dyDescent="0.25">
      <c r="A2182" s="204">
        <v>42859</v>
      </c>
      <c r="B2182" s="26" t="s">
        <v>248</v>
      </c>
      <c r="C2182" s="87" t="s">
        <v>1774</v>
      </c>
      <c r="D2182" s="8">
        <v>270</v>
      </c>
      <c r="E2182" s="8"/>
      <c r="F2182" s="8">
        <f t="shared" si="34"/>
        <v>17379</v>
      </c>
      <c r="G2182" s="26"/>
    </row>
    <row r="2183" spans="1:7" x14ac:dyDescent="0.25">
      <c r="A2183" s="204">
        <v>42860</v>
      </c>
      <c r="B2183" s="26" t="s">
        <v>26</v>
      </c>
      <c r="C2183" s="87" t="s">
        <v>1698</v>
      </c>
      <c r="D2183" s="8">
        <v>300</v>
      </c>
      <c r="E2183" s="8"/>
      <c r="F2183" s="8">
        <f t="shared" si="34"/>
        <v>17079</v>
      </c>
      <c r="G2183" s="26"/>
    </row>
    <row r="2184" spans="1:7" x14ac:dyDescent="0.25">
      <c r="A2184" s="204">
        <v>42860</v>
      </c>
      <c r="B2184" s="26" t="s">
        <v>71</v>
      </c>
      <c r="C2184" s="87" t="s">
        <v>1716</v>
      </c>
      <c r="D2184" s="8">
        <v>5240</v>
      </c>
      <c r="E2184" s="8"/>
      <c r="F2184" s="8">
        <f t="shared" si="34"/>
        <v>11839</v>
      </c>
      <c r="G2184" s="26"/>
    </row>
    <row r="2185" spans="1:7" ht="30" x14ac:dyDescent="0.25">
      <c r="A2185" s="204">
        <v>42860</v>
      </c>
      <c r="B2185" s="199" t="s">
        <v>163</v>
      </c>
      <c r="C2185" s="87" t="s">
        <v>1700</v>
      </c>
      <c r="D2185" s="94">
        <v>150</v>
      </c>
      <c r="E2185" s="8"/>
      <c r="F2185" s="8">
        <f t="shared" si="34"/>
        <v>11689</v>
      </c>
      <c r="G2185" s="26"/>
    </row>
    <row r="2186" spans="1:7" x14ac:dyDescent="0.25">
      <c r="A2186" s="204">
        <v>42860</v>
      </c>
      <c r="B2186" s="26" t="s">
        <v>117</v>
      </c>
      <c r="C2186" s="87" t="s">
        <v>1730</v>
      </c>
      <c r="D2186" s="8">
        <v>5000</v>
      </c>
      <c r="E2186" s="8"/>
      <c r="F2186" s="8">
        <f t="shared" si="34"/>
        <v>6689</v>
      </c>
      <c r="G2186" s="26"/>
    </row>
    <row r="2187" spans="1:7" x14ac:dyDescent="0.25">
      <c r="A2187" s="204">
        <v>42860</v>
      </c>
      <c r="B2187" s="26" t="s">
        <v>17</v>
      </c>
      <c r="C2187" s="87" t="s">
        <v>32</v>
      </c>
      <c r="D2187" s="8">
        <v>3000</v>
      </c>
      <c r="E2187" s="8"/>
      <c r="F2187" s="8">
        <f t="shared" si="34"/>
        <v>3689</v>
      </c>
      <c r="G2187" s="26"/>
    </row>
    <row r="2188" spans="1:7" x14ac:dyDescent="0.25">
      <c r="A2188" s="204">
        <v>42860</v>
      </c>
      <c r="B2188" s="26" t="s">
        <v>26</v>
      </c>
      <c r="C2188" s="87" t="s">
        <v>1701</v>
      </c>
      <c r="D2188" s="8">
        <v>3000</v>
      </c>
      <c r="E2188" s="8"/>
      <c r="F2188" s="8">
        <f t="shared" si="34"/>
        <v>689</v>
      </c>
      <c r="G2188" s="26"/>
    </row>
    <row r="2189" spans="1:7" ht="30" x14ac:dyDescent="0.25">
      <c r="A2189" s="204">
        <v>42860</v>
      </c>
      <c r="B2189" s="26" t="s">
        <v>59</v>
      </c>
      <c r="C2189" s="87" t="s">
        <v>1906</v>
      </c>
      <c r="D2189" s="8">
        <v>418</v>
      </c>
      <c r="E2189" s="8"/>
      <c r="F2189" s="8">
        <f t="shared" si="34"/>
        <v>271</v>
      </c>
      <c r="G2189" s="26"/>
    </row>
    <row r="2190" spans="1:7" ht="30" x14ac:dyDescent="0.25">
      <c r="A2190" s="204">
        <v>42860</v>
      </c>
      <c r="B2190" s="26" t="s">
        <v>26</v>
      </c>
      <c r="C2190" s="87" t="s">
        <v>1706</v>
      </c>
      <c r="D2190" s="8">
        <f>195+36+90</f>
        <v>321</v>
      </c>
      <c r="E2190" s="8"/>
      <c r="F2190" s="8">
        <f t="shared" si="34"/>
        <v>-50</v>
      </c>
      <c r="G2190" s="26"/>
    </row>
    <row r="2191" spans="1:7" x14ac:dyDescent="0.25">
      <c r="A2191" s="204">
        <v>42860</v>
      </c>
      <c r="B2191" s="26" t="s">
        <v>26</v>
      </c>
      <c r="C2191" s="87" t="s">
        <v>1705</v>
      </c>
      <c r="D2191" s="8">
        <v>228</v>
      </c>
      <c r="E2191" s="8"/>
      <c r="F2191" s="8">
        <f t="shared" si="34"/>
        <v>-278</v>
      </c>
      <c r="G2191" s="26"/>
    </row>
    <row r="2192" spans="1:7" x14ac:dyDescent="0.25">
      <c r="A2192" s="204">
        <v>42861</v>
      </c>
      <c r="B2192" s="462" t="s">
        <v>1709</v>
      </c>
      <c r="C2192" s="463"/>
      <c r="D2192" s="71"/>
      <c r="E2192" s="58">
        <v>5065</v>
      </c>
      <c r="F2192" s="8">
        <f t="shared" si="34"/>
        <v>4787</v>
      </c>
      <c r="G2192" s="26"/>
    </row>
    <row r="2193" spans="1:9" x14ac:dyDescent="0.25">
      <c r="A2193" s="204">
        <v>42861</v>
      </c>
      <c r="B2193" s="26" t="s">
        <v>1006</v>
      </c>
      <c r="C2193" s="87" t="s">
        <v>1710</v>
      </c>
      <c r="D2193" s="8">
        <v>2400</v>
      </c>
      <c r="E2193" s="8"/>
      <c r="F2193" s="8">
        <f t="shared" si="34"/>
        <v>2387</v>
      </c>
      <c r="G2193" s="26"/>
    </row>
    <row r="2194" spans="1:9" x14ac:dyDescent="0.25">
      <c r="A2194" s="204">
        <v>42861</v>
      </c>
      <c r="B2194" s="26" t="s">
        <v>446</v>
      </c>
      <c r="C2194" s="87" t="s">
        <v>1711</v>
      </c>
      <c r="D2194" s="8">
        <v>500</v>
      </c>
      <c r="E2194" s="8"/>
      <c r="F2194" s="8">
        <f t="shared" si="34"/>
        <v>1887</v>
      </c>
      <c r="G2194" s="26"/>
    </row>
    <row r="2195" spans="1:9" x14ac:dyDescent="0.25">
      <c r="A2195" s="204">
        <v>42861</v>
      </c>
      <c r="B2195" s="26" t="s">
        <v>248</v>
      </c>
      <c r="C2195" s="87" t="s">
        <v>1775</v>
      </c>
      <c r="D2195" s="8">
        <v>140</v>
      </c>
      <c r="E2195" s="8"/>
      <c r="F2195" s="8">
        <f t="shared" si="34"/>
        <v>1747</v>
      </c>
      <c r="G2195" s="26"/>
    </row>
    <row r="2196" spans="1:9" x14ac:dyDescent="0.25">
      <c r="A2196" s="204">
        <v>42861</v>
      </c>
      <c r="B2196" s="26" t="s">
        <v>1006</v>
      </c>
      <c r="C2196" s="87" t="s">
        <v>1712</v>
      </c>
      <c r="D2196" s="8">
        <v>200</v>
      </c>
      <c r="E2196" s="8"/>
      <c r="F2196" s="8">
        <f t="shared" si="34"/>
        <v>1547</v>
      </c>
      <c r="G2196" s="26"/>
      <c r="I2196" s="117"/>
    </row>
    <row r="2197" spans="1:9" x14ac:dyDescent="0.25">
      <c r="A2197" s="204">
        <v>42861</v>
      </c>
      <c r="B2197" s="209" t="s">
        <v>248</v>
      </c>
      <c r="C2197" s="210" t="s">
        <v>1693</v>
      </c>
      <c r="D2197" s="93">
        <v>550</v>
      </c>
      <c r="E2197" s="8"/>
      <c r="F2197" s="8">
        <f t="shared" si="34"/>
        <v>997</v>
      </c>
      <c r="G2197" s="26"/>
    </row>
    <row r="2198" spans="1:9" x14ac:dyDescent="0.25">
      <c r="A2198" s="204">
        <v>42861</v>
      </c>
      <c r="B2198" s="26" t="s">
        <v>59</v>
      </c>
      <c r="C2198" s="87" t="s">
        <v>32</v>
      </c>
      <c r="D2198" s="8">
        <v>200</v>
      </c>
      <c r="E2198" s="8"/>
      <c r="F2198" s="8">
        <f t="shared" si="34"/>
        <v>797</v>
      </c>
      <c r="G2198" s="26"/>
    </row>
    <row r="2199" spans="1:9" x14ac:dyDescent="0.25">
      <c r="A2199" s="204">
        <v>42863</v>
      </c>
      <c r="B2199" s="29" t="s">
        <v>630</v>
      </c>
      <c r="C2199" s="89" t="s">
        <v>1713</v>
      </c>
      <c r="D2199" s="14">
        <v>300</v>
      </c>
      <c r="E2199" s="8"/>
      <c r="F2199" s="8">
        <f t="shared" si="34"/>
        <v>497</v>
      </c>
      <c r="G2199" s="26"/>
    </row>
    <row r="2200" spans="1:9" x14ac:dyDescent="0.25">
      <c r="A2200" s="204">
        <v>42863</v>
      </c>
      <c r="B2200" s="462" t="s">
        <v>1699</v>
      </c>
      <c r="C2200" s="463"/>
      <c r="D2200" s="71"/>
      <c r="E2200" s="58">
        <v>50000</v>
      </c>
      <c r="F2200" s="8">
        <f t="shared" si="34"/>
        <v>50497</v>
      </c>
      <c r="G2200" s="26"/>
    </row>
    <row r="2201" spans="1:9" x14ac:dyDescent="0.25">
      <c r="A2201" s="204">
        <v>42863</v>
      </c>
      <c r="B2201" s="26" t="s">
        <v>1656</v>
      </c>
      <c r="C2201" s="87" t="s">
        <v>32</v>
      </c>
      <c r="D2201" s="8">
        <v>2100</v>
      </c>
      <c r="E2201" s="8"/>
      <c r="F2201" s="8">
        <f t="shared" si="34"/>
        <v>48397</v>
      </c>
      <c r="G2201" s="26"/>
    </row>
    <row r="2202" spans="1:9" x14ac:dyDescent="0.25">
      <c r="A2202" s="204">
        <v>42863</v>
      </c>
      <c r="B2202" s="26" t="s">
        <v>446</v>
      </c>
      <c r="C2202" s="87" t="s">
        <v>1731</v>
      </c>
      <c r="D2202" s="8">
        <v>2000</v>
      </c>
      <c r="E2202" s="8"/>
      <c r="F2202" s="8">
        <f t="shared" si="34"/>
        <v>46397</v>
      </c>
      <c r="G2202" s="26"/>
    </row>
    <row r="2203" spans="1:9" x14ac:dyDescent="0.25">
      <c r="A2203" s="204">
        <v>42863</v>
      </c>
      <c r="B2203" s="26" t="s">
        <v>1714</v>
      </c>
      <c r="C2203" s="87" t="s">
        <v>32</v>
      </c>
      <c r="D2203" s="8">
        <v>3800</v>
      </c>
      <c r="E2203" s="8"/>
      <c r="F2203" s="8">
        <f t="shared" si="34"/>
        <v>42597</v>
      </c>
      <c r="G2203" s="26"/>
    </row>
    <row r="2204" spans="1:9" x14ac:dyDescent="0.25">
      <c r="A2204" s="204">
        <v>42863</v>
      </c>
      <c r="B2204" s="26" t="s">
        <v>26</v>
      </c>
      <c r="C2204" s="87" t="s">
        <v>1715</v>
      </c>
      <c r="D2204" s="8">
        <v>130</v>
      </c>
      <c r="E2204" s="8"/>
      <c r="F2204" s="8">
        <f t="shared" si="34"/>
        <v>42467</v>
      </c>
      <c r="G2204" s="26"/>
    </row>
    <row r="2205" spans="1:9" x14ac:dyDescent="0.25">
      <c r="A2205" s="204">
        <v>42863</v>
      </c>
      <c r="B2205" s="211" t="s">
        <v>71</v>
      </c>
      <c r="C2205" s="212" t="s">
        <v>799</v>
      </c>
      <c r="D2205" s="95">
        <v>1300</v>
      </c>
      <c r="E2205" s="8"/>
      <c r="F2205" s="8">
        <f t="shared" si="34"/>
        <v>41167</v>
      </c>
      <c r="G2205" s="26"/>
    </row>
    <row r="2206" spans="1:9" x14ac:dyDescent="0.25">
      <c r="A2206" s="204">
        <v>42863</v>
      </c>
      <c r="B2206" s="26" t="s">
        <v>1717</v>
      </c>
      <c r="C2206" s="87" t="s">
        <v>1718</v>
      </c>
      <c r="D2206" s="8">
        <v>10000</v>
      </c>
      <c r="E2206" s="8"/>
      <c r="F2206" s="8">
        <f t="shared" si="34"/>
        <v>31167</v>
      </c>
      <c r="G2206" s="26"/>
    </row>
    <row r="2207" spans="1:9" x14ac:dyDescent="0.25">
      <c r="A2207" s="204">
        <v>42863</v>
      </c>
      <c r="B2207" s="26" t="s">
        <v>121</v>
      </c>
      <c r="C2207" s="87" t="s">
        <v>32</v>
      </c>
      <c r="D2207" s="8">
        <v>5000</v>
      </c>
      <c r="E2207" s="8"/>
      <c r="F2207" s="8">
        <f t="shared" si="34"/>
        <v>26167</v>
      </c>
      <c r="G2207" s="26"/>
    </row>
    <row r="2208" spans="1:9" x14ac:dyDescent="0.25">
      <c r="A2208" s="204">
        <v>42863</v>
      </c>
      <c r="B2208" s="26" t="s">
        <v>1675</v>
      </c>
      <c r="C2208" s="87" t="s">
        <v>1719</v>
      </c>
      <c r="D2208" s="8">
        <v>1000</v>
      </c>
      <c r="E2208" s="8"/>
      <c r="F2208" s="8">
        <f t="shared" si="34"/>
        <v>25167</v>
      </c>
      <c r="G2208" s="26"/>
    </row>
    <row r="2209" spans="1:7" x14ac:dyDescent="0.25">
      <c r="A2209" s="204">
        <v>42863</v>
      </c>
      <c r="B2209" s="26" t="s">
        <v>28</v>
      </c>
      <c r="C2209" s="87" t="s">
        <v>32</v>
      </c>
      <c r="D2209" s="8">
        <v>2000</v>
      </c>
      <c r="E2209" s="8"/>
      <c r="F2209" s="8">
        <f t="shared" si="34"/>
        <v>23167</v>
      </c>
      <c r="G2209" s="26"/>
    </row>
    <row r="2210" spans="1:7" x14ac:dyDescent="0.25">
      <c r="A2210" s="204">
        <v>42863</v>
      </c>
      <c r="B2210" s="26" t="s">
        <v>46</v>
      </c>
      <c r="C2210" s="87" t="s">
        <v>1720</v>
      </c>
      <c r="D2210" s="8">
        <v>10000</v>
      </c>
      <c r="E2210" s="8"/>
      <c r="F2210" s="8">
        <f t="shared" si="34"/>
        <v>13167</v>
      </c>
      <c r="G2210" s="26"/>
    </row>
    <row r="2211" spans="1:7" ht="30" x14ac:dyDescent="0.25">
      <c r="A2211" s="204">
        <v>42863</v>
      </c>
      <c r="B2211" s="26" t="s">
        <v>1721</v>
      </c>
      <c r="C2211" s="87" t="s">
        <v>1722</v>
      </c>
      <c r="D2211" s="91">
        <v>418</v>
      </c>
      <c r="E2211" s="8"/>
      <c r="F2211" s="8">
        <f t="shared" si="34"/>
        <v>12749</v>
      </c>
      <c r="G2211" s="26"/>
    </row>
    <row r="2212" spans="1:7" x14ac:dyDescent="0.25">
      <c r="A2212" s="204">
        <v>42863</v>
      </c>
      <c r="B2212" s="26" t="s">
        <v>59</v>
      </c>
      <c r="C2212" s="87" t="s">
        <v>32</v>
      </c>
      <c r="D2212" s="8">
        <v>1000</v>
      </c>
      <c r="E2212" s="8"/>
      <c r="F2212" s="8">
        <f t="shared" si="34"/>
        <v>11749</v>
      </c>
      <c r="G2212" s="26"/>
    </row>
    <row r="2213" spans="1:7" x14ac:dyDescent="0.25">
      <c r="A2213" s="204">
        <v>42863</v>
      </c>
      <c r="B2213" s="26" t="s">
        <v>26</v>
      </c>
      <c r="C2213" s="87" t="s">
        <v>1734</v>
      </c>
      <c r="D2213" s="8">
        <f>120+150</f>
        <v>270</v>
      </c>
      <c r="E2213" s="8"/>
      <c r="F2213" s="8">
        <f t="shared" si="34"/>
        <v>11479</v>
      </c>
      <c r="G2213" s="26"/>
    </row>
    <row r="2214" spans="1:7" x14ac:dyDescent="0.25">
      <c r="A2214" s="204">
        <v>42863</v>
      </c>
      <c r="B2214" s="26" t="s">
        <v>26</v>
      </c>
      <c r="C2214" s="87" t="s">
        <v>1733</v>
      </c>
      <c r="D2214" s="8">
        <v>200</v>
      </c>
      <c r="E2214" s="8"/>
      <c r="F2214" s="8">
        <f t="shared" si="34"/>
        <v>11279</v>
      </c>
      <c r="G2214" s="26"/>
    </row>
    <row r="2215" spans="1:7" ht="30" x14ac:dyDescent="0.25">
      <c r="A2215" s="204">
        <v>42863</v>
      </c>
      <c r="B2215" s="26" t="s">
        <v>26</v>
      </c>
      <c r="C2215" s="87" t="s">
        <v>1735</v>
      </c>
      <c r="D2215" s="8">
        <v>120</v>
      </c>
      <c r="E2215" s="8"/>
      <c r="F2215" s="8">
        <f t="shared" si="34"/>
        <v>11159</v>
      </c>
      <c r="G2215" s="26"/>
    </row>
    <row r="2216" spans="1:7" x14ac:dyDescent="0.25">
      <c r="A2216" s="204">
        <v>42864</v>
      </c>
      <c r="B2216" s="26" t="s">
        <v>17</v>
      </c>
      <c r="C2216" s="87" t="s">
        <v>1723</v>
      </c>
      <c r="D2216" s="8">
        <v>1000</v>
      </c>
      <c r="E2216" s="8"/>
      <c r="F2216" s="8">
        <f t="shared" si="34"/>
        <v>10159</v>
      </c>
      <c r="G2216" s="26"/>
    </row>
    <row r="2217" spans="1:7" x14ac:dyDescent="0.25">
      <c r="A2217" s="204">
        <v>42864</v>
      </c>
      <c r="B2217" s="26" t="s">
        <v>85</v>
      </c>
      <c r="C2217" s="87" t="s">
        <v>1724</v>
      </c>
      <c r="D2217" s="8">
        <v>4000</v>
      </c>
      <c r="E2217" s="8"/>
      <c r="F2217" s="8">
        <f t="shared" si="34"/>
        <v>6159</v>
      </c>
      <c r="G2217" s="26"/>
    </row>
    <row r="2218" spans="1:7" x14ac:dyDescent="0.25">
      <c r="A2218" s="204">
        <v>42864</v>
      </c>
      <c r="B2218" s="26" t="s">
        <v>19</v>
      </c>
      <c r="C2218" s="87" t="s">
        <v>32</v>
      </c>
      <c r="D2218" s="8">
        <v>1000</v>
      </c>
      <c r="E2218" s="8"/>
      <c r="F2218" s="8">
        <f t="shared" si="34"/>
        <v>5159</v>
      </c>
      <c r="G2218" s="26"/>
    </row>
    <row r="2219" spans="1:7" x14ac:dyDescent="0.25">
      <c r="A2219" s="204">
        <v>42864</v>
      </c>
      <c r="B2219" s="26" t="s">
        <v>1725</v>
      </c>
      <c r="C2219" s="87" t="s">
        <v>1726</v>
      </c>
      <c r="D2219" s="8">
        <v>800</v>
      </c>
      <c r="E2219" s="8"/>
      <c r="F2219" s="8">
        <f t="shared" si="34"/>
        <v>4359</v>
      </c>
      <c r="G2219" s="26"/>
    </row>
    <row r="2220" spans="1:7" x14ac:dyDescent="0.25">
      <c r="A2220" s="204">
        <v>42864</v>
      </c>
      <c r="B2220" s="462" t="s">
        <v>1699</v>
      </c>
      <c r="C2220" s="463"/>
      <c r="D2220" s="71"/>
      <c r="E2220" s="58">
        <v>50000</v>
      </c>
      <c r="F2220" s="8">
        <f t="shared" si="34"/>
        <v>54359</v>
      </c>
      <c r="G2220" s="26"/>
    </row>
    <row r="2221" spans="1:7" ht="30" x14ac:dyDescent="0.25">
      <c r="A2221" s="204">
        <v>42864</v>
      </c>
      <c r="B2221" s="26" t="s">
        <v>59</v>
      </c>
      <c r="C2221" s="87" t="s">
        <v>1750</v>
      </c>
      <c r="D2221" s="8">
        <v>970</v>
      </c>
      <c r="E2221" s="8"/>
      <c r="F2221" s="8">
        <f t="shared" si="34"/>
        <v>53389</v>
      </c>
      <c r="G2221" s="26"/>
    </row>
    <row r="2222" spans="1:7" ht="30" x14ac:dyDescent="0.25">
      <c r="A2222" s="204">
        <v>42864</v>
      </c>
      <c r="B2222" s="26" t="s">
        <v>59</v>
      </c>
      <c r="C2222" s="87" t="s">
        <v>1753</v>
      </c>
      <c r="D2222" s="8">
        <v>10350</v>
      </c>
      <c r="E2222" s="8"/>
      <c r="F2222" s="8">
        <f t="shared" si="34"/>
        <v>43039</v>
      </c>
      <c r="G2222" s="26"/>
    </row>
    <row r="2223" spans="1:7" x14ac:dyDescent="0.25">
      <c r="A2223" s="204">
        <v>42864</v>
      </c>
      <c r="B2223" s="26" t="s">
        <v>59</v>
      </c>
      <c r="C2223" s="87" t="s">
        <v>1751</v>
      </c>
      <c r="D2223" s="8">
        <v>100</v>
      </c>
      <c r="E2223" s="8"/>
      <c r="F2223" s="8">
        <f t="shared" si="34"/>
        <v>42939</v>
      </c>
      <c r="G2223" s="26"/>
    </row>
    <row r="2224" spans="1:7" ht="30" x14ac:dyDescent="0.25">
      <c r="A2224" s="204">
        <v>42864</v>
      </c>
      <c r="B2224" s="26" t="s">
        <v>59</v>
      </c>
      <c r="C2224" s="87" t="s">
        <v>1752</v>
      </c>
      <c r="D2224" s="8">
        <v>100</v>
      </c>
      <c r="E2224" s="8"/>
      <c r="F2224" s="8">
        <f t="shared" si="34"/>
        <v>42839</v>
      </c>
      <c r="G2224" s="26"/>
    </row>
    <row r="2225" spans="1:7" x14ac:dyDescent="0.25">
      <c r="A2225" s="204">
        <v>42864</v>
      </c>
      <c r="B2225" s="26" t="s">
        <v>28</v>
      </c>
      <c r="C2225" s="87" t="s">
        <v>32</v>
      </c>
      <c r="D2225" s="8">
        <v>3500</v>
      </c>
      <c r="E2225" s="8"/>
      <c r="F2225" s="8">
        <f t="shared" si="34"/>
        <v>39339</v>
      </c>
      <c r="G2225" s="26"/>
    </row>
    <row r="2226" spans="1:7" ht="30" x14ac:dyDescent="0.25">
      <c r="A2226" s="204">
        <v>42864</v>
      </c>
      <c r="B2226" s="26" t="s">
        <v>1619</v>
      </c>
      <c r="C2226" s="87" t="s">
        <v>1727</v>
      </c>
      <c r="D2226" s="91">
        <v>21450</v>
      </c>
      <c r="E2226" s="8"/>
      <c r="F2226" s="8">
        <f t="shared" si="34"/>
        <v>17889</v>
      </c>
      <c r="G2226" s="26"/>
    </row>
    <row r="2227" spans="1:7" ht="30" x14ac:dyDescent="0.25">
      <c r="A2227" s="204">
        <v>42864</v>
      </c>
      <c r="B2227" s="26" t="s">
        <v>1619</v>
      </c>
      <c r="C2227" s="87" t="s">
        <v>1728</v>
      </c>
      <c r="D2227" s="91">
        <v>6535</v>
      </c>
      <c r="E2227" s="8"/>
      <c r="F2227" s="8">
        <f t="shared" si="34"/>
        <v>11354</v>
      </c>
      <c r="G2227" s="26"/>
    </row>
    <row r="2228" spans="1:7" x14ac:dyDescent="0.25">
      <c r="A2228" s="204">
        <v>42864</v>
      </c>
      <c r="B2228" s="26" t="s">
        <v>85</v>
      </c>
      <c r="C2228" s="87" t="s">
        <v>1724</v>
      </c>
      <c r="D2228" s="8">
        <v>2000</v>
      </c>
      <c r="E2228" s="8"/>
      <c r="F2228" s="8">
        <f t="shared" si="34"/>
        <v>9354</v>
      </c>
      <c r="G2228" s="26"/>
    </row>
    <row r="2229" spans="1:7" x14ac:dyDescent="0.25">
      <c r="A2229" s="204">
        <v>42865</v>
      </c>
      <c r="B2229" s="26" t="s">
        <v>446</v>
      </c>
      <c r="C2229" s="87" t="s">
        <v>32</v>
      </c>
      <c r="D2229" s="8">
        <v>2000</v>
      </c>
      <c r="E2229" s="8"/>
      <c r="F2229" s="8">
        <f t="shared" si="34"/>
        <v>7354</v>
      </c>
      <c r="G2229" s="26"/>
    </row>
    <row r="2230" spans="1:7" x14ac:dyDescent="0.25">
      <c r="A2230" s="204">
        <v>42865</v>
      </c>
      <c r="B2230" s="26" t="s">
        <v>28</v>
      </c>
      <c r="C2230" s="87" t="s">
        <v>32</v>
      </c>
      <c r="D2230" s="8">
        <v>2500</v>
      </c>
      <c r="E2230" s="8"/>
      <c r="F2230" s="8">
        <f t="shared" si="34"/>
        <v>4854</v>
      </c>
      <c r="G2230" s="26"/>
    </row>
    <row r="2231" spans="1:7" x14ac:dyDescent="0.25">
      <c r="A2231" s="204">
        <v>42865</v>
      </c>
      <c r="B2231" s="26" t="s">
        <v>85</v>
      </c>
      <c r="C2231" s="87" t="s">
        <v>1729</v>
      </c>
      <c r="D2231" s="8">
        <v>1000</v>
      </c>
      <c r="E2231" s="8"/>
      <c r="F2231" s="8">
        <f t="shared" si="34"/>
        <v>3854</v>
      </c>
      <c r="G2231" s="26"/>
    </row>
    <row r="2232" spans="1:7" x14ac:dyDescent="0.25">
      <c r="A2232" s="204">
        <v>42865</v>
      </c>
      <c r="B2232" s="462" t="s">
        <v>1699</v>
      </c>
      <c r="C2232" s="463"/>
      <c r="D2232" s="71"/>
      <c r="E2232" s="58">
        <v>170000</v>
      </c>
      <c r="F2232" s="8">
        <f t="shared" si="34"/>
        <v>173854</v>
      </c>
      <c r="G2232" s="26"/>
    </row>
    <row r="2233" spans="1:7" ht="30" x14ac:dyDescent="0.25">
      <c r="A2233" s="204">
        <v>42865</v>
      </c>
      <c r="B2233" s="84" t="s">
        <v>14</v>
      </c>
      <c r="C2233" s="96" t="s">
        <v>1737</v>
      </c>
      <c r="D2233" s="81">
        <v>30000</v>
      </c>
      <c r="E2233" s="14"/>
      <c r="F2233" s="8">
        <f t="shared" si="34"/>
        <v>143854</v>
      </c>
      <c r="G2233" s="26"/>
    </row>
    <row r="2234" spans="1:7" x14ac:dyDescent="0.25">
      <c r="A2234" s="204">
        <v>42865</v>
      </c>
      <c r="B2234" s="84" t="s">
        <v>1738</v>
      </c>
      <c r="C2234" s="84" t="s">
        <v>1739</v>
      </c>
      <c r="D2234" s="81">
        <v>10000</v>
      </c>
      <c r="E2234" s="14"/>
      <c r="F2234" s="8">
        <f t="shared" si="34"/>
        <v>133854</v>
      </c>
      <c r="G2234" s="26"/>
    </row>
    <row r="2235" spans="1:7" x14ac:dyDescent="0.25">
      <c r="A2235" s="204">
        <v>42865</v>
      </c>
      <c r="B2235" s="84" t="s">
        <v>121</v>
      </c>
      <c r="C2235" s="84" t="s">
        <v>32</v>
      </c>
      <c r="D2235" s="81">
        <v>10000</v>
      </c>
      <c r="E2235" s="14"/>
      <c r="F2235" s="8">
        <f t="shared" si="34"/>
        <v>123854</v>
      </c>
      <c r="G2235" s="26"/>
    </row>
    <row r="2236" spans="1:7" x14ac:dyDescent="0.25">
      <c r="A2236" s="204">
        <v>42865</v>
      </c>
      <c r="B2236" s="180" t="s">
        <v>1732</v>
      </c>
      <c r="C2236" s="213" t="s">
        <v>1743</v>
      </c>
      <c r="D2236" s="57">
        <v>2000</v>
      </c>
      <c r="E2236" s="8"/>
      <c r="F2236" s="8">
        <f t="shared" si="34"/>
        <v>121854</v>
      </c>
      <c r="G2236" s="26"/>
    </row>
    <row r="2237" spans="1:7" x14ac:dyDescent="0.25">
      <c r="A2237" s="204">
        <v>42866</v>
      </c>
      <c r="B2237" s="29" t="s">
        <v>1284</v>
      </c>
      <c r="C2237" s="89" t="s">
        <v>1736</v>
      </c>
      <c r="D2237" s="14">
        <v>2400</v>
      </c>
      <c r="E2237" s="14"/>
      <c r="F2237" s="8">
        <f t="shared" si="34"/>
        <v>119454</v>
      </c>
      <c r="G2237" s="26"/>
    </row>
    <row r="2238" spans="1:7" x14ac:dyDescent="0.25">
      <c r="A2238" s="204">
        <v>42866</v>
      </c>
      <c r="B2238" s="26" t="s">
        <v>1196</v>
      </c>
      <c r="C2238" s="87" t="s">
        <v>1742</v>
      </c>
      <c r="D2238" s="8">
        <v>2900</v>
      </c>
      <c r="E2238" s="8"/>
      <c r="F2238" s="8">
        <f t="shared" si="34"/>
        <v>116554</v>
      </c>
      <c r="G2238" s="26"/>
    </row>
    <row r="2239" spans="1:7" x14ac:dyDescent="0.25">
      <c r="A2239" s="204">
        <v>42866</v>
      </c>
      <c r="B2239" s="26" t="s">
        <v>85</v>
      </c>
      <c r="C2239" s="87" t="s">
        <v>1724</v>
      </c>
      <c r="D2239" s="8">
        <v>2000</v>
      </c>
      <c r="E2239" s="8"/>
      <c r="F2239" s="8">
        <f t="shared" si="34"/>
        <v>114554</v>
      </c>
      <c r="G2239" s="26"/>
    </row>
    <row r="2240" spans="1:7" x14ac:dyDescent="0.25">
      <c r="A2240" s="204">
        <v>42866</v>
      </c>
      <c r="B2240" s="26" t="s">
        <v>128</v>
      </c>
      <c r="C2240" s="87" t="s">
        <v>1740</v>
      </c>
      <c r="D2240" s="8">
        <v>4650</v>
      </c>
      <c r="E2240" s="8"/>
      <c r="F2240" s="8">
        <f t="shared" si="34"/>
        <v>109904</v>
      </c>
      <c r="G2240" s="26"/>
    </row>
    <row r="2241" spans="1:7" x14ac:dyDescent="0.25">
      <c r="A2241" s="204">
        <v>42866</v>
      </c>
      <c r="B2241" s="26" t="s">
        <v>55</v>
      </c>
      <c r="C2241" s="87" t="s">
        <v>1741</v>
      </c>
      <c r="D2241" s="8">
        <v>10000</v>
      </c>
      <c r="E2241" s="8"/>
      <c r="F2241" s="8">
        <f t="shared" si="34"/>
        <v>99904</v>
      </c>
      <c r="G2241" s="26"/>
    </row>
    <row r="2242" spans="1:7" x14ac:dyDescent="0.25">
      <c r="A2242" s="204">
        <v>42866</v>
      </c>
      <c r="B2242" s="180" t="s">
        <v>71</v>
      </c>
      <c r="C2242" s="213" t="s">
        <v>32</v>
      </c>
      <c r="D2242" s="57">
        <v>1000</v>
      </c>
      <c r="E2242" s="8"/>
      <c r="F2242" s="8">
        <f t="shared" si="34"/>
        <v>98904</v>
      </c>
      <c r="G2242" s="26"/>
    </row>
    <row r="2243" spans="1:7" x14ac:dyDescent="0.25">
      <c r="A2243" s="204">
        <v>42866</v>
      </c>
      <c r="B2243" s="211" t="s">
        <v>165</v>
      </c>
      <c r="C2243" s="212" t="s">
        <v>32</v>
      </c>
      <c r="D2243" s="95">
        <v>10000</v>
      </c>
      <c r="E2243" s="8"/>
      <c r="F2243" s="8">
        <f t="shared" ref="F2243:F2306" si="35">F2242-D2243+E2243</f>
        <v>88904</v>
      </c>
      <c r="G2243" s="26"/>
    </row>
    <row r="2244" spans="1:7" x14ac:dyDescent="0.25">
      <c r="A2244" s="204">
        <v>42866</v>
      </c>
      <c r="B2244" s="26" t="s">
        <v>28</v>
      </c>
      <c r="C2244" s="87" t="s">
        <v>32</v>
      </c>
      <c r="D2244" s="8">
        <v>3500</v>
      </c>
      <c r="E2244" s="8"/>
      <c r="F2244" s="8">
        <f t="shared" si="35"/>
        <v>85404</v>
      </c>
      <c r="G2244" s="26"/>
    </row>
    <row r="2245" spans="1:7" x14ac:dyDescent="0.25">
      <c r="A2245" s="204">
        <v>42866</v>
      </c>
      <c r="B2245" s="26" t="s">
        <v>59</v>
      </c>
      <c r="C2245" s="87" t="s">
        <v>1749</v>
      </c>
      <c r="D2245" s="8">
        <v>4640</v>
      </c>
      <c r="E2245" s="8"/>
      <c r="F2245" s="8">
        <f t="shared" si="35"/>
        <v>80764</v>
      </c>
      <c r="G2245" s="26"/>
    </row>
    <row r="2246" spans="1:7" x14ac:dyDescent="0.25">
      <c r="A2246" s="204">
        <v>42866</v>
      </c>
      <c r="B2246" s="26" t="s">
        <v>26</v>
      </c>
      <c r="C2246" s="87" t="s">
        <v>63</v>
      </c>
      <c r="D2246" s="8">
        <v>140</v>
      </c>
      <c r="E2246" s="8"/>
      <c r="F2246" s="8">
        <f t="shared" si="35"/>
        <v>80624</v>
      </c>
      <c r="G2246" s="26"/>
    </row>
    <row r="2247" spans="1:7" x14ac:dyDescent="0.25">
      <c r="A2247" s="204">
        <v>42866</v>
      </c>
      <c r="B2247" s="26" t="s">
        <v>26</v>
      </c>
      <c r="C2247" s="87" t="s">
        <v>1755</v>
      </c>
      <c r="D2247" s="8">
        <v>700</v>
      </c>
      <c r="E2247" s="8"/>
      <c r="F2247" s="8">
        <f t="shared" si="35"/>
        <v>79924</v>
      </c>
      <c r="G2247" s="26"/>
    </row>
    <row r="2248" spans="1:7" x14ac:dyDescent="0.25">
      <c r="A2248" s="204">
        <v>42866</v>
      </c>
      <c r="B2248" s="26" t="s">
        <v>26</v>
      </c>
      <c r="C2248" s="87" t="s">
        <v>1754</v>
      </c>
      <c r="D2248" s="8">
        <v>100</v>
      </c>
      <c r="E2248" s="8"/>
      <c r="F2248" s="8">
        <f t="shared" si="35"/>
        <v>79824</v>
      </c>
      <c r="G2248" s="26"/>
    </row>
    <row r="2249" spans="1:7" x14ac:dyDescent="0.25">
      <c r="A2249" s="204">
        <v>42866</v>
      </c>
      <c r="B2249" s="26" t="s">
        <v>26</v>
      </c>
      <c r="C2249" s="87" t="s">
        <v>1756</v>
      </c>
      <c r="D2249" s="8">
        <v>100</v>
      </c>
      <c r="E2249" s="8"/>
      <c r="F2249" s="8">
        <f t="shared" si="35"/>
        <v>79724</v>
      </c>
      <c r="G2249" s="26"/>
    </row>
    <row r="2250" spans="1:7" x14ac:dyDescent="0.25">
      <c r="A2250" s="204">
        <v>42866</v>
      </c>
      <c r="B2250" s="26" t="s">
        <v>26</v>
      </c>
      <c r="C2250" s="87" t="s">
        <v>1757</v>
      </c>
      <c r="D2250" s="8">
        <v>160</v>
      </c>
      <c r="E2250" s="8"/>
      <c r="F2250" s="8">
        <f t="shared" si="35"/>
        <v>79564</v>
      </c>
      <c r="G2250" s="26"/>
    </row>
    <row r="2251" spans="1:7" x14ac:dyDescent="0.25">
      <c r="A2251" s="204">
        <v>42866</v>
      </c>
      <c r="B2251" s="26" t="s">
        <v>121</v>
      </c>
      <c r="C2251" s="87" t="s">
        <v>32</v>
      </c>
      <c r="D2251" s="8">
        <v>5000</v>
      </c>
      <c r="E2251" s="8"/>
      <c r="F2251" s="8">
        <f t="shared" si="35"/>
        <v>74564</v>
      </c>
      <c r="G2251" s="26"/>
    </row>
    <row r="2252" spans="1:7" x14ac:dyDescent="0.25">
      <c r="A2252" s="204">
        <v>42866</v>
      </c>
      <c r="B2252" s="26" t="s">
        <v>248</v>
      </c>
      <c r="C2252" s="87" t="s">
        <v>1776</v>
      </c>
      <c r="D2252" s="8">
        <v>170</v>
      </c>
      <c r="E2252" s="8"/>
      <c r="F2252" s="8">
        <f t="shared" si="35"/>
        <v>74394</v>
      </c>
      <c r="G2252" s="26"/>
    </row>
    <row r="2253" spans="1:7" x14ac:dyDescent="0.25">
      <c r="A2253" s="204">
        <v>42866</v>
      </c>
      <c r="B2253" s="26" t="s">
        <v>248</v>
      </c>
      <c r="C2253" s="87" t="s">
        <v>1777</v>
      </c>
      <c r="D2253" s="8">
        <v>170</v>
      </c>
      <c r="E2253" s="8"/>
      <c r="F2253" s="8">
        <f t="shared" si="35"/>
        <v>74224</v>
      </c>
      <c r="G2253" s="26"/>
    </row>
    <row r="2254" spans="1:7" x14ac:dyDescent="0.25">
      <c r="A2254" s="204">
        <v>42866</v>
      </c>
      <c r="B2254" s="29" t="s">
        <v>85</v>
      </c>
      <c r="C2254" s="89" t="s">
        <v>1744</v>
      </c>
      <c r="D2254" s="14">
        <v>1000</v>
      </c>
      <c r="E2254" s="8"/>
      <c r="F2254" s="8">
        <f t="shared" si="35"/>
        <v>73224</v>
      </c>
      <c r="G2254" s="26"/>
    </row>
    <row r="2255" spans="1:7" x14ac:dyDescent="0.25">
      <c r="A2255" s="204">
        <v>42866</v>
      </c>
      <c r="B2255" s="211" t="s">
        <v>248</v>
      </c>
      <c r="C2255" s="212" t="s">
        <v>1745</v>
      </c>
      <c r="D2255" s="95">
        <v>500</v>
      </c>
      <c r="E2255" s="8"/>
      <c r="F2255" s="8">
        <f t="shared" si="35"/>
        <v>72724</v>
      </c>
      <c r="G2255" s="26"/>
    </row>
    <row r="2256" spans="1:7" x14ac:dyDescent="0.25">
      <c r="A2256" s="204">
        <v>42866</v>
      </c>
      <c r="B2256" s="26" t="s">
        <v>17</v>
      </c>
      <c r="C2256" s="87" t="s">
        <v>1746</v>
      </c>
      <c r="D2256" s="8">
        <v>700</v>
      </c>
      <c r="E2256" s="8"/>
      <c r="F2256" s="8">
        <f t="shared" si="35"/>
        <v>72024</v>
      </c>
      <c r="G2256" s="26"/>
    </row>
    <row r="2257" spans="1:7" x14ac:dyDescent="0.25">
      <c r="A2257" s="204">
        <v>42867</v>
      </c>
      <c r="B2257" s="26" t="s">
        <v>542</v>
      </c>
      <c r="C2257" s="87" t="s">
        <v>1747</v>
      </c>
      <c r="D2257" s="8">
        <v>600</v>
      </c>
      <c r="E2257" s="8"/>
      <c r="F2257" s="8">
        <f t="shared" si="35"/>
        <v>71424</v>
      </c>
      <c r="G2257" s="26"/>
    </row>
    <row r="2258" spans="1:7" x14ac:dyDescent="0.25">
      <c r="A2258" s="204">
        <v>42867</v>
      </c>
      <c r="B2258" s="209" t="s">
        <v>109</v>
      </c>
      <c r="C2258" s="210" t="s">
        <v>1748</v>
      </c>
      <c r="D2258" s="93">
        <v>500</v>
      </c>
      <c r="E2258" s="8"/>
      <c r="F2258" s="8">
        <f t="shared" si="35"/>
        <v>70924</v>
      </c>
      <c r="G2258" s="26"/>
    </row>
    <row r="2259" spans="1:7" x14ac:dyDescent="0.25">
      <c r="A2259" s="204">
        <v>42867</v>
      </c>
      <c r="B2259" s="26" t="s">
        <v>85</v>
      </c>
      <c r="C2259" s="87" t="s">
        <v>1724</v>
      </c>
      <c r="D2259" s="8">
        <v>2000</v>
      </c>
      <c r="E2259" s="8"/>
      <c r="F2259" s="8">
        <f t="shared" si="35"/>
        <v>68924</v>
      </c>
      <c r="G2259" s="26"/>
    </row>
    <row r="2260" spans="1:7" x14ac:dyDescent="0.25">
      <c r="A2260" s="204">
        <v>42867</v>
      </c>
      <c r="B2260" s="26" t="s">
        <v>446</v>
      </c>
      <c r="C2260" s="87" t="s">
        <v>32</v>
      </c>
      <c r="D2260" s="8">
        <v>500</v>
      </c>
      <c r="E2260" s="8"/>
      <c r="F2260" s="8">
        <f t="shared" si="35"/>
        <v>68424</v>
      </c>
      <c r="G2260" s="26"/>
    </row>
    <row r="2261" spans="1:7" x14ac:dyDescent="0.25">
      <c r="A2261" s="204">
        <v>42867</v>
      </c>
      <c r="B2261" s="26" t="s">
        <v>26</v>
      </c>
      <c r="C2261" s="87" t="s">
        <v>1758</v>
      </c>
      <c r="D2261" s="8">
        <v>57</v>
      </c>
      <c r="E2261" s="8"/>
      <c r="F2261" s="8">
        <f t="shared" si="35"/>
        <v>68367</v>
      </c>
      <c r="G2261" s="26"/>
    </row>
    <row r="2262" spans="1:7" ht="30" x14ac:dyDescent="0.25">
      <c r="A2262" s="204">
        <v>42867</v>
      </c>
      <c r="B2262" s="26" t="s">
        <v>74</v>
      </c>
      <c r="C2262" s="87" t="s">
        <v>1759</v>
      </c>
      <c r="D2262" s="8">
        <v>550</v>
      </c>
      <c r="E2262" s="8"/>
      <c r="F2262" s="8">
        <f t="shared" si="35"/>
        <v>67817</v>
      </c>
      <c r="G2262" s="26"/>
    </row>
    <row r="2263" spans="1:7" x14ac:dyDescent="0.25">
      <c r="A2263" s="204">
        <v>42867</v>
      </c>
      <c r="B2263" s="26" t="s">
        <v>165</v>
      </c>
      <c r="C2263" s="87" t="s">
        <v>32</v>
      </c>
      <c r="D2263" s="8">
        <v>1000</v>
      </c>
      <c r="E2263" s="8"/>
      <c r="F2263" s="8">
        <f t="shared" si="35"/>
        <v>66817</v>
      </c>
      <c r="G2263" s="26"/>
    </row>
    <row r="2264" spans="1:7" x14ac:dyDescent="0.25">
      <c r="A2264" s="204">
        <v>42867</v>
      </c>
      <c r="B2264" s="26" t="s">
        <v>446</v>
      </c>
      <c r="C2264" s="87" t="s">
        <v>32</v>
      </c>
      <c r="D2264" s="8">
        <v>1000</v>
      </c>
      <c r="E2264" s="8"/>
      <c r="F2264" s="8">
        <f t="shared" si="35"/>
        <v>65817</v>
      </c>
      <c r="G2264" s="26"/>
    </row>
    <row r="2265" spans="1:7" ht="30" x14ac:dyDescent="0.25">
      <c r="A2265" s="204">
        <v>42867</v>
      </c>
      <c r="B2265" s="199" t="s">
        <v>1346</v>
      </c>
      <c r="C2265" s="214" t="s">
        <v>1760</v>
      </c>
      <c r="D2265" s="91">
        <v>1700</v>
      </c>
      <c r="E2265" s="8"/>
      <c r="F2265" s="8">
        <f t="shared" si="35"/>
        <v>64117</v>
      </c>
      <c r="G2265" s="26"/>
    </row>
    <row r="2266" spans="1:7" x14ac:dyDescent="0.25">
      <c r="A2266" s="204">
        <v>42867</v>
      </c>
      <c r="B2266" s="29" t="s">
        <v>0</v>
      </c>
      <c r="C2266" s="89" t="s">
        <v>32</v>
      </c>
      <c r="D2266" s="14">
        <v>5000</v>
      </c>
      <c r="E2266" s="8"/>
      <c r="F2266" s="8">
        <f t="shared" si="35"/>
        <v>59117</v>
      </c>
      <c r="G2266" s="26"/>
    </row>
    <row r="2267" spans="1:7" x14ac:dyDescent="0.25">
      <c r="A2267" s="204">
        <v>42867</v>
      </c>
      <c r="B2267" s="29" t="s">
        <v>108</v>
      </c>
      <c r="C2267" s="89" t="s">
        <v>1772</v>
      </c>
      <c r="D2267" s="14">
        <v>1250</v>
      </c>
      <c r="E2267" s="8"/>
      <c r="F2267" s="8">
        <f t="shared" si="35"/>
        <v>57867</v>
      </c>
      <c r="G2267" s="26"/>
    </row>
    <row r="2268" spans="1:7" x14ac:dyDescent="0.25">
      <c r="A2268" s="204">
        <v>42867</v>
      </c>
      <c r="B2268" s="26" t="s">
        <v>1761</v>
      </c>
      <c r="C2268" s="87" t="s">
        <v>1762</v>
      </c>
      <c r="D2268" s="8">
        <v>10300</v>
      </c>
      <c r="E2268" s="8"/>
      <c r="F2268" s="8">
        <f t="shared" si="35"/>
        <v>47567</v>
      </c>
      <c r="G2268" s="26"/>
    </row>
    <row r="2269" spans="1:7" x14ac:dyDescent="0.25">
      <c r="A2269" s="204">
        <v>42867</v>
      </c>
      <c r="B2269" s="26" t="s">
        <v>28</v>
      </c>
      <c r="C2269" s="87" t="s">
        <v>32</v>
      </c>
      <c r="D2269" s="8">
        <v>1500</v>
      </c>
      <c r="E2269" s="8"/>
      <c r="F2269" s="8">
        <f t="shared" si="35"/>
        <v>46067</v>
      </c>
      <c r="G2269" s="26"/>
    </row>
    <row r="2270" spans="1:7" x14ac:dyDescent="0.25">
      <c r="A2270" s="204">
        <v>42867</v>
      </c>
      <c r="B2270" s="26" t="s">
        <v>1636</v>
      </c>
      <c r="C2270" s="87" t="s">
        <v>1766</v>
      </c>
      <c r="D2270" s="8">
        <v>40</v>
      </c>
      <c r="E2270" s="8"/>
      <c r="F2270" s="8">
        <f t="shared" si="35"/>
        <v>46027</v>
      </c>
      <c r="G2270" s="26"/>
    </row>
    <row r="2271" spans="1:7" x14ac:dyDescent="0.25">
      <c r="A2271" s="204">
        <v>42868</v>
      </c>
      <c r="B2271" s="26" t="s">
        <v>17</v>
      </c>
      <c r="C2271" s="87" t="s">
        <v>32</v>
      </c>
      <c r="D2271" s="8">
        <v>3000</v>
      </c>
      <c r="E2271" s="8"/>
      <c r="F2271" s="8">
        <f t="shared" si="35"/>
        <v>43027</v>
      </c>
      <c r="G2271" s="26"/>
    </row>
    <row r="2272" spans="1:7" x14ac:dyDescent="0.25">
      <c r="A2272" s="204">
        <v>42868</v>
      </c>
      <c r="B2272" s="26" t="s">
        <v>163</v>
      </c>
      <c r="C2272" s="87" t="s">
        <v>32</v>
      </c>
      <c r="D2272" s="8">
        <v>2000</v>
      </c>
      <c r="E2272" s="8"/>
      <c r="F2272" s="8">
        <f t="shared" si="35"/>
        <v>41027</v>
      </c>
      <c r="G2272" s="26"/>
    </row>
    <row r="2273" spans="1:7" x14ac:dyDescent="0.25">
      <c r="A2273" s="204">
        <v>42868</v>
      </c>
      <c r="B2273" s="26" t="s">
        <v>117</v>
      </c>
      <c r="C2273" s="87" t="s">
        <v>32</v>
      </c>
      <c r="D2273" s="8">
        <v>1000</v>
      </c>
      <c r="E2273" s="8"/>
      <c r="F2273" s="8">
        <f t="shared" si="35"/>
        <v>40027</v>
      </c>
      <c r="G2273" s="26"/>
    </row>
    <row r="2274" spans="1:7" x14ac:dyDescent="0.25">
      <c r="A2274" s="204">
        <v>42868</v>
      </c>
      <c r="B2274" s="26" t="s">
        <v>1808</v>
      </c>
      <c r="C2274" s="87" t="s">
        <v>1809</v>
      </c>
      <c r="D2274" s="8">
        <v>1000</v>
      </c>
      <c r="E2274" s="8"/>
      <c r="F2274" s="8">
        <f t="shared" si="35"/>
        <v>39027</v>
      </c>
      <c r="G2274" s="26"/>
    </row>
    <row r="2275" spans="1:7" x14ac:dyDescent="0.25">
      <c r="A2275" s="204">
        <v>42868</v>
      </c>
      <c r="B2275" s="26" t="s">
        <v>446</v>
      </c>
      <c r="C2275" s="87" t="s">
        <v>1763</v>
      </c>
      <c r="D2275" s="8">
        <v>1400</v>
      </c>
      <c r="E2275" s="8"/>
      <c r="F2275" s="8">
        <f t="shared" si="35"/>
        <v>37627</v>
      </c>
      <c r="G2275" s="26"/>
    </row>
    <row r="2276" spans="1:7" x14ac:dyDescent="0.25">
      <c r="A2276" s="204">
        <v>42868</v>
      </c>
      <c r="B2276" s="26" t="s">
        <v>19</v>
      </c>
      <c r="C2276" s="87" t="s">
        <v>32</v>
      </c>
      <c r="D2276" s="8">
        <v>2000</v>
      </c>
      <c r="E2276" s="8"/>
      <c r="F2276" s="8">
        <f t="shared" si="35"/>
        <v>35627</v>
      </c>
      <c r="G2276" s="26"/>
    </row>
    <row r="2277" spans="1:7" x14ac:dyDescent="0.25">
      <c r="A2277" s="204">
        <v>42868</v>
      </c>
      <c r="B2277" s="26" t="s">
        <v>28</v>
      </c>
      <c r="C2277" s="87" t="s">
        <v>1764</v>
      </c>
      <c r="D2277" s="8">
        <v>500</v>
      </c>
      <c r="E2277" s="8"/>
      <c r="F2277" s="8">
        <f t="shared" si="35"/>
        <v>35127</v>
      </c>
      <c r="G2277" s="26"/>
    </row>
    <row r="2278" spans="1:7" x14ac:dyDescent="0.25">
      <c r="A2278" s="204">
        <v>42868</v>
      </c>
      <c r="B2278" s="26" t="s">
        <v>117</v>
      </c>
      <c r="C2278" s="87" t="s">
        <v>32</v>
      </c>
      <c r="D2278" s="8">
        <v>10000</v>
      </c>
      <c r="E2278" s="8"/>
      <c r="F2278" s="8">
        <f t="shared" si="35"/>
        <v>25127</v>
      </c>
      <c r="G2278" s="26"/>
    </row>
    <row r="2279" spans="1:7" x14ac:dyDescent="0.25">
      <c r="A2279" s="204">
        <v>42868</v>
      </c>
      <c r="B2279" s="26" t="s">
        <v>28</v>
      </c>
      <c r="C2279" s="87" t="s">
        <v>32</v>
      </c>
      <c r="D2279" s="8">
        <v>2000</v>
      </c>
      <c r="E2279" s="8"/>
      <c r="F2279" s="8">
        <f t="shared" si="35"/>
        <v>23127</v>
      </c>
      <c r="G2279" s="26"/>
    </row>
    <row r="2280" spans="1:7" x14ac:dyDescent="0.25">
      <c r="A2280" s="204">
        <v>42868</v>
      </c>
      <c r="B2280" s="26" t="s">
        <v>182</v>
      </c>
      <c r="C2280" s="87" t="s">
        <v>32</v>
      </c>
      <c r="D2280" s="8">
        <v>10000</v>
      </c>
      <c r="E2280" s="8"/>
      <c r="F2280" s="8">
        <f t="shared" si="35"/>
        <v>13127</v>
      </c>
      <c r="G2280" s="26"/>
    </row>
    <row r="2281" spans="1:7" ht="30" x14ac:dyDescent="0.25">
      <c r="A2281" s="204">
        <v>42868</v>
      </c>
      <c r="B2281" s="26" t="s">
        <v>26</v>
      </c>
      <c r="C2281" s="87" t="s">
        <v>1765</v>
      </c>
      <c r="D2281" s="8">
        <v>500</v>
      </c>
      <c r="E2281" s="8"/>
      <c r="F2281" s="8">
        <f t="shared" si="35"/>
        <v>12627</v>
      </c>
      <c r="G2281" s="26"/>
    </row>
    <row r="2282" spans="1:7" x14ac:dyDescent="0.25">
      <c r="A2282" s="204">
        <v>42868</v>
      </c>
      <c r="B2282" s="26" t="s">
        <v>26</v>
      </c>
      <c r="C2282" s="87" t="s">
        <v>1767</v>
      </c>
      <c r="D2282" s="8">
        <v>40</v>
      </c>
      <c r="E2282" s="8"/>
      <c r="F2282" s="8">
        <f t="shared" si="35"/>
        <v>12587</v>
      </c>
      <c r="G2282" s="26"/>
    </row>
    <row r="2283" spans="1:7" ht="45" x14ac:dyDescent="0.25">
      <c r="A2283" s="204">
        <v>42868</v>
      </c>
      <c r="B2283" s="26" t="s">
        <v>26</v>
      </c>
      <c r="C2283" s="87" t="s">
        <v>1768</v>
      </c>
      <c r="D2283" s="8">
        <v>4450</v>
      </c>
      <c r="E2283" s="8"/>
      <c r="F2283" s="8">
        <f t="shared" si="35"/>
        <v>8137</v>
      </c>
      <c r="G2283" s="26"/>
    </row>
    <row r="2284" spans="1:7" x14ac:dyDescent="0.25">
      <c r="A2284" s="204">
        <v>42870</v>
      </c>
      <c r="B2284" s="26" t="s">
        <v>28</v>
      </c>
      <c r="C2284" s="87" t="s">
        <v>32</v>
      </c>
      <c r="D2284" s="8">
        <v>5000</v>
      </c>
      <c r="E2284" s="8"/>
      <c r="F2284" s="8">
        <f t="shared" si="35"/>
        <v>3137</v>
      </c>
      <c r="G2284" s="26"/>
    </row>
    <row r="2285" spans="1:7" x14ac:dyDescent="0.25">
      <c r="A2285" s="204">
        <v>42870</v>
      </c>
      <c r="B2285" s="18" t="s">
        <v>85</v>
      </c>
      <c r="C2285" s="196" t="s">
        <v>1773</v>
      </c>
      <c r="D2285" s="8">
        <v>2000</v>
      </c>
      <c r="E2285" s="8"/>
      <c r="F2285" s="8">
        <f t="shared" si="35"/>
        <v>1137</v>
      </c>
      <c r="G2285" s="26"/>
    </row>
    <row r="2286" spans="1:7" x14ac:dyDescent="0.25">
      <c r="A2286" s="204">
        <v>42870</v>
      </c>
      <c r="B2286" s="462" t="s">
        <v>1770</v>
      </c>
      <c r="C2286" s="463"/>
      <c r="D2286" s="71"/>
      <c r="E2286" s="58">
        <v>50000</v>
      </c>
      <c r="F2286" s="8">
        <f t="shared" si="35"/>
        <v>51137</v>
      </c>
      <c r="G2286" s="26"/>
    </row>
    <row r="2287" spans="1:7" x14ac:dyDescent="0.25">
      <c r="A2287" s="204">
        <v>42870</v>
      </c>
      <c r="B2287" s="26" t="s">
        <v>4</v>
      </c>
      <c r="C2287" s="87" t="s">
        <v>32</v>
      </c>
      <c r="D2287" s="8">
        <v>6000</v>
      </c>
      <c r="E2287" s="8"/>
      <c r="F2287" s="8">
        <f t="shared" si="35"/>
        <v>45137</v>
      </c>
      <c r="G2287" s="26"/>
    </row>
    <row r="2288" spans="1:7" x14ac:dyDescent="0.25">
      <c r="A2288" s="204">
        <v>42870</v>
      </c>
      <c r="B2288" s="26" t="s">
        <v>26</v>
      </c>
      <c r="C2288" s="87" t="s">
        <v>1781</v>
      </c>
      <c r="D2288" s="8">
        <v>75</v>
      </c>
      <c r="E2288" s="8"/>
      <c r="F2288" s="8">
        <f t="shared" si="35"/>
        <v>45062</v>
      </c>
      <c r="G2288" s="26"/>
    </row>
    <row r="2289" spans="1:7" ht="30" x14ac:dyDescent="0.25">
      <c r="A2289" s="204">
        <v>42870</v>
      </c>
      <c r="B2289" s="26" t="s">
        <v>26</v>
      </c>
      <c r="C2289" s="87" t="s">
        <v>1784</v>
      </c>
      <c r="D2289" s="8">
        <v>110</v>
      </c>
      <c r="E2289" s="8"/>
      <c r="F2289" s="8">
        <f t="shared" si="35"/>
        <v>44952</v>
      </c>
      <c r="G2289" s="26"/>
    </row>
    <row r="2290" spans="1:7" x14ac:dyDescent="0.25">
      <c r="A2290" s="204">
        <v>42870</v>
      </c>
      <c r="B2290" s="26" t="s">
        <v>26</v>
      </c>
      <c r="C2290" s="87" t="s">
        <v>1785</v>
      </c>
      <c r="D2290" s="8">
        <v>140</v>
      </c>
      <c r="E2290" s="8"/>
      <c r="F2290" s="8">
        <f t="shared" si="35"/>
        <v>44812</v>
      </c>
      <c r="G2290" s="26"/>
    </row>
    <row r="2291" spans="1:7" x14ac:dyDescent="0.25">
      <c r="A2291" s="204">
        <v>42870</v>
      </c>
      <c r="B2291" s="26" t="s">
        <v>85</v>
      </c>
      <c r="C2291" s="87" t="s">
        <v>1769</v>
      </c>
      <c r="D2291" s="8">
        <v>5000</v>
      </c>
      <c r="E2291" s="8"/>
      <c r="F2291" s="8">
        <f t="shared" si="35"/>
        <v>39812</v>
      </c>
      <c r="G2291" s="26"/>
    </row>
    <row r="2292" spans="1:7" x14ac:dyDescent="0.25">
      <c r="A2292" s="204">
        <v>42870</v>
      </c>
      <c r="B2292" s="29" t="s">
        <v>59</v>
      </c>
      <c r="C2292" s="89" t="s">
        <v>1771</v>
      </c>
      <c r="D2292" s="14">
        <v>960</v>
      </c>
      <c r="E2292" s="8"/>
      <c r="F2292" s="8">
        <f t="shared" si="35"/>
        <v>38852</v>
      </c>
      <c r="G2292" s="26"/>
    </row>
    <row r="2293" spans="1:7" x14ac:dyDescent="0.25">
      <c r="A2293" s="204">
        <v>42871</v>
      </c>
      <c r="B2293" s="26" t="s">
        <v>59</v>
      </c>
      <c r="C2293" s="87" t="s">
        <v>32</v>
      </c>
      <c r="D2293" s="8">
        <v>500</v>
      </c>
      <c r="E2293" s="8"/>
      <c r="F2293" s="8">
        <f t="shared" si="35"/>
        <v>38352</v>
      </c>
      <c r="G2293" s="26"/>
    </row>
    <row r="2294" spans="1:7" ht="30" x14ac:dyDescent="0.25">
      <c r="A2294" s="204">
        <v>42871</v>
      </c>
      <c r="B2294" s="26" t="s">
        <v>26</v>
      </c>
      <c r="C2294" s="87" t="s">
        <v>1786</v>
      </c>
      <c r="D2294" s="8">
        <v>735</v>
      </c>
      <c r="E2294" s="8"/>
      <c r="F2294" s="8">
        <f t="shared" si="35"/>
        <v>37617</v>
      </c>
      <c r="G2294" s="26"/>
    </row>
    <row r="2295" spans="1:7" x14ac:dyDescent="0.25">
      <c r="A2295" s="204">
        <v>42871</v>
      </c>
      <c r="B2295" s="26" t="s">
        <v>165</v>
      </c>
      <c r="C2295" s="87" t="s">
        <v>1778</v>
      </c>
      <c r="D2295" s="8">
        <v>20000</v>
      </c>
      <c r="E2295" s="8"/>
      <c r="F2295" s="8">
        <f t="shared" si="35"/>
        <v>17617</v>
      </c>
      <c r="G2295" s="26"/>
    </row>
    <row r="2296" spans="1:7" x14ac:dyDescent="0.25">
      <c r="A2296" s="204">
        <v>42871</v>
      </c>
      <c r="B2296" s="26" t="s">
        <v>117</v>
      </c>
      <c r="C2296" s="87" t="s">
        <v>32</v>
      </c>
      <c r="D2296" s="8">
        <v>5000</v>
      </c>
      <c r="E2296" s="8"/>
      <c r="F2296" s="8">
        <f t="shared" si="35"/>
        <v>12617</v>
      </c>
      <c r="G2296" s="26"/>
    </row>
    <row r="2297" spans="1:7" x14ac:dyDescent="0.25">
      <c r="A2297" s="204">
        <v>42871</v>
      </c>
      <c r="B2297" s="26" t="s">
        <v>57</v>
      </c>
      <c r="C2297" s="87" t="s">
        <v>1779</v>
      </c>
      <c r="D2297" s="8">
        <v>50</v>
      </c>
      <c r="E2297" s="8"/>
      <c r="F2297" s="8">
        <f t="shared" si="35"/>
        <v>12567</v>
      </c>
      <c r="G2297" s="26"/>
    </row>
    <row r="2298" spans="1:7" x14ac:dyDescent="0.25">
      <c r="A2298" s="204">
        <v>42872</v>
      </c>
      <c r="B2298" s="29" t="s">
        <v>61</v>
      </c>
      <c r="C2298" s="89" t="s">
        <v>32</v>
      </c>
      <c r="D2298" s="14">
        <v>200</v>
      </c>
      <c r="E2298" s="8"/>
      <c r="F2298" s="8">
        <f t="shared" si="35"/>
        <v>12367</v>
      </c>
      <c r="G2298" s="26"/>
    </row>
    <row r="2299" spans="1:7" x14ac:dyDescent="0.25">
      <c r="A2299" s="204">
        <v>42872</v>
      </c>
      <c r="B2299" s="26" t="s">
        <v>1675</v>
      </c>
      <c r="C2299" s="87" t="s">
        <v>41</v>
      </c>
      <c r="D2299" s="8">
        <v>2500</v>
      </c>
      <c r="E2299" s="8"/>
      <c r="F2299" s="8">
        <f t="shared" si="35"/>
        <v>9867</v>
      </c>
      <c r="G2299" s="26"/>
    </row>
    <row r="2300" spans="1:7" x14ac:dyDescent="0.25">
      <c r="A2300" s="204">
        <v>42872</v>
      </c>
      <c r="B2300" s="26" t="s">
        <v>128</v>
      </c>
      <c r="C2300" s="87" t="s">
        <v>1780</v>
      </c>
      <c r="D2300" s="8">
        <v>4118</v>
      </c>
      <c r="E2300" s="8"/>
      <c r="F2300" s="8">
        <f t="shared" si="35"/>
        <v>5749</v>
      </c>
      <c r="G2300" s="26"/>
    </row>
    <row r="2301" spans="1:7" ht="30" x14ac:dyDescent="0.25">
      <c r="A2301" s="204">
        <v>42872</v>
      </c>
      <c r="B2301" s="26" t="s">
        <v>26</v>
      </c>
      <c r="C2301" s="87" t="s">
        <v>1782</v>
      </c>
      <c r="D2301" s="8">
        <v>180</v>
      </c>
      <c r="E2301" s="8"/>
      <c r="F2301" s="8">
        <f t="shared" si="35"/>
        <v>5569</v>
      </c>
      <c r="G2301" s="26"/>
    </row>
    <row r="2302" spans="1:7" x14ac:dyDescent="0.25">
      <c r="A2302" s="204">
        <v>42872</v>
      </c>
      <c r="B2302" s="26" t="s">
        <v>248</v>
      </c>
      <c r="C2302" s="87" t="s">
        <v>32</v>
      </c>
      <c r="D2302" s="8">
        <v>250</v>
      </c>
      <c r="E2302" s="8"/>
      <c r="F2302" s="8">
        <f t="shared" si="35"/>
        <v>5319</v>
      </c>
      <c r="G2302" s="26"/>
    </row>
    <row r="2303" spans="1:7" ht="30" x14ac:dyDescent="0.25">
      <c r="A2303" s="204">
        <v>42872</v>
      </c>
      <c r="B2303" s="26" t="s">
        <v>26</v>
      </c>
      <c r="C2303" s="87" t="s">
        <v>1783</v>
      </c>
      <c r="D2303" s="8">
        <v>260</v>
      </c>
      <c r="E2303" s="8"/>
      <c r="F2303" s="8">
        <f t="shared" si="35"/>
        <v>5059</v>
      </c>
      <c r="G2303" s="26"/>
    </row>
    <row r="2304" spans="1:7" x14ac:dyDescent="0.25">
      <c r="A2304" s="204">
        <v>42872</v>
      </c>
      <c r="B2304" s="26" t="s">
        <v>121</v>
      </c>
      <c r="C2304" s="87" t="s">
        <v>32</v>
      </c>
      <c r="D2304" s="8">
        <v>4000</v>
      </c>
      <c r="E2304" s="8"/>
      <c r="F2304" s="8">
        <f t="shared" si="35"/>
        <v>1059</v>
      </c>
      <c r="G2304" s="26"/>
    </row>
    <row r="2305" spans="1:7" x14ac:dyDescent="0.25">
      <c r="A2305" s="204">
        <v>42872</v>
      </c>
      <c r="B2305" s="26" t="s">
        <v>28</v>
      </c>
      <c r="C2305" s="87" t="s">
        <v>32</v>
      </c>
      <c r="D2305" s="8">
        <v>1500</v>
      </c>
      <c r="E2305" s="8"/>
      <c r="F2305" s="8">
        <f t="shared" si="35"/>
        <v>-441</v>
      </c>
      <c r="G2305" s="26"/>
    </row>
    <row r="2306" spans="1:7" ht="30" x14ac:dyDescent="0.25">
      <c r="A2306" s="204">
        <v>42872</v>
      </c>
      <c r="B2306" s="26" t="s">
        <v>26</v>
      </c>
      <c r="C2306" s="87" t="s">
        <v>1787</v>
      </c>
      <c r="D2306" s="8">
        <v>100</v>
      </c>
      <c r="E2306" s="8"/>
      <c r="F2306" s="8">
        <f t="shared" si="35"/>
        <v>-541</v>
      </c>
      <c r="G2306" s="26"/>
    </row>
    <row r="2307" spans="1:7" x14ac:dyDescent="0.25">
      <c r="A2307" s="204">
        <v>42873</v>
      </c>
      <c r="B2307" s="462" t="s">
        <v>1821</v>
      </c>
      <c r="C2307" s="463"/>
      <c r="D2307" s="71"/>
      <c r="E2307" s="58">
        <v>50000</v>
      </c>
      <c r="F2307" s="8">
        <f t="shared" ref="F2307:F2370" si="36">F2306-D2307+E2307</f>
        <v>49459</v>
      </c>
      <c r="G2307" s="26"/>
    </row>
    <row r="2308" spans="1:7" x14ac:dyDescent="0.25">
      <c r="A2308" s="204">
        <v>42873</v>
      </c>
      <c r="B2308" s="29" t="s">
        <v>85</v>
      </c>
      <c r="C2308" s="89" t="s">
        <v>1744</v>
      </c>
      <c r="D2308" s="14">
        <v>1000</v>
      </c>
      <c r="E2308" s="8"/>
      <c r="F2308" s="8">
        <f t="shared" si="36"/>
        <v>48459</v>
      </c>
      <c r="G2308" s="26"/>
    </row>
    <row r="2309" spans="1:7" x14ac:dyDescent="0.25">
      <c r="A2309" s="204">
        <v>42873</v>
      </c>
      <c r="B2309" s="29" t="s">
        <v>1346</v>
      </c>
      <c r="C2309" s="89" t="s">
        <v>1788</v>
      </c>
      <c r="D2309" s="14">
        <v>15000</v>
      </c>
      <c r="E2309" s="8"/>
      <c r="F2309" s="8">
        <f t="shared" si="36"/>
        <v>33459</v>
      </c>
      <c r="G2309" s="26"/>
    </row>
    <row r="2310" spans="1:7" x14ac:dyDescent="0.25">
      <c r="A2310" s="204">
        <v>42873</v>
      </c>
      <c r="B2310" s="26" t="s">
        <v>4</v>
      </c>
      <c r="C2310" s="87" t="s">
        <v>1789</v>
      </c>
      <c r="D2310" s="8">
        <v>6000</v>
      </c>
      <c r="E2310" s="8"/>
      <c r="F2310" s="8">
        <f t="shared" si="36"/>
        <v>27459</v>
      </c>
      <c r="G2310" s="26"/>
    </row>
    <row r="2311" spans="1:7" ht="30" x14ac:dyDescent="0.25">
      <c r="A2311" s="204">
        <v>42873</v>
      </c>
      <c r="B2311" s="26" t="s">
        <v>1790</v>
      </c>
      <c r="C2311" s="87" t="s">
        <v>1791</v>
      </c>
      <c r="D2311" s="8">
        <v>3500</v>
      </c>
      <c r="E2311" s="8"/>
      <c r="F2311" s="8">
        <f t="shared" si="36"/>
        <v>23959</v>
      </c>
      <c r="G2311" s="26"/>
    </row>
    <row r="2312" spans="1:7" ht="30" x14ac:dyDescent="0.25">
      <c r="A2312" s="204">
        <v>42873</v>
      </c>
      <c r="B2312" s="26" t="s">
        <v>26</v>
      </c>
      <c r="C2312" s="87" t="s">
        <v>1792</v>
      </c>
      <c r="D2312" s="8">
        <v>50</v>
      </c>
      <c r="E2312" s="8"/>
      <c r="F2312" s="8">
        <f t="shared" si="36"/>
        <v>23909</v>
      </c>
      <c r="G2312" s="26"/>
    </row>
    <row r="2313" spans="1:7" x14ac:dyDescent="0.25">
      <c r="A2313" s="204">
        <v>42873</v>
      </c>
      <c r="B2313" s="26" t="s">
        <v>17</v>
      </c>
      <c r="C2313" s="87" t="s">
        <v>1794</v>
      </c>
      <c r="D2313" s="8">
        <v>2000</v>
      </c>
      <c r="E2313" s="8"/>
      <c r="F2313" s="8">
        <f t="shared" si="36"/>
        <v>21909</v>
      </c>
      <c r="G2313" s="26"/>
    </row>
    <row r="2314" spans="1:7" x14ac:dyDescent="0.25">
      <c r="A2314" s="204">
        <v>42873</v>
      </c>
      <c r="B2314" s="26" t="s">
        <v>1015</v>
      </c>
      <c r="C2314" s="87" t="s">
        <v>1793</v>
      </c>
      <c r="D2314" s="8">
        <v>470</v>
      </c>
      <c r="E2314" s="8"/>
      <c r="F2314" s="8">
        <f t="shared" si="36"/>
        <v>21439</v>
      </c>
      <c r="G2314" s="26"/>
    </row>
    <row r="2315" spans="1:7" ht="30" x14ac:dyDescent="0.25">
      <c r="A2315" s="204">
        <v>42873</v>
      </c>
      <c r="B2315" s="26" t="s">
        <v>59</v>
      </c>
      <c r="C2315" s="87" t="s">
        <v>1795</v>
      </c>
      <c r="D2315" s="8">
        <v>9300</v>
      </c>
      <c r="E2315" s="8"/>
      <c r="F2315" s="8">
        <f t="shared" si="36"/>
        <v>12139</v>
      </c>
      <c r="G2315" s="26"/>
    </row>
    <row r="2316" spans="1:7" x14ac:dyDescent="0.25">
      <c r="A2316" s="204">
        <v>42873</v>
      </c>
      <c r="B2316" s="26" t="s">
        <v>26</v>
      </c>
      <c r="C2316" s="87" t="s">
        <v>1799</v>
      </c>
      <c r="D2316" s="8">
        <v>180</v>
      </c>
      <c r="E2316" s="8"/>
      <c r="F2316" s="8">
        <f t="shared" si="36"/>
        <v>11959</v>
      </c>
      <c r="G2316" s="26"/>
    </row>
    <row r="2317" spans="1:7" x14ac:dyDescent="0.25">
      <c r="A2317" s="204">
        <v>42873</v>
      </c>
      <c r="B2317" s="26" t="s">
        <v>26</v>
      </c>
      <c r="C2317" s="87" t="s">
        <v>1800</v>
      </c>
      <c r="D2317" s="8">
        <v>180</v>
      </c>
      <c r="E2317" s="8"/>
      <c r="F2317" s="8">
        <f t="shared" si="36"/>
        <v>11779</v>
      </c>
      <c r="G2317" s="26"/>
    </row>
    <row r="2318" spans="1:7" x14ac:dyDescent="0.25">
      <c r="A2318" s="204">
        <v>42873</v>
      </c>
      <c r="B2318" s="26" t="s">
        <v>26</v>
      </c>
      <c r="C2318" s="87" t="s">
        <v>1560</v>
      </c>
      <c r="D2318" s="8">
        <v>140</v>
      </c>
      <c r="E2318" s="8"/>
      <c r="F2318" s="8">
        <f t="shared" si="36"/>
        <v>11639</v>
      </c>
      <c r="G2318" s="26"/>
    </row>
    <row r="2319" spans="1:7" x14ac:dyDescent="0.25">
      <c r="A2319" s="204">
        <v>42874</v>
      </c>
      <c r="B2319" s="26" t="s">
        <v>17</v>
      </c>
      <c r="C2319" s="87" t="s">
        <v>32</v>
      </c>
      <c r="D2319" s="8">
        <v>5500</v>
      </c>
      <c r="E2319" s="8"/>
      <c r="F2319" s="8">
        <f t="shared" si="36"/>
        <v>6139</v>
      </c>
      <c r="G2319" s="26"/>
    </row>
    <row r="2320" spans="1:7" x14ac:dyDescent="0.25">
      <c r="A2320" s="204">
        <v>42874</v>
      </c>
      <c r="B2320" s="29" t="s">
        <v>85</v>
      </c>
      <c r="C2320" s="89" t="s">
        <v>1822</v>
      </c>
      <c r="D2320" s="14">
        <v>1000</v>
      </c>
      <c r="E2320" s="8"/>
      <c r="F2320" s="8">
        <f t="shared" si="36"/>
        <v>5139</v>
      </c>
      <c r="G2320" s="26"/>
    </row>
    <row r="2321" spans="1:10" s="49" customFormat="1" x14ac:dyDescent="0.25">
      <c r="A2321" s="204">
        <v>42874</v>
      </c>
      <c r="B2321" s="40" t="s">
        <v>0</v>
      </c>
      <c r="C2321" s="76" t="s">
        <v>32</v>
      </c>
      <c r="D2321" s="41">
        <v>4000</v>
      </c>
      <c r="E2321" s="41"/>
      <c r="F2321" s="8">
        <f t="shared" si="36"/>
        <v>1139</v>
      </c>
      <c r="G2321" s="40"/>
      <c r="H2321" s="116"/>
      <c r="I2321" s="116"/>
      <c r="J2321" s="116"/>
    </row>
    <row r="2322" spans="1:10" x14ac:dyDescent="0.25">
      <c r="A2322" s="204">
        <v>42874</v>
      </c>
      <c r="B2322" s="462" t="s">
        <v>1820</v>
      </c>
      <c r="C2322" s="463"/>
      <c r="D2322" s="71"/>
      <c r="E2322" s="58">
        <v>50000</v>
      </c>
      <c r="F2322" s="8">
        <f t="shared" si="36"/>
        <v>51139</v>
      </c>
      <c r="G2322" s="26"/>
    </row>
    <row r="2323" spans="1:10" x14ac:dyDescent="0.25">
      <c r="A2323" s="204">
        <v>42874</v>
      </c>
      <c r="B2323" s="26" t="s">
        <v>28</v>
      </c>
      <c r="C2323" s="87" t="s">
        <v>32</v>
      </c>
      <c r="D2323" s="8">
        <v>9500</v>
      </c>
      <c r="E2323" s="8"/>
      <c r="F2323" s="8">
        <f t="shared" si="36"/>
        <v>41639</v>
      </c>
      <c r="G2323" s="26"/>
    </row>
    <row r="2324" spans="1:10" x14ac:dyDescent="0.25">
      <c r="A2324" s="204">
        <v>42874</v>
      </c>
      <c r="B2324" s="26" t="s">
        <v>1196</v>
      </c>
      <c r="C2324" s="87" t="s">
        <v>1796</v>
      </c>
      <c r="D2324" s="8">
        <v>18000</v>
      </c>
      <c r="E2324" s="8"/>
      <c r="F2324" s="8">
        <f t="shared" si="36"/>
        <v>23639</v>
      </c>
      <c r="G2324" s="26"/>
    </row>
    <row r="2325" spans="1:10" x14ac:dyDescent="0.25">
      <c r="A2325" s="204">
        <v>42874</v>
      </c>
      <c r="B2325" s="199" t="s">
        <v>85</v>
      </c>
      <c r="C2325" s="207" t="s">
        <v>1797</v>
      </c>
      <c r="D2325" s="91">
        <v>2000</v>
      </c>
      <c r="E2325" s="91"/>
      <c r="F2325" s="8">
        <f t="shared" si="36"/>
        <v>21639</v>
      </c>
      <c r="G2325" s="199"/>
    </row>
    <row r="2326" spans="1:10" x14ac:dyDescent="0.25">
      <c r="A2326" s="204">
        <v>42874</v>
      </c>
      <c r="B2326" s="26" t="s">
        <v>85</v>
      </c>
      <c r="C2326" s="87" t="s">
        <v>1798</v>
      </c>
      <c r="D2326" s="8">
        <v>20000</v>
      </c>
      <c r="E2326" s="8"/>
      <c r="F2326" s="8">
        <f t="shared" si="36"/>
        <v>1639</v>
      </c>
      <c r="G2326" s="26"/>
    </row>
    <row r="2327" spans="1:10" x14ac:dyDescent="0.25">
      <c r="A2327" s="204">
        <v>42874</v>
      </c>
      <c r="B2327" s="26" t="s">
        <v>26</v>
      </c>
      <c r="C2327" s="87" t="s">
        <v>1832</v>
      </c>
      <c r="D2327" s="8">
        <v>65</v>
      </c>
      <c r="E2327" s="8"/>
      <c r="F2327" s="8">
        <f t="shared" si="36"/>
        <v>1574</v>
      </c>
      <c r="G2327" s="26"/>
    </row>
    <row r="2328" spans="1:10" x14ac:dyDescent="0.25">
      <c r="A2328" s="204">
        <v>42874</v>
      </c>
      <c r="B2328" s="26" t="s">
        <v>26</v>
      </c>
      <c r="C2328" s="87" t="s">
        <v>1801</v>
      </c>
      <c r="D2328" s="8">
        <v>190</v>
      </c>
      <c r="E2328" s="8"/>
      <c r="F2328" s="8">
        <f t="shared" si="36"/>
        <v>1384</v>
      </c>
      <c r="G2328" s="26"/>
    </row>
    <row r="2329" spans="1:10" x14ac:dyDescent="0.25">
      <c r="A2329" s="204">
        <v>42874</v>
      </c>
      <c r="B2329" s="26" t="s">
        <v>26</v>
      </c>
      <c r="C2329" s="87" t="s">
        <v>1756</v>
      </c>
      <c r="D2329" s="8">
        <v>160</v>
      </c>
      <c r="E2329" s="8"/>
      <c r="F2329" s="8">
        <f t="shared" si="36"/>
        <v>1224</v>
      </c>
      <c r="G2329" s="26"/>
    </row>
    <row r="2330" spans="1:10" x14ac:dyDescent="0.25">
      <c r="A2330" s="204">
        <v>42874</v>
      </c>
      <c r="B2330" s="26" t="s">
        <v>26</v>
      </c>
      <c r="C2330" s="87" t="s">
        <v>1802</v>
      </c>
      <c r="D2330" s="8">
        <v>150</v>
      </c>
      <c r="E2330" s="8"/>
      <c r="F2330" s="8">
        <f t="shared" si="36"/>
        <v>1074</v>
      </c>
      <c r="G2330" s="26"/>
    </row>
    <row r="2331" spans="1:10" x14ac:dyDescent="0.25">
      <c r="A2331" s="204">
        <v>42875</v>
      </c>
      <c r="B2331" s="462" t="s">
        <v>1803</v>
      </c>
      <c r="C2331" s="463"/>
      <c r="D2331" s="71"/>
      <c r="E2331" s="58">
        <v>100000</v>
      </c>
      <c r="F2331" s="8">
        <f t="shared" si="36"/>
        <v>101074</v>
      </c>
      <c r="G2331" s="26"/>
    </row>
    <row r="2332" spans="1:10" x14ac:dyDescent="0.25">
      <c r="A2332" s="204">
        <v>42875</v>
      </c>
      <c r="B2332" s="26" t="s">
        <v>85</v>
      </c>
      <c r="C2332" s="87" t="s">
        <v>1823</v>
      </c>
      <c r="D2332" s="8">
        <v>2000</v>
      </c>
      <c r="E2332" s="8"/>
      <c r="F2332" s="8">
        <f t="shared" si="36"/>
        <v>99074</v>
      </c>
      <c r="G2332" s="26"/>
    </row>
    <row r="2333" spans="1:10" ht="30" x14ac:dyDescent="0.25">
      <c r="A2333" s="204">
        <v>42875</v>
      </c>
      <c r="B2333" s="26" t="s">
        <v>59</v>
      </c>
      <c r="C2333" s="87" t="s">
        <v>1804</v>
      </c>
      <c r="D2333" s="8">
        <v>1272</v>
      </c>
      <c r="E2333" s="8"/>
      <c r="F2333" s="8">
        <f t="shared" si="36"/>
        <v>97802</v>
      </c>
      <c r="G2333" s="26"/>
    </row>
    <row r="2334" spans="1:10" ht="30" x14ac:dyDescent="0.25">
      <c r="A2334" s="204">
        <v>42875</v>
      </c>
      <c r="B2334" s="29" t="s">
        <v>59</v>
      </c>
      <c r="C2334" s="89" t="s">
        <v>1888</v>
      </c>
      <c r="D2334" s="14">
        <v>31650</v>
      </c>
      <c r="E2334" s="8"/>
      <c r="F2334" s="8">
        <f t="shared" si="36"/>
        <v>66152</v>
      </c>
      <c r="G2334" s="26"/>
    </row>
    <row r="2335" spans="1:10" ht="30" x14ac:dyDescent="0.25">
      <c r="A2335" s="204">
        <v>42875</v>
      </c>
      <c r="B2335" s="29" t="s">
        <v>1346</v>
      </c>
      <c r="C2335" s="89" t="s">
        <v>1991</v>
      </c>
      <c r="D2335" s="14">
        <v>14380</v>
      </c>
      <c r="E2335" s="14"/>
      <c r="F2335" s="8">
        <f t="shared" si="36"/>
        <v>51772</v>
      </c>
      <c r="G2335" s="29"/>
    </row>
    <row r="2336" spans="1:10" x14ac:dyDescent="0.25">
      <c r="A2336" s="204">
        <v>42875</v>
      </c>
      <c r="B2336" s="197" t="s">
        <v>1346</v>
      </c>
      <c r="C2336" s="198" t="s">
        <v>1943</v>
      </c>
      <c r="D2336" s="75">
        <v>620</v>
      </c>
      <c r="E2336" s="8"/>
      <c r="F2336" s="8">
        <f t="shared" si="36"/>
        <v>51152</v>
      </c>
      <c r="G2336" s="26"/>
    </row>
    <row r="2337" spans="1:9" x14ac:dyDescent="0.25">
      <c r="A2337" s="204">
        <v>42875</v>
      </c>
      <c r="B2337" s="26" t="s">
        <v>1006</v>
      </c>
      <c r="C2337" s="87" t="s">
        <v>1992</v>
      </c>
      <c r="D2337" s="8">
        <v>450</v>
      </c>
      <c r="E2337" s="8"/>
      <c r="F2337" s="8">
        <f t="shared" si="36"/>
        <v>50702</v>
      </c>
      <c r="G2337" s="26"/>
      <c r="H2337" s="24"/>
      <c r="I2337" s="24"/>
    </row>
    <row r="2338" spans="1:9" x14ac:dyDescent="0.25">
      <c r="A2338" s="204">
        <v>42875</v>
      </c>
      <c r="B2338" s="197" t="s">
        <v>59</v>
      </c>
      <c r="C2338" s="198" t="s">
        <v>1805</v>
      </c>
      <c r="D2338" s="75">
        <v>1000</v>
      </c>
      <c r="E2338" s="8"/>
      <c r="F2338" s="8">
        <f t="shared" si="36"/>
        <v>49702</v>
      </c>
      <c r="G2338" s="18"/>
      <c r="H2338" s="153"/>
      <c r="I2338" s="22"/>
    </row>
    <row r="2339" spans="1:9" x14ac:dyDescent="0.25">
      <c r="A2339" s="204">
        <v>42875</v>
      </c>
      <c r="B2339" s="26" t="s">
        <v>26</v>
      </c>
      <c r="C2339" s="87" t="s">
        <v>1806</v>
      </c>
      <c r="D2339" s="8">
        <v>110</v>
      </c>
      <c r="E2339" s="8"/>
      <c r="F2339" s="8">
        <f t="shared" si="36"/>
        <v>49592</v>
      </c>
      <c r="G2339" s="18"/>
      <c r="H2339" s="153"/>
      <c r="I2339" s="22"/>
    </row>
    <row r="2340" spans="1:9" x14ac:dyDescent="0.25">
      <c r="A2340" s="204">
        <v>42875</v>
      </c>
      <c r="B2340" s="26" t="s">
        <v>26</v>
      </c>
      <c r="C2340" s="87" t="s">
        <v>1807</v>
      </c>
      <c r="D2340" s="8">
        <v>80</v>
      </c>
      <c r="E2340" s="8"/>
      <c r="F2340" s="8">
        <f t="shared" si="36"/>
        <v>49512</v>
      </c>
      <c r="G2340" s="18"/>
      <c r="H2340" s="215"/>
      <c r="I2340" s="216"/>
    </row>
    <row r="2341" spans="1:9" x14ac:dyDescent="0.25">
      <c r="A2341" s="204">
        <v>42875</v>
      </c>
      <c r="B2341" s="26" t="s">
        <v>28</v>
      </c>
      <c r="C2341" s="87" t="s">
        <v>32</v>
      </c>
      <c r="D2341" s="8">
        <v>2000</v>
      </c>
      <c r="E2341" s="8"/>
      <c r="F2341" s="8">
        <f t="shared" si="36"/>
        <v>47512</v>
      </c>
      <c r="G2341" s="18"/>
      <c r="H2341" s="153"/>
      <c r="I2341" s="22"/>
    </row>
    <row r="2342" spans="1:9" x14ac:dyDescent="0.25">
      <c r="A2342" s="204">
        <v>42875</v>
      </c>
      <c r="B2342" s="26" t="s">
        <v>26</v>
      </c>
      <c r="C2342" s="87" t="s">
        <v>1831</v>
      </c>
      <c r="D2342" s="8">
        <v>390</v>
      </c>
      <c r="E2342" s="8"/>
      <c r="F2342" s="8">
        <f t="shared" si="36"/>
        <v>47122</v>
      </c>
      <c r="G2342" s="18"/>
      <c r="H2342" s="153"/>
      <c r="I2342" s="22"/>
    </row>
    <row r="2343" spans="1:9" x14ac:dyDescent="0.25">
      <c r="A2343" s="204">
        <v>42877</v>
      </c>
      <c r="B2343" s="26" t="s">
        <v>26</v>
      </c>
      <c r="C2343" s="87" t="s">
        <v>1810</v>
      </c>
      <c r="D2343" s="8">
        <v>1250</v>
      </c>
      <c r="E2343" s="8"/>
      <c r="F2343" s="8">
        <f t="shared" si="36"/>
        <v>45872</v>
      </c>
      <c r="G2343" s="18"/>
      <c r="H2343" s="153"/>
      <c r="I2343" s="22"/>
    </row>
    <row r="2344" spans="1:9" x14ac:dyDescent="0.25">
      <c r="A2344" s="204">
        <v>42877</v>
      </c>
      <c r="B2344" s="26" t="s">
        <v>26</v>
      </c>
      <c r="C2344" s="87" t="s">
        <v>1811</v>
      </c>
      <c r="D2344" s="8">
        <v>400</v>
      </c>
      <c r="E2344" s="8"/>
      <c r="F2344" s="8">
        <f t="shared" si="36"/>
        <v>45472</v>
      </c>
      <c r="G2344" s="26"/>
    </row>
    <row r="2345" spans="1:9" ht="30" x14ac:dyDescent="0.25">
      <c r="A2345" s="204">
        <v>42877</v>
      </c>
      <c r="B2345" s="26" t="s">
        <v>542</v>
      </c>
      <c r="C2345" s="87" t="s">
        <v>1813</v>
      </c>
      <c r="D2345" s="8">
        <v>20000</v>
      </c>
      <c r="E2345" s="8"/>
      <c r="F2345" s="8">
        <f t="shared" si="36"/>
        <v>25472</v>
      </c>
      <c r="G2345" s="26"/>
    </row>
    <row r="2346" spans="1:9" x14ac:dyDescent="0.25">
      <c r="A2346" s="204">
        <v>42877</v>
      </c>
      <c r="B2346" s="26" t="s">
        <v>26</v>
      </c>
      <c r="C2346" s="87" t="s">
        <v>1812</v>
      </c>
      <c r="D2346" s="8">
        <v>150</v>
      </c>
      <c r="E2346" s="8"/>
      <c r="F2346" s="8">
        <f t="shared" si="36"/>
        <v>25322</v>
      </c>
      <c r="G2346" s="26"/>
    </row>
    <row r="2347" spans="1:9" x14ac:dyDescent="0.25">
      <c r="A2347" s="204">
        <v>42877</v>
      </c>
      <c r="B2347" s="26" t="s">
        <v>28</v>
      </c>
      <c r="C2347" s="87" t="s">
        <v>32</v>
      </c>
      <c r="D2347" s="8">
        <v>2000</v>
      </c>
      <c r="E2347" s="8"/>
      <c r="F2347" s="8">
        <f t="shared" si="36"/>
        <v>23322</v>
      </c>
      <c r="G2347" s="26"/>
    </row>
    <row r="2348" spans="1:9" x14ac:dyDescent="0.25">
      <c r="A2348" s="204">
        <v>42878</v>
      </c>
      <c r="B2348" s="26" t="s">
        <v>1346</v>
      </c>
      <c r="C2348" s="87" t="s">
        <v>1814</v>
      </c>
      <c r="D2348" s="8">
        <v>5000</v>
      </c>
      <c r="E2348" s="8"/>
      <c r="F2348" s="8">
        <f t="shared" si="36"/>
        <v>18322</v>
      </c>
      <c r="G2348" s="26"/>
    </row>
    <row r="2349" spans="1:9" x14ac:dyDescent="0.25">
      <c r="A2349" s="204">
        <v>42878</v>
      </c>
      <c r="B2349" s="26" t="s">
        <v>59</v>
      </c>
      <c r="C2349" s="87" t="s">
        <v>1889</v>
      </c>
      <c r="D2349" s="8">
        <v>2300</v>
      </c>
      <c r="E2349" s="8"/>
      <c r="F2349" s="8">
        <f t="shared" si="36"/>
        <v>16022</v>
      </c>
      <c r="G2349" s="26"/>
    </row>
    <row r="2350" spans="1:9" x14ac:dyDescent="0.25">
      <c r="A2350" s="204">
        <v>42878</v>
      </c>
      <c r="B2350" s="26" t="s">
        <v>11</v>
      </c>
      <c r="C2350" s="87" t="s">
        <v>1815</v>
      </c>
      <c r="D2350" s="8">
        <v>1000</v>
      </c>
      <c r="E2350" s="8"/>
      <c r="F2350" s="8">
        <f t="shared" si="36"/>
        <v>15022</v>
      </c>
      <c r="G2350" s="26"/>
    </row>
    <row r="2351" spans="1:9" x14ac:dyDescent="0.25">
      <c r="A2351" s="204">
        <v>42878</v>
      </c>
      <c r="B2351" s="26" t="s">
        <v>19</v>
      </c>
      <c r="C2351" s="87" t="s">
        <v>1816</v>
      </c>
      <c r="D2351" s="8">
        <v>2000</v>
      </c>
      <c r="E2351" s="8"/>
      <c r="F2351" s="8">
        <f t="shared" si="36"/>
        <v>13022</v>
      </c>
      <c r="G2351" s="26"/>
    </row>
    <row r="2352" spans="1:9" x14ac:dyDescent="0.25">
      <c r="A2352" s="204">
        <v>42878</v>
      </c>
      <c r="B2352" s="26" t="s">
        <v>1689</v>
      </c>
      <c r="C2352" s="87" t="s">
        <v>1817</v>
      </c>
      <c r="D2352" s="8">
        <v>5418</v>
      </c>
      <c r="E2352" s="8"/>
      <c r="F2352" s="8">
        <f t="shared" si="36"/>
        <v>7604</v>
      </c>
      <c r="G2352" s="26"/>
    </row>
    <row r="2353" spans="1:7" x14ac:dyDescent="0.25">
      <c r="A2353" s="204">
        <v>42878</v>
      </c>
      <c r="B2353" s="26" t="s">
        <v>85</v>
      </c>
      <c r="C2353" s="87" t="s">
        <v>1818</v>
      </c>
      <c r="D2353" s="8">
        <v>5000</v>
      </c>
      <c r="E2353" s="8"/>
      <c r="F2353" s="8">
        <f t="shared" si="36"/>
        <v>2604</v>
      </c>
      <c r="G2353" s="26"/>
    </row>
    <row r="2354" spans="1:7" x14ac:dyDescent="0.25">
      <c r="A2354" s="204">
        <v>42878</v>
      </c>
      <c r="B2354" s="26" t="s">
        <v>85</v>
      </c>
      <c r="C2354" s="87" t="s">
        <v>1819</v>
      </c>
      <c r="D2354" s="8">
        <v>1000</v>
      </c>
      <c r="E2354" s="8"/>
      <c r="F2354" s="8">
        <f t="shared" si="36"/>
        <v>1604</v>
      </c>
      <c r="G2354" s="26"/>
    </row>
    <row r="2355" spans="1:7" x14ac:dyDescent="0.25">
      <c r="A2355" s="204">
        <v>42878</v>
      </c>
      <c r="B2355" s="26" t="s">
        <v>121</v>
      </c>
      <c r="C2355" s="87" t="s">
        <v>32</v>
      </c>
      <c r="D2355" s="8">
        <v>500</v>
      </c>
      <c r="E2355" s="8"/>
      <c r="F2355" s="8">
        <f t="shared" si="36"/>
        <v>1104</v>
      </c>
      <c r="G2355" s="26"/>
    </row>
    <row r="2356" spans="1:7" x14ac:dyDescent="0.25">
      <c r="A2356" s="204">
        <v>42878</v>
      </c>
      <c r="B2356" s="26" t="s">
        <v>26</v>
      </c>
      <c r="C2356" s="87" t="s">
        <v>1828</v>
      </c>
      <c r="D2356" s="8">
        <v>120</v>
      </c>
      <c r="E2356" s="8"/>
      <c r="F2356" s="8">
        <f t="shared" si="36"/>
        <v>984</v>
      </c>
      <c r="G2356" s="26"/>
    </row>
    <row r="2357" spans="1:7" ht="15.75" customHeight="1" x14ac:dyDescent="0.25">
      <c r="A2357" s="204">
        <v>42878</v>
      </c>
      <c r="B2357" s="26" t="s">
        <v>26</v>
      </c>
      <c r="C2357" s="87" t="s">
        <v>1830</v>
      </c>
      <c r="D2357" s="8">
        <v>105</v>
      </c>
      <c r="E2357" s="8"/>
      <c r="F2357" s="8">
        <f t="shared" si="36"/>
        <v>879</v>
      </c>
      <c r="G2357" s="26"/>
    </row>
    <row r="2358" spans="1:7" ht="15.75" customHeight="1" x14ac:dyDescent="0.25">
      <c r="A2358" s="204">
        <v>42878</v>
      </c>
      <c r="B2358" s="26" t="s">
        <v>26</v>
      </c>
      <c r="C2358" s="87" t="s">
        <v>1834</v>
      </c>
      <c r="D2358" s="8">
        <v>100</v>
      </c>
      <c r="E2358" s="8"/>
      <c r="F2358" s="8">
        <f t="shared" si="36"/>
        <v>779</v>
      </c>
      <c r="G2358" s="26"/>
    </row>
    <row r="2359" spans="1:7" x14ac:dyDescent="0.25">
      <c r="A2359" s="204">
        <v>42878</v>
      </c>
      <c r="B2359" s="26" t="s">
        <v>1284</v>
      </c>
      <c r="C2359" s="87" t="s">
        <v>32</v>
      </c>
      <c r="D2359" s="8">
        <v>1000</v>
      </c>
      <c r="E2359" s="8"/>
      <c r="F2359" s="8">
        <f t="shared" si="36"/>
        <v>-221</v>
      </c>
      <c r="G2359" s="26"/>
    </row>
    <row r="2360" spans="1:7" x14ac:dyDescent="0.25">
      <c r="A2360" s="204">
        <v>42879</v>
      </c>
      <c r="B2360" s="26" t="s">
        <v>28</v>
      </c>
      <c r="C2360" s="87" t="s">
        <v>32</v>
      </c>
      <c r="D2360" s="8">
        <v>500</v>
      </c>
      <c r="E2360" s="8"/>
      <c r="F2360" s="8">
        <f t="shared" si="36"/>
        <v>-721</v>
      </c>
      <c r="G2360" s="26"/>
    </row>
    <row r="2361" spans="1:7" x14ac:dyDescent="0.25">
      <c r="A2361" s="204">
        <v>42879</v>
      </c>
      <c r="B2361" s="462" t="s">
        <v>1699</v>
      </c>
      <c r="C2361" s="463"/>
      <c r="D2361" s="71"/>
      <c r="E2361" s="58">
        <v>50000</v>
      </c>
      <c r="F2361" s="8">
        <f t="shared" si="36"/>
        <v>49279</v>
      </c>
      <c r="G2361" s="26"/>
    </row>
    <row r="2362" spans="1:7" x14ac:dyDescent="0.25">
      <c r="A2362" s="204">
        <v>42879</v>
      </c>
      <c r="B2362" s="26" t="s">
        <v>1824</v>
      </c>
      <c r="C2362" s="87" t="s">
        <v>1825</v>
      </c>
      <c r="D2362" s="8">
        <v>5000</v>
      </c>
      <c r="E2362" s="8"/>
      <c r="F2362" s="8">
        <f t="shared" si="36"/>
        <v>44279</v>
      </c>
      <c r="G2362" s="26"/>
    </row>
    <row r="2363" spans="1:7" x14ac:dyDescent="0.25">
      <c r="A2363" s="204">
        <v>42879</v>
      </c>
      <c r="B2363" s="26" t="s">
        <v>1824</v>
      </c>
      <c r="C2363" s="87" t="s">
        <v>1826</v>
      </c>
      <c r="D2363" s="8">
        <v>5000</v>
      </c>
      <c r="E2363" s="8"/>
      <c r="F2363" s="8">
        <f t="shared" si="36"/>
        <v>39279</v>
      </c>
      <c r="G2363" s="26"/>
    </row>
    <row r="2364" spans="1:7" x14ac:dyDescent="0.25">
      <c r="A2364" s="204">
        <v>42879</v>
      </c>
      <c r="B2364" s="26" t="s">
        <v>0</v>
      </c>
      <c r="C2364" s="87" t="s">
        <v>1827</v>
      </c>
      <c r="D2364" s="8">
        <v>5000</v>
      </c>
      <c r="E2364" s="8"/>
      <c r="F2364" s="8">
        <f t="shared" si="36"/>
        <v>34279</v>
      </c>
      <c r="G2364" s="26"/>
    </row>
    <row r="2365" spans="1:7" x14ac:dyDescent="0.25">
      <c r="A2365" s="204">
        <v>42879</v>
      </c>
      <c r="B2365" s="29" t="s">
        <v>59</v>
      </c>
      <c r="C2365" s="89" t="s">
        <v>1835</v>
      </c>
      <c r="D2365" s="14">
        <v>8780</v>
      </c>
      <c r="E2365" s="14"/>
      <c r="F2365" s="8">
        <f t="shared" si="36"/>
        <v>25499</v>
      </c>
      <c r="G2365" s="26"/>
    </row>
    <row r="2366" spans="1:7" x14ac:dyDescent="0.25">
      <c r="A2366" s="204">
        <v>42879</v>
      </c>
      <c r="B2366" s="26" t="s">
        <v>4</v>
      </c>
      <c r="C2366" s="87" t="s">
        <v>32</v>
      </c>
      <c r="D2366" s="8">
        <v>5000</v>
      </c>
      <c r="E2366" s="8"/>
      <c r="F2366" s="8">
        <f t="shared" si="36"/>
        <v>20499</v>
      </c>
      <c r="G2366" s="26"/>
    </row>
    <row r="2367" spans="1:7" x14ac:dyDescent="0.25">
      <c r="A2367" s="204">
        <v>42879</v>
      </c>
      <c r="B2367" s="26" t="s">
        <v>28</v>
      </c>
      <c r="C2367" s="87" t="s">
        <v>32</v>
      </c>
      <c r="D2367" s="8">
        <v>3000</v>
      </c>
      <c r="E2367" s="8"/>
      <c r="F2367" s="8">
        <f t="shared" si="36"/>
        <v>17499</v>
      </c>
      <c r="G2367" s="26"/>
    </row>
    <row r="2368" spans="1:7" x14ac:dyDescent="0.25">
      <c r="A2368" s="204">
        <v>42879</v>
      </c>
      <c r="B2368" s="26" t="s">
        <v>26</v>
      </c>
      <c r="C2368" s="87" t="s">
        <v>1829</v>
      </c>
      <c r="D2368" s="8">
        <v>40</v>
      </c>
      <c r="E2368" s="8"/>
      <c r="F2368" s="8">
        <f t="shared" si="36"/>
        <v>17459</v>
      </c>
      <c r="G2368" s="26"/>
    </row>
    <row r="2369" spans="1:7" ht="30" x14ac:dyDescent="0.25">
      <c r="A2369" s="204">
        <v>42879</v>
      </c>
      <c r="B2369" s="26" t="s">
        <v>26</v>
      </c>
      <c r="C2369" s="87" t="s">
        <v>1833</v>
      </c>
      <c r="D2369" s="8">
        <v>403</v>
      </c>
      <c r="E2369" s="8"/>
      <c r="F2369" s="8">
        <f t="shared" si="36"/>
        <v>17056</v>
      </c>
      <c r="G2369" s="26"/>
    </row>
    <row r="2370" spans="1:7" x14ac:dyDescent="0.25">
      <c r="A2370" s="204">
        <v>42879</v>
      </c>
      <c r="B2370" s="26" t="s">
        <v>542</v>
      </c>
      <c r="C2370" s="87" t="s">
        <v>1837</v>
      </c>
      <c r="D2370" s="8">
        <v>5000</v>
      </c>
      <c r="E2370" s="8"/>
      <c r="F2370" s="8">
        <f t="shared" si="36"/>
        <v>12056</v>
      </c>
      <c r="G2370" s="26"/>
    </row>
    <row r="2371" spans="1:7" x14ac:dyDescent="0.25">
      <c r="A2371" s="204">
        <v>42880</v>
      </c>
      <c r="B2371" s="26" t="s">
        <v>446</v>
      </c>
      <c r="C2371" s="87" t="s">
        <v>1836</v>
      </c>
      <c r="D2371" s="8">
        <v>500</v>
      </c>
      <c r="E2371" s="8"/>
      <c r="F2371" s="8">
        <f t="shared" ref="F2371:F2434" si="37">F2370-D2371+E2371</f>
        <v>11556</v>
      </c>
      <c r="G2371" s="26"/>
    </row>
    <row r="2372" spans="1:7" x14ac:dyDescent="0.25">
      <c r="A2372" s="204">
        <v>42880</v>
      </c>
      <c r="B2372" s="26" t="s">
        <v>121</v>
      </c>
      <c r="C2372" s="87" t="s">
        <v>32</v>
      </c>
      <c r="D2372" s="8">
        <v>6000</v>
      </c>
      <c r="E2372" s="8"/>
      <c r="F2372" s="8">
        <f t="shared" si="37"/>
        <v>5556</v>
      </c>
      <c r="G2372" s="26"/>
    </row>
    <row r="2373" spans="1:7" x14ac:dyDescent="0.25">
      <c r="A2373" s="204">
        <v>42880</v>
      </c>
      <c r="B2373" s="26" t="s">
        <v>446</v>
      </c>
      <c r="C2373" s="87" t="s">
        <v>1838</v>
      </c>
      <c r="D2373" s="8">
        <v>100</v>
      </c>
      <c r="E2373" s="8"/>
      <c r="F2373" s="8">
        <f t="shared" si="37"/>
        <v>5456</v>
      </c>
      <c r="G2373" s="26"/>
    </row>
    <row r="2374" spans="1:7" x14ac:dyDescent="0.25">
      <c r="A2374" s="204">
        <v>42880</v>
      </c>
      <c r="B2374" s="197" t="s">
        <v>1346</v>
      </c>
      <c r="C2374" s="198" t="s">
        <v>799</v>
      </c>
      <c r="D2374" s="75">
        <v>2500</v>
      </c>
      <c r="E2374" s="8"/>
      <c r="F2374" s="8">
        <f t="shared" si="37"/>
        <v>2956</v>
      </c>
      <c r="G2374" s="26"/>
    </row>
    <row r="2375" spans="1:7" x14ac:dyDescent="0.25">
      <c r="A2375" s="217">
        <v>42880</v>
      </c>
      <c r="B2375" s="77" t="s">
        <v>121</v>
      </c>
      <c r="C2375" s="78" t="s">
        <v>1839</v>
      </c>
      <c r="D2375" s="58"/>
      <c r="E2375" s="58">
        <v>3000</v>
      </c>
      <c r="F2375" s="8">
        <f t="shared" si="37"/>
        <v>5956</v>
      </c>
      <c r="G2375" s="26"/>
    </row>
    <row r="2376" spans="1:7" x14ac:dyDescent="0.25">
      <c r="A2376" s="204">
        <v>42880</v>
      </c>
      <c r="B2376" s="26" t="s">
        <v>85</v>
      </c>
      <c r="C2376" s="87" t="s">
        <v>1852</v>
      </c>
      <c r="D2376" s="8">
        <v>6000</v>
      </c>
      <c r="E2376" s="8"/>
      <c r="F2376" s="8">
        <f t="shared" si="37"/>
        <v>-44</v>
      </c>
      <c r="G2376" s="26"/>
    </row>
    <row r="2377" spans="1:7" x14ac:dyDescent="0.25">
      <c r="A2377" s="204">
        <v>42880</v>
      </c>
      <c r="B2377" s="462" t="s">
        <v>1699</v>
      </c>
      <c r="C2377" s="463"/>
      <c r="D2377" s="71"/>
      <c r="E2377" s="58">
        <v>50000</v>
      </c>
      <c r="F2377" s="8">
        <f t="shared" si="37"/>
        <v>49956</v>
      </c>
      <c r="G2377" s="26"/>
    </row>
    <row r="2378" spans="1:7" x14ac:dyDescent="0.25">
      <c r="A2378" s="204">
        <v>42881</v>
      </c>
      <c r="B2378" s="29" t="s">
        <v>1840</v>
      </c>
      <c r="C2378" s="89" t="s">
        <v>1848</v>
      </c>
      <c r="D2378" s="14">
        <f>3110+50</f>
        <v>3160</v>
      </c>
      <c r="E2378" s="8"/>
      <c r="F2378" s="8">
        <f t="shared" si="37"/>
        <v>46796</v>
      </c>
      <c r="G2378" s="26"/>
    </row>
    <row r="2379" spans="1:7" x14ac:dyDescent="0.25">
      <c r="A2379" s="204">
        <v>42881</v>
      </c>
      <c r="B2379" s="29" t="s">
        <v>117</v>
      </c>
      <c r="C2379" s="89" t="s">
        <v>1685</v>
      </c>
      <c r="D2379" s="14">
        <v>1800</v>
      </c>
      <c r="E2379" s="8"/>
      <c r="F2379" s="8">
        <f t="shared" si="37"/>
        <v>44996</v>
      </c>
      <c r="G2379" s="26"/>
    </row>
    <row r="2380" spans="1:7" x14ac:dyDescent="0.25">
      <c r="A2380" s="204">
        <v>42881</v>
      </c>
      <c r="B2380" s="26" t="s">
        <v>85</v>
      </c>
      <c r="C2380" s="87" t="s">
        <v>1841</v>
      </c>
      <c r="D2380" s="8">
        <v>5000</v>
      </c>
      <c r="E2380" s="8"/>
      <c r="F2380" s="8">
        <f t="shared" si="37"/>
        <v>39996</v>
      </c>
      <c r="G2380" s="26"/>
    </row>
    <row r="2381" spans="1:7" x14ac:dyDescent="0.25">
      <c r="A2381" s="204">
        <v>42881</v>
      </c>
      <c r="B2381" s="26" t="s">
        <v>1006</v>
      </c>
      <c r="C2381" s="87" t="s">
        <v>1842</v>
      </c>
      <c r="D2381" s="8">
        <v>13000</v>
      </c>
      <c r="E2381" s="8"/>
      <c r="F2381" s="8">
        <f t="shared" si="37"/>
        <v>26996</v>
      </c>
      <c r="G2381" s="26"/>
    </row>
    <row r="2382" spans="1:7" x14ac:dyDescent="0.25">
      <c r="A2382" s="204">
        <v>42881</v>
      </c>
      <c r="B2382" s="29" t="s">
        <v>1196</v>
      </c>
      <c r="C2382" s="89" t="s">
        <v>1850</v>
      </c>
      <c r="D2382" s="14">
        <v>2530</v>
      </c>
      <c r="E2382" s="8"/>
      <c r="F2382" s="8">
        <f t="shared" si="37"/>
        <v>24466</v>
      </c>
      <c r="G2382" s="26"/>
    </row>
    <row r="2383" spans="1:7" ht="30" x14ac:dyDescent="0.25">
      <c r="A2383" s="204">
        <v>42881</v>
      </c>
      <c r="B2383" s="26" t="s">
        <v>59</v>
      </c>
      <c r="C2383" s="87" t="s">
        <v>1843</v>
      </c>
      <c r="D2383" s="8">
        <v>1400</v>
      </c>
      <c r="E2383" s="8"/>
      <c r="F2383" s="8">
        <f t="shared" si="37"/>
        <v>23066</v>
      </c>
      <c r="G2383" s="26"/>
    </row>
    <row r="2384" spans="1:7" ht="30" x14ac:dyDescent="0.25">
      <c r="A2384" s="204">
        <v>42881</v>
      </c>
      <c r="B2384" s="26" t="s">
        <v>1675</v>
      </c>
      <c r="C2384" s="87" t="s">
        <v>1844</v>
      </c>
      <c r="D2384" s="8">
        <v>6000</v>
      </c>
      <c r="E2384" s="8"/>
      <c r="F2384" s="8">
        <f t="shared" si="37"/>
        <v>17066</v>
      </c>
      <c r="G2384" s="26"/>
    </row>
    <row r="2385" spans="1:7" x14ac:dyDescent="0.25">
      <c r="A2385" s="204">
        <v>42881</v>
      </c>
      <c r="B2385" s="26" t="s">
        <v>26</v>
      </c>
      <c r="C2385" s="87" t="s">
        <v>1849</v>
      </c>
      <c r="D2385" s="8">
        <v>600</v>
      </c>
      <c r="E2385" s="8"/>
      <c r="F2385" s="8">
        <f t="shared" si="37"/>
        <v>16466</v>
      </c>
      <c r="G2385" s="26"/>
    </row>
    <row r="2386" spans="1:7" x14ac:dyDescent="0.25">
      <c r="A2386" s="204">
        <v>42881</v>
      </c>
      <c r="B2386" s="26" t="s">
        <v>0</v>
      </c>
      <c r="C2386" s="87" t="s">
        <v>490</v>
      </c>
      <c r="D2386" s="8">
        <v>5000</v>
      </c>
      <c r="E2386" s="8"/>
      <c r="F2386" s="8">
        <f t="shared" si="37"/>
        <v>11466</v>
      </c>
      <c r="G2386" s="26"/>
    </row>
    <row r="2387" spans="1:7" x14ac:dyDescent="0.25">
      <c r="A2387" s="204">
        <v>42881</v>
      </c>
      <c r="B2387" s="26" t="s">
        <v>26</v>
      </c>
      <c r="C2387" s="87" t="s">
        <v>167</v>
      </c>
      <c r="D2387" s="8">
        <v>100</v>
      </c>
      <c r="E2387" s="8"/>
      <c r="F2387" s="8">
        <f t="shared" si="37"/>
        <v>11366</v>
      </c>
      <c r="G2387" s="26"/>
    </row>
    <row r="2388" spans="1:7" ht="30" x14ac:dyDescent="0.25">
      <c r="A2388" s="204">
        <v>42881</v>
      </c>
      <c r="B2388" s="26" t="s">
        <v>26</v>
      </c>
      <c r="C2388" s="87" t="s">
        <v>1845</v>
      </c>
      <c r="D2388" s="8">
        <v>100</v>
      </c>
      <c r="E2388" s="8"/>
      <c r="F2388" s="8">
        <f t="shared" si="37"/>
        <v>11266</v>
      </c>
      <c r="G2388" s="26"/>
    </row>
    <row r="2389" spans="1:7" x14ac:dyDescent="0.25">
      <c r="A2389" s="204">
        <v>42881</v>
      </c>
      <c r="B2389" s="26" t="s">
        <v>0</v>
      </c>
      <c r="C2389" s="26" t="s">
        <v>1846</v>
      </c>
      <c r="D2389" s="8">
        <v>2895</v>
      </c>
      <c r="E2389" s="8"/>
      <c r="F2389" s="8">
        <f t="shared" si="37"/>
        <v>8371</v>
      </c>
      <c r="G2389" s="26"/>
    </row>
    <row r="2390" spans="1:7" x14ac:dyDescent="0.25">
      <c r="A2390" s="204">
        <v>42881</v>
      </c>
      <c r="B2390" s="26" t="s">
        <v>248</v>
      </c>
      <c r="C2390" s="26" t="s">
        <v>1847</v>
      </c>
      <c r="D2390" s="8">
        <v>170</v>
      </c>
      <c r="E2390" s="8"/>
      <c r="F2390" s="8">
        <f t="shared" si="37"/>
        <v>8201</v>
      </c>
      <c r="G2390" s="26"/>
    </row>
    <row r="2391" spans="1:7" x14ac:dyDescent="0.25">
      <c r="A2391" s="204">
        <v>42882</v>
      </c>
      <c r="B2391" s="29" t="s">
        <v>57</v>
      </c>
      <c r="C2391" s="29" t="s">
        <v>1853</v>
      </c>
      <c r="D2391" s="14">
        <v>450</v>
      </c>
      <c r="E2391" s="8"/>
      <c r="F2391" s="8">
        <f t="shared" si="37"/>
        <v>7751</v>
      </c>
      <c r="G2391" s="26"/>
    </row>
    <row r="2392" spans="1:7" x14ac:dyDescent="0.25">
      <c r="A2392" s="204">
        <v>42882</v>
      </c>
      <c r="B2392" s="29" t="s">
        <v>28</v>
      </c>
      <c r="C2392" s="29" t="s">
        <v>32</v>
      </c>
      <c r="D2392" s="14">
        <v>3000</v>
      </c>
      <c r="E2392" s="8"/>
      <c r="F2392" s="8">
        <f t="shared" si="37"/>
        <v>4751</v>
      </c>
      <c r="G2392" s="26"/>
    </row>
    <row r="2393" spans="1:7" x14ac:dyDescent="0.25">
      <c r="A2393" s="204">
        <v>42882</v>
      </c>
      <c r="B2393" s="26" t="s">
        <v>117</v>
      </c>
      <c r="C2393" s="26" t="s">
        <v>32</v>
      </c>
      <c r="D2393" s="8">
        <v>200</v>
      </c>
      <c r="E2393" s="8"/>
      <c r="F2393" s="8">
        <f t="shared" si="37"/>
        <v>4551</v>
      </c>
      <c r="G2393" s="26"/>
    </row>
    <row r="2394" spans="1:7" x14ac:dyDescent="0.25">
      <c r="A2394" s="204">
        <v>42882</v>
      </c>
      <c r="B2394" s="26" t="s">
        <v>26</v>
      </c>
      <c r="C2394" s="26" t="s">
        <v>1851</v>
      </c>
      <c r="D2394" s="8">
        <v>170</v>
      </c>
      <c r="E2394" s="8"/>
      <c r="F2394" s="8">
        <f t="shared" si="37"/>
        <v>4381</v>
      </c>
      <c r="G2394" s="26"/>
    </row>
    <row r="2395" spans="1:7" x14ac:dyDescent="0.25">
      <c r="A2395" s="204">
        <v>42884</v>
      </c>
      <c r="B2395" s="26" t="s">
        <v>182</v>
      </c>
      <c r="C2395" s="26" t="s">
        <v>1874</v>
      </c>
      <c r="D2395" s="8">
        <v>3600</v>
      </c>
      <c r="E2395" s="8"/>
      <c r="F2395" s="8">
        <f t="shared" si="37"/>
        <v>781</v>
      </c>
      <c r="G2395" s="26"/>
    </row>
    <row r="2396" spans="1:7" x14ac:dyDescent="0.25">
      <c r="A2396" s="204">
        <v>42885</v>
      </c>
      <c r="B2396" s="462" t="s">
        <v>1854</v>
      </c>
      <c r="C2396" s="463"/>
      <c r="D2396" s="71"/>
      <c r="E2396" s="58">
        <v>50000</v>
      </c>
      <c r="F2396" s="8">
        <f t="shared" si="37"/>
        <v>50781</v>
      </c>
      <c r="G2396" s="26"/>
    </row>
    <row r="2397" spans="1:7" x14ac:dyDescent="0.25">
      <c r="A2397" s="204">
        <v>42885</v>
      </c>
      <c r="B2397" s="26" t="s">
        <v>26</v>
      </c>
      <c r="C2397" s="26" t="s">
        <v>1855</v>
      </c>
      <c r="D2397" s="8">
        <v>140</v>
      </c>
      <c r="E2397" s="8"/>
      <c r="F2397" s="8">
        <f t="shared" si="37"/>
        <v>50641</v>
      </c>
      <c r="G2397" s="26"/>
    </row>
    <row r="2398" spans="1:7" x14ac:dyDescent="0.25">
      <c r="A2398" s="204">
        <v>42885</v>
      </c>
      <c r="B2398" s="26" t="s">
        <v>59</v>
      </c>
      <c r="C2398" s="26" t="s">
        <v>1860</v>
      </c>
      <c r="D2398" s="8">
        <v>5280</v>
      </c>
      <c r="E2398" s="8"/>
      <c r="F2398" s="8">
        <f t="shared" si="37"/>
        <v>45361</v>
      </c>
      <c r="G2398" s="26"/>
    </row>
    <row r="2399" spans="1:7" x14ac:dyDescent="0.25">
      <c r="A2399" s="204">
        <v>42885</v>
      </c>
      <c r="B2399" s="26" t="s">
        <v>85</v>
      </c>
      <c r="C2399" s="26" t="s">
        <v>1676</v>
      </c>
      <c r="D2399" s="8">
        <v>5000</v>
      </c>
      <c r="E2399" s="8"/>
      <c r="F2399" s="8">
        <f t="shared" si="37"/>
        <v>40361</v>
      </c>
      <c r="G2399" s="26"/>
    </row>
    <row r="2400" spans="1:7" x14ac:dyDescent="0.25">
      <c r="A2400" s="204">
        <v>42885</v>
      </c>
      <c r="B2400" s="29" t="s">
        <v>85</v>
      </c>
      <c r="C2400" s="29" t="s">
        <v>1857</v>
      </c>
      <c r="D2400" s="14">
        <v>17000</v>
      </c>
      <c r="E2400" s="8"/>
      <c r="F2400" s="8">
        <f t="shared" si="37"/>
        <v>23361</v>
      </c>
      <c r="G2400" s="26"/>
    </row>
    <row r="2401" spans="1:7" x14ac:dyDescent="0.25">
      <c r="A2401" s="204">
        <v>42885</v>
      </c>
      <c r="B2401" s="29" t="s">
        <v>59</v>
      </c>
      <c r="C2401" s="29" t="s">
        <v>1858</v>
      </c>
      <c r="D2401" s="14">
        <v>5252</v>
      </c>
      <c r="E2401" s="8"/>
      <c r="F2401" s="8">
        <f t="shared" si="37"/>
        <v>18109</v>
      </c>
      <c r="G2401" s="26"/>
    </row>
    <row r="2402" spans="1:7" x14ac:dyDescent="0.25">
      <c r="A2402" s="204">
        <v>42885</v>
      </c>
      <c r="B2402" s="29" t="s">
        <v>28</v>
      </c>
      <c r="C2402" s="29" t="s">
        <v>1869</v>
      </c>
      <c r="D2402" s="14">
        <v>3500</v>
      </c>
      <c r="E2402" s="8"/>
      <c r="F2402" s="8">
        <f t="shared" si="37"/>
        <v>14609</v>
      </c>
      <c r="G2402" s="26"/>
    </row>
    <row r="2403" spans="1:7" x14ac:dyDescent="0.25">
      <c r="A2403" s="204">
        <v>42885</v>
      </c>
      <c r="B2403" s="29" t="s">
        <v>446</v>
      </c>
      <c r="C2403" s="29" t="s">
        <v>1869</v>
      </c>
      <c r="D2403" s="14">
        <v>1500</v>
      </c>
      <c r="E2403" s="8"/>
      <c r="F2403" s="8">
        <f t="shared" si="37"/>
        <v>13109</v>
      </c>
      <c r="G2403" s="26"/>
    </row>
    <row r="2404" spans="1:7" x14ac:dyDescent="0.25">
      <c r="A2404" s="204">
        <v>42885</v>
      </c>
      <c r="B2404" s="26" t="s">
        <v>248</v>
      </c>
      <c r="C2404" s="26" t="s">
        <v>32</v>
      </c>
      <c r="D2404" s="8">
        <v>1000</v>
      </c>
      <c r="E2404" s="8"/>
      <c r="F2404" s="8">
        <f t="shared" si="37"/>
        <v>12109</v>
      </c>
      <c r="G2404" s="26"/>
    </row>
    <row r="2405" spans="1:7" x14ac:dyDescent="0.25">
      <c r="A2405" s="204">
        <v>42885</v>
      </c>
      <c r="B2405" s="26" t="s">
        <v>542</v>
      </c>
      <c r="C2405" s="26" t="s">
        <v>1856</v>
      </c>
      <c r="D2405" s="8">
        <v>300</v>
      </c>
      <c r="E2405" s="8"/>
      <c r="F2405" s="8">
        <f t="shared" si="37"/>
        <v>11809</v>
      </c>
      <c r="G2405" s="26"/>
    </row>
    <row r="2406" spans="1:7" x14ac:dyDescent="0.25">
      <c r="A2406" s="204">
        <v>42885</v>
      </c>
      <c r="B2406" s="218" t="s">
        <v>85</v>
      </c>
      <c r="C2406" s="218" t="s">
        <v>1859</v>
      </c>
      <c r="D2406" s="97">
        <v>9000</v>
      </c>
      <c r="E2406" s="8"/>
      <c r="F2406" s="8">
        <f t="shared" si="37"/>
        <v>2809</v>
      </c>
      <c r="G2406" s="26"/>
    </row>
    <row r="2407" spans="1:7" x14ac:dyDescent="0.25">
      <c r="A2407" s="204">
        <v>42885</v>
      </c>
      <c r="B2407" s="26" t="s">
        <v>28</v>
      </c>
      <c r="C2407" s="26" t="s">
        <v>32</v>
      </c>
      <c r="D2407" s="8">
        <v>2000</v>
      </c>
      <c r="E2407" s="8"/>
      <c r="F2407" s="8">
        <f t="shared" si="37"/>
        <v>809</v>
      </c>
      <c r="G2407" s="26"/>
    </row>
    <row r="2408" spans="1:7" x14ac:dyDescent="0.25">
      <c r="A2408" s="204">
        <v>42886</v>
      </c>
      <c r="B2408" s="462" t="s">
        <v>1854</v>
      </c>
      <c r="C2408" s="463"/>
      <c r="D2408" s="71"/>
      <c r="E2408" s="58">
        <v>50000</v>
      </c>
      <c r="F2408" s="8">
        <f t="shared" si="37"/>
        <v>50809</v>
      </c>
      <c r="G2408" s="26"/>
    </row>
    <row r="2409" spans="1:7" x14ac:dyDescent="0.25">
      <c r="A2409" s="204">
        <v>42886</v>
      </c>
      <c r="B2409" s="462" t="s">
        <v>1862</v>
      </c>
      <c r="C2409" s="463"/>
      <c r="D2409" s="71"/>
      <c r="E2409" s="58">
        <v>50000</v>
      </c>
      <c r="F2409" s="8">
        <f t="shared" si="37"/>
        <v>100809</v>
      </c>
      <c r="G2409" s="26"/>
    </row>
    <row r="2410" spans="1:7" x14ac:dyDescent="0.25">
      <c r="A2410" s="204">
        <v>42886</v>
      </c>
      <c r="B2410" s="29" t="s">
        <v>446</v>
      </c>
      <c r="C2410" s="29" t="s">
        <v>1861</v>
      </c>
      <c r="D2410" s="14">
        <v>23460</v>
      </c>
      <c r="E2410" s="8"/>
      <c r="F2410" s="8">
        <f t="shared" si="37"/>
        <v>77349</v>
      </c>
      <c r="G2410" s="26"/>
    </row>
    <row r="2411" spans="1:7" x14ac:dyDescent="0.25">
      <c r="A2411" s="204">
        <v>42886</v>
      </c>
      <c r="B2411" s="29" t="s">
        <v>128</v>
      </c>
      <c r="C2411" s="29" t="s">
        <v>1872</v>
      </c>
      <c r="D2411" s="14">
        <v>3570</v>
      </c>
      <c r="E2411" s="8"/>
      <c r="F2411" s="8">
        <f t="shared" si="37"/>
        <v>73779</v>
      </c>
      <c r="G2411" s="26"/>
    </row>
    <row r="2412" spans="1:7" x14ac:dyDescent="0.25">
      <c r="A2412" s="204">
        <v>42886</v>
      </c>
      <c r="B2412" s="26" t="s">
        <v>446</v>
      </c>
      <c r="C2412" s="26" t="s">
        <v>1863</v>
      </c>
      <c r="D2412" s="8">
        <v>150</v>
      </c>
      <c r="E2412" s="8"/>
      <c r="F2412" s="8">
        <f t="shared" si="37"/>
        <v>73629</v>
      </c>
      <c r="G2412" s="26"/>
    </row>
    <row r="2413" spans="1:7" x14ac:dyDescent="0.25">
      <c r="A2413" s="204">
        <v>42886</v>
      </c>
      <c r="B2413" s="26" t="s">
        <v>1346</v>
      </c>
      <c r="C2413" s="26" t="s">
        <v>1864</v>
      </c>
      <c r="D2413" s="8">
        <v>7500</v>
      </c>
      <c r="E2413" s="8"/>
      <c r="F2413" s="8">
        <f t="shared" si="37"/>
        <v>66129</v>
      </c>
      <c r="G2413" s="26"/>
    </row>
    <row r="2414" spans="1:7" ht="30" x14ac:dyDescent="0.25">
      <c r="A2414" s="204">
        <v>42886</v>
      </c>
      <c r="B2414" s="26" t="s">
        <v>1865</v>
      </c>
      <c r="C2414" s="87" t="s">
        <v>1866</v>
      </c>
      <c r="D2414" s="8">
        <v>418</v>
      </c>
      <c r="E2414" s="8"/>
      <c r="F2414" s="8">
        <f t="shared" si="37"/>
        <v>65711</v>
      </c>
      <c r="G2414" s="26"/>
    </row>
    <row r="2415" spans="1:7" x14ac:dyDescent="0.25">
      <c r="A2415" s="204">
        <v>42886</v>
      </c>
      <c r="B2415" s="26" t="s">
        <v>446</v>
      </c>
      <c r="C2415" s="26" t="s">
        <v>1867</v>
      </c>
      <c r="D2415" s="8">
        <v>360</v>
      </c>
      <c r="E2415" s="8"/>
      <c r="F2415" s="8">
        <f t="shared" si="37"/>
        <v>65351</v>
      </c>
      <c r="G2415" s="26"/>
    </row>
    <row r="2416" spans="1:7" x14ac:dyDescent="0.25">
      <c r="A2416" s="204">
        <v>42886</v>
      </c>
      <c r="B2416" s="197" t="s">
        <v>1334</v>
      </c>
      <c r="C2416" s="197" t="s">
        <v>32</v>
      </c>
      <c r="D2416" s="75">
        <v>25000</v>
      </c>
      <c r="E2416" s="8"/>
      <c r="F2416" s="8">
        <f t="shared" si="37"/>
        <v>40351</v>
      </c>
      <c r="G2416" s="26"/>
    </row>
    <row r="2417" spans="1:7" x14ac:dyDescent="0.25">
      <c r="A2417" s="204">
        <v>42886</v>
      </c>
      <c r="B2417" s="26" t="s">
        <v>1346</v>
      </c>
      <c r="C2417" s="26" t="s">
        <v>1868</v>
      </c>
      <c r="D2417" s="8">
        <v>8500</v>
      </c>
      <c r="E2417" s="8"/>
      <c r="F2417" s="8">
        <f t="shared" si="37"/>
        <v>31851</v>
      </c>
      <c r="G2417" s="26"/>
    </row>
    <row r="2418" spans="1:7" x14ac:dyDescent="0.25">
      <c r="A2418" s="204">
        <v>42887</v>
      </c>
      <c r="B2418" s="218" t="s">
        <v>1334</v>
      </c>
      <c r="C2418" s="218" t="s">
        <v>1870</v>
      </c>
      <c r="D2418" s="97">
        <v>14300</v>
      </c>
      <c r="E2418" s="8"/>
      <c r="F2418" s="8">
        <f t="shared" si="37"/>
        <v>17551</v>
      </c>
      <c r="G2418" s="26"/>
    </row>
    <row r="2419" spans="1:7" x14ac:dyDescent="0.25">
      <c r="A2419" s="204">
        <v>42887</v>
      </c>
      <c r="B2419" s="26" t="s">
        <v>165</v>
      </c>
      <c r="C2419" s="26" t="s">
        <v>1871</v>
      </c>
      <c r="D2419" s="8">
        <v>9000</v>
      </c>
      <c r="E2419" s="8"/>
      <c r="F2419" s="8">
        <f t="shared" si="37"/>
        <v>8551</v>
      </c>
      <c r="G2419" s="26"/>
    </row>
    <row r="2420" spans="1:7" x14ac:dyDescent="0.25">
      <c r="A2420" s="204">
        <v>42887</v>
      </c>
      <c r="B2420" s="26" t="s">
        <v>1006</v>
      </c>
      <c r="C2420" s="26" t="s">
        <v>1873</v>
      </c>
      <c r="D2420" s="8">
        <v>890</v>
      </c>
      <c r="E2420" s="8"/>
      <c r="F2420" s="8">
        <f t="shared" si="37"/>
        <v>7661</v>
      </c>
      <c r="G2420" s="26"/>
    </row>
    <row r="2421" spans="1:7" x14ac:dyDescent="0.25">
      <c r="A2421" s="204">
        <v>42887</v>
      </c>
      <c r="B2421" s="26" t="s">
        <v>26</v>
      </c>
      <c r="C2421" s="26" t="s">
        <v>1875</v>
      </c>
      <c r="D2421" s="8">
        <v>2200</v>
      </c>
      <c r="E2421" s="8"/>
      <c r="F2421" s="8">
        <f t="shared" si="37"/>
        <v>5461</v>
      </c>
      <c r="G2421" s="26"/>
    </row>
    <row r="2422" spans="1:7" x14ac:dyDescent="0.25">
      <c r="A2422" s="204">
        <v>42887</v>
      </c>
      <c r="B2422" s="462" t="s">
        <v>1854</v>
      </c>
      <c r="C2422" s="463"/>
      <c r="D2422" s="71"/>
      <c r="E2422" s="58">
        <v>50000</v>
      </c>
      <c r="F2422" s="8">
        <f t="shared" si="37"/>
        <v>55461</v>
      </c>
      <c r="G2422" s="26"/>
    </row>
    <row r="2423" spans="1:7" x14ac:dyDescent="0.25">
      <c r="A2423" s="204">
        <v>42887</v>
      </c>
      <c r="B2423" s="26" t="s">
        <v>1876</v>
      </c>
      <c r="C2423" s="26" t="s">
        <v>1877</v>
      </c>
      <c r="D2423" s="8">
        <v>14000</v>
      </c>
      <c r="E2423" s="8"/>
      <c r="F2423" s="8">
        <f t="shared" si="37"/>
        <v>41461</v>
      </c>
      <c r="G2423" s="26"/>
    </row>
    <row r="2424" spans="1:7" x14ac:dyDescent="0.25">
      <c r="A2424" s="204">
        <v>42888</v>
      </c>
      <c r="B2424" s="26" t="s">
        <v>1878</v>
      </c>
      <c r="C2424" s="26" t="s">
        <v>1879</v>
      </c>
      <c r="D2424" s="8">
        <v>100</v>
      </c>
      <c r="E2424" s="8"/>
      <c r="F2424" s="8">
        <f t="shared" si="37"/>
        <v>41361</v>
      </c>
      <c r="G2424" s="26"/>
    </row>
    <row r="2425" spans="1:7" x14ac:dyDescent="0.25">
      <c r="A2425" s="204">
        <v>42888</v>
      </c>
      <c r="B2425" s="26" t="s">
        <v>11</v>
      </c>
      <c r="C2425" s="26" t="s">
        <v>32</v>
      </c>
      <c r="D2425" s="8">
        <v>500</v>
      </c>
      <c r="E2425" s="8"/>
      <c r="F2425" s="8">
        <f t="shared" si="37"/>
        <v>40861</v>
      </c>
      <c r="G2425" s="26"/>
    </row>
    <row r="2426" spans="1:7" x14ac:dyDescent="0.25">
      <c r="A2426" s="204">
        <v>42889</v>
      </c>
      <c r="B2426" s="462" t="s">
        <v>1880</v>
      </c>
      <c r="C2426" s="463"/>
      <c r="D2426" s="71"/>
      <c r="E2426" s="58">
        <v>6000</v>
      </c>
      <c r="F2426" s="8">
        <f t="shared" si="37"/>
        <v>46861</v>
      </c>
      <c r="G2426" s="26"/>
    </row>
    <row r="2427" spans="1:7" x14ac:dyDescent="0.25">
      <c r="A2427" s="204">
        <v>42889</v>
      </c>
      <c r="B2427" s="26" t="s">
        <v>19</v>
      </c>
      <c r="C2427" s="26" t="s">
        <v>32</v>
      </c>
      <c r="D2427" s="8">
        <v>1000</v>
      </c>
      <c r="E2427" s="8"/>
      <c r="F2427" s="8">
        <f t="shared" si="37"/>
        <v>45861</v>
      </c>
      <c r="G2427" s="26"/>
    </row>
    <row r="2428" spans="1:7" x14ac:dyDescent="0.25">
      <c r="A2428" s="204">
        <v>42889</v>
      </c>
      <c r="B2428" s="26" t="s">
        <v>105</v>
      </c>
      <c r="C2428" s="26" t="s">
        <v>32</v>
      </c>
      <c r="D2428" s="8">
        <v>1000</v>
      </c>
      <c r="E2428" s="8"/>
      <c r="F2428" s="8">
        <f t="shared" si="37"/>
        <v>44861</v>
      </c>
      <c r="G2428" s="26"/>
    </row>
    <row r="2429" spans="1:7" x14ac:dyDescent="0.25">
      <c r="A2429" s="204">
        <v>42889</v>
      </c>
      <c r="B2429" s="218" t="s">
        <v>48</v>
      </c>
      <c r="C2429" s="218" t="s">
        <v>32</v>
      </c>
      <c r="D2429" s="97">
        <v>500</v>
      </c>
      <c r="E2429" s="8"/>
      <c r="F2429" s="8">
        <f t="shared" si="37"/>
        <v>44361</v>
      </c>
      <c r="G2429" s="26"/>
    </row>
    <row r="2430" spans="1:7" x14ac:dyDescent="0.25">
      <c r="A2430" s="204">
        <v>42889</v>
      </c>
      <c r="B2430" s="26" t="s">
        <v>17</v>
      </c>
      <c r="C2430" s="26" t="s">
        <v>32</v>
      </c>
      <c r="D2430" s="8">
        <v>7000</v>
      </c>
      <c r="E2430" s="8"/>
      <c r="F2430" s="8">
        <f t="shared" si="37"/>
        <v>37361</v>
      </c>
      <c r="G2430" s="26"/>
    </row>
    <row r="2431" spans="1:7" x14ac:dyDescent="0.25">
      <c r="A2431" s="204">
        <v>42889</v>
      </c>
      <c r="B2431" s="26" t="s">
        <v>1196</v>
      </c>
      <c r="C2431" s="26" t="s">
        <v>1235</v>
      </c>
      <c r="D2431" s="8">
        <v>2400</v>
      </c>
      <c r="E2431" s="8"/>
      <c r="F2431" s="8">
        <f t="shared" si="37"/>
        <v>34961</v>
      </c>
      <c r="G2431" s="26"/>
    </row>
    <row r="2432" spans="1:7" x14ac:dyDescent="0.25">
      <c r="A2432" s="204">
        <v>42889</v>
      </c>
      <c r="B2432" s="26" t="s">
        <v>19</v>
      </c>
      <c r="C2432" s="26" t="s">
        <v>32</v>
      </c>
      <c r="D2432" s="8">
        <v>200</v>
      </c>
      <c r="E2432" s="8"/>
      <c r="F2432" s="8">
        <f t="shared" si="37"/>
        <v>34761</v>
      </c>
      <c r="G2432" s="26"/>
    </row>
    <row r="2433" spans="1:7" ht="30" x14ac:dyDescent="0.25">
      <c r="A2433" s="204">
        <v>42889</v>
      </c>
      <c r="B2433" s="26" t="s">
        <v>19</v>
      </c>
      <c r="C2433" s="87" t="s">
        <v>1881</v>
      </c>
      <c r="D2433" s="8">
        <v>500</v>
      </c>
      <c r="E2433" s="8"/>
      <c r="F2433" s="8">
        <f t="shared" si="37"/>
        <v>34261</v>
      </c>
      <c r="G2433" s="26"/>
    </row>
    <row r="2434" spans="1:7" x14ac:dyDescent="0.25">
      <c r="A2434" s="204">
        <v>42889</v>
      </c>
      <c r="B2434" s="26" t="s">
        <v>0</v>
      </c>
      <c r="C2434" s="26" t="s">
        <v>32</v>
      </c>
      <c r="D2434" s="8">
        <v>2000</v>
      </c>
      <c r="E2434" s="8"/>
      <c r="F2434" s="8">
        <f t="shared" si="37"/>
        <v>32261</v>
      </c>
      <c r="G2434" s="26"/>
    </row>
    <row r="2435" spans="1:7" x14ac:dyDescent="0.25">
      <c r="A2435" s="204">
        <v>42890</v>
      </c>
      <c r="B2435" s="218" t="s">
        <v>48</v>
      </c>
      <c r="C2435" s="218" t="s">
        <v>1882</v>
      </c>
      <c r="D2435" s="97">
        <v>680</v>
      </c>
      <c r="E2435" s="8"/>
      <c r="F2435" s="8">
        <f t="shared" ref="F2435:F2498" si="38">F2434-D2435+E2435</f>
        <v>31581</v>
      </c>
      <c r="G2435" s="26"/>
    </row>
    <row r="2436" spans="1:7" x14ac:dyDescent="0.25">
      <c r="A2436" s="204">
        <v>42890</v>
      </c>
      <c r="B2436" s="218" t="s">
        <v>59</v>
      </c>
      <c r="C2436" s="218" t="s">
        <v>32</v>
      </c>
      <c r="D2436" s="97">
        <v>500</v>
      </c>
      <c r="E2436" s="8"/>
      <c r="F2436" s="8">
        <f t="shared" si="38"/>
        <v>31081</v>
      </c>
      <c r="G2436" s="26"/>
    </row>
    <row r="2437" spans="1:7" x14ac:dyDescent="0.25">
      <c r="A2437" s="204">
        <v>42890</v>
      </c>
      <c r="B2437" s="26" t="s">
        <v>26</v>
      </c>
      <c r="C2437" s="26" t="s">
        <v>1885</v>
      </c>
      <c r="D2437" s="8">
        <v>2000</v>
      </c>
      <c r="E2437" s="8"/>
      <c r="F2437" s="8">
        <f t="shared" si="38"/>
        <v>29081</v>
      </c>
      <c r="G2437" s="26"/>
    </row>
    <row r="2438" spans="1:7" x14ac:dyDescent="0.25">
      <c r="A2438" s="204">
        <v>42890</v>
      </c>
      <c r="B2438" s="218" t="s">
        <v>48</v>
      </c>
      <c r="C2438" s="218" t="s">
        <v>1910</v>
      </c>
      <c r="D2438" s="97">
        <v>920</v>
      </c>
      <c r="E2438" s="8"/>
      <c r="F2438" s="8">
        <f t="shared" si="38"/>
        <v>28161</v>
      </c>
      <c r="G2438" s="26"/>
    </row>
    <row r="2439" spans="1:7" x14ac:dyDescent="0.25">
      <c r="A2439" s="204">
        <v>42890</v>
      </c>
      <c r="B2439" s="26" t="s">
        <v>94</v>
      </c>
      <c r="C2439" s="26" t="s">
        <v>1883</v>
      </c>
      <c r="D2439" s="8">
        <v>5000</v>
      </c>
      <c r="E2439" s="8"/>
      <c r="F2439" s="8">
        <f t="shared" si="38"/>
        <v>23161</v>
      </c>
      <c r="G2439" s="26"/>
    </row>
    <row r="2440" spans="1:7" x14ac:dyDescent="0.25">
      <c r="A2440" s="204">
        <v>42890</v>
      </c>
      <c r="B2440" s="26" t="s">
        <v>117</v>
      </c>
      <c r="C2440" s="26" t="s">
        <v>32</v>
      </c>
      <c r="D2440" s="8">
        <v>500</v>
      </c>
      <c r="E2440" s="8"/>
      <c r="F2440" s="8">
        <f t="shared" si="38"/>
        <v>22661</v>
      </c>
      <c r="G2440" s="26"/>
    </row>
    <row r="2441" spans="1:7" x14ac:dyDescent="0.25">
      <c r="A2441" s="204">
        <v>42890</v>
      </c>
      <c r="B2441" s="26" t="s">
        <v>28</v>
      </c>
      <c r="C2441" s="26" t="s">
        <v>32</v>
      </c>
      <c r="D2441" s="8">
        <v>2000</v>
      </c>
      <c r="E2441" s="8"/>
      <c r="F2441" s="8">
        <f t="shared" si="38"/>
        <v>20661</v>
      </c>
      <c r="G2441" s="26"/>
    </row>
    <row r="2442" spans="1:7" x14ac:dyDescent="0.25">
      <c r="A2442" s="204">
        <v>42892</v>
      </c>
      <c r="B2442" s="218" t="s">
        <v>48</v>
      </c>
      <c r="C2442" s="218" t="s">
        <v>1884</v>
      </c>
      <c r="D2442" s="97">
        <v>1000</v>
      </c>
      <c r="E2442" s="8"/>
      <c r="F2442" s="8">
        <f t="shared" si="38"/>
        <v>19661</v>
      </c>
      <c r="G2442" s="26"/>
    </row>
    <row r="2443" spans="1:7" x14ac:dyDescent="0.25">
      <c r="A2443" s="204">
        <v>42892</v>
      </c>
      <c r="B2443" s="26" t="s">
        <v>248</v>
      </c>
      <c r="C2443" s="26" t="s">
        <v>32</v>
      </c>
      <c r="D2443" s="8">
        <v>1000</v>
      </c>
      <c r="E2443" s="8"/>
      <c r="F2443" s="8">
        <f t="shared" si="38"/>
        <v>18661</v>
      </c>
      <c r="G2443" s="26"/>
    </row>
    <row r="2444" spans="1:7" x14ac:dyDescent="0.25">
      <c r="A2444" s="204">
        <v>42892</v>
      </c>
      <c r="B2444" s="26" t="s">
        <v>26</v>
      </c>
      <c r="C2444" s="26" t="s">
        <v>1886</v>
      </c>
      <c r="D2444" s="8">
        <v>260</v>
      </c>
      <c r="E2444" s="8"/>
      <c r="F2444" s="8">
        <f t="shared" si="38"/>
        <v>18401</v>
      </c>
      <c r="G2444" s="26"/>
    </row>
    <row r="2445" spans="1:7" x14ac:dyDescent="0.25">
      <c r="A2445" s="204">
        <v>42892</v>
      </c>
      <c r="B2445" s="26" t="s">
        <v>26</v>
      </c>
      <c r="C2445" s="26" t="s">
        <v>1887</v>
      </c>
      <c r="D2445" s="8">
        <v>2400</v>
      </c>
      <c r="E2445" s="8"/>
      <c r="F2445" s="8">
        <f t="shared" si="38"/>
        <v>16001</v>
      </c>
      <c r="G2445" s="26"/>
    </row>
    <row r="2446" spans="1:7" ht="30" x14ac:dyDescent="0.25">
      <c r="A2446" s="204">
        <v>42892</v>
      </c>
      <c r="B2446" s="26" t="s">
        <v>26</v>
      </c>
      <c r="C2446" s="87" t="s">
        <v>1892</v>
      </c>
      <c r="D2446" s="8">
        <v>520</v>
      </c>
      <c r="E2446" s="8"/>
      <c r="F2446" s="8">
        <f t="shared" si="38"/>
        <v>15481</v>
      </c>
      <c r="G2446" s="26"/>
    </row>
    <row r="2447" spans="1:7" x14ac:dyDescent="0.25">
      <c r="A2447" s="204">
        <v>42892</v>
      </c>
      <c r="B2447" s="26" t="s">
        <v>1840</v>
      </c>
      <c r="C2447" s="26" t="s">
        <v>1627</v>
      </c>
      <c r="D2447" s="8">
        <v>100</v>
      </c>
      <c r="E2447" s="8"/>
      <c r="F2447" s="8">
        <f t="shared" si="38"/>
        <v>15381</v>
      </c>
      <c r="G2447" s="26"/>
    </row>
    <row r="2448" spans="1:7" x14ac:dyDescent="0.25">
      <c r="A2448" s="204">
        <v>42892</v>
      </c>
      <c r="B2448" s="26" t="s">
        <v>11</v>
      </c>
      <c r="C2448" s="26" t="s">
        <v>32</v>
      </c>
      <c r="D2448" s="8">
        <v>2000</v>
      </c>
      <c r="E2448" s="8"/>
      <c r="F2448" s="8">
        <f t="shared" si="38"/>
        <v>13381</v>
      </c>
      <c r="G2448" s="26"/>
    </row>
    <row r="2449" spans="1:10" x14ac:dyDescent="0.25">
      <c r="A2449" s="204">
        <v>42892</v>
      </c>
      <c r="B2449" s="26" t="s">
        <v>182</v>
      </c>
      <c r="C2449" s="26" t="s">
        <v>32</v>
      </c>
      <c r="D2449" s="8">
        <v>5000</v>
      </c>
      <c r="E2449" s="8"/>
      <c r="F2449" s="8">
        <f t="shared" si="38"/>
        <v>8381</v>
      </c>
      <c r="G2449" s="26"/>
    </row>
    <row r="2450" spans="1:10" x14ac:dyDescent="0.25">
      <c r="A2450" s="204">
        <v>42892</v>
      </c>
      <c r="B2450" s="26" t="s">
        <v>59</v>
      </c>
      <c r="C2450" s="26" t="s">
        <v>1890</v>
      </c>
      <c r="D2450" s="8">
        <v>3400</v>
      </c>
      <c r="E2450" s="8"/>
      <c r="F2450" s="8">
        <f t="shared" si="38"/>
        <v>4981</v>
      </c>
      <c r="G2450" s="26"/>
    </row>
    <row r="2451" spans="1:10" s="20" customFormat="1" x14ac:dyDescent="0.25">
      <c r="A2451" s="204">
        <v>42892</v>
      </c>
      <c r="B2451" s="462" t="s">
        <v>1902</v>
      </c>
      <c r="C2451" s="463"/>
      <c r="D2451" s="71"/>
      <c r="E2451" s="58">
        <v>27500</v>
      </c>
      <c r="F2451" s="8">
        <f t="shared" si="38"/>
        <v>32481</v>
      </c>
      <c r="G2451" s="29"/>
      <c r="H2451" s="24"/>
      <c r="I2451" s="24"/>
      <c r="J2451" s="24"/>
    </row>
    <row r="2452" spans="1:10" s="20" customFormat="1" x14ac:dyDescent="0.25">
      <c r="A2452" s="204">
        <v>42892</v>
      </c>
      <c r="B2452" s="462" t="s">
        <v>1903</v>
      </c>
      <c r="C2452" s="463"/>
      <c r="D2452" s="71"/>
      <c r="E2452" s="58">
        <v>75849</v>
      </c>
      <c r="F2452" s="8">
        <f t="shared" si="38"/>
        <v>108330</v>
      </c>
      <c r="G2452" s="29"/>
      <c r="H2452" s="24"/>
      <c r="I2452" s="24"/>
      <c r="J2452" s="24"/>
    </row>
    <row r="2453" spans="1:10" x14ac:dyDescent="0.25">
      <c r="A2453" s="204">
        <v>42892</v>
      </c>
      <c r="B2453" s="218" t="s">
        <v>85</v>
      </c>
      <c r="C2453" s="218" t="s">
        <v>1893</v>
      </c>
      <c r="D2453" s="97">
        <v>6300</v>
      </c>
      <c r="E2453" s="8"/>
      <c r="F2453" s="8">
        <f t="shared" si="38"/>
        <v>102030</v>
      </c>
      <c r="G2453" s="26"/>
    </row>
    <row r="2454" spans="1:10" x14ac:dyDescent="0.25">
      <c r="A2454" s="204">
        <v>42892</v>
      </c>
      <c r="B2454" s="218" t="s">
        <v>85</v>
      </c>
      <c r="C2454" s="218" t="s">
        <v>1894</v>
      </c>
      <c r="D2454" s="97">
        <v>200</v>
      </c>
      <c r="E2454" s="8"/>
      <c r="F2454" s="8">
        <f t="shared" si="38"/>
        <v>101830</v>
      </c>
      <c r="G2454" s="26"/>
    </row>
    <row r="2455" spans="1:10" x14ac:dyDescent="0.25">
      <c r="A2455" s="204">
        <v>42892</v>
      </c>
      <c r="B2455" s="218" t="s">
        <v>85</v>
      </c>
      <c r="C2455" s="218" t="s">
        <v>1896</v>
      </c>
      <c r="D2455" s="97">
        <v>400</v>
      </c>
      <c r="E2455" s="8"/>
      <c r="F2455" s="8">
        <f t="shared" si="38"/>
        <v>101430</v>
      </c>
      <c r="G2455" s="26"/>
    </row>
    <row r="2456" spans="1:10" x14ac:dyDescent="0.25">
      <c r="A2456" s="204">
        <v>42892</v>
      </c>
      <c r="B2456" s="218" t="s">
        <v>446</v>
      </c>
      <c r="C2456" s="218" t="s">
        <v>32</v>
      </c>
      <c r="D2456" s="97">
        <v>50</v>
      </c>
      <c r="E2456" s="8"/>
      <c r="F2456" s="8">
        <f t="shared" si="38"/>
        <v>101380</v>
      </c>
      <c r="G2456" s="26"/>
    </row>
    <row r="2457" spans="1:10" s="20" customFormat="1" x14ac:dyDescent="0.25">
      <c r="A2457" s="204">
        <v>42892</v>
      </c>
      <c r="B2457" s="29" t="s">
        <v>26</v>
      </c>
      <c r="C2457" s="29" t="s">
        <v>1897</v>
      </c>
      <c r="D2457" s="14">
        <v>80</v>
      </c>
      <c r="E2457" s="14"/>
      <c r="F2457" s="8">
        <f t="shared" si="38"/>
        <v>101300</v>
      </c>
      <c r="G2457" s="29"/>
      <c r="H2457" s="24"/>
      <c r="I2457" s="24"/>
      <c r="J2457" s="24"/>
    </row>
    <row r="2458" spans="1:10" x14ac:dyDescent="0.25">
      <c r="A2458" s="204">
        <v>42893</v>
      </c>
      <c r="B2458" s="26" t="s">
        <v>19</v>
      </c>
      <c r="C2458" s="26" t="s">
        <v>1891</v>
      </c>
      <c r="D2458" s="8">
        <v>2000</v>
      </c>
      <c r="E2458" s="8"/>
      <c r="F2458" s="8">
        <f t="shared" si="38"/>
        <v>99300</v>
      </c>
      <c r="G2458" s="26"/>
    </row>
    <row r="2459" spans="1:10" ht="30" x14ac:dyDescent="0.25">
      <c r="A2459" s="204">
        <v>42893</v>
      </c>
      <c r="B2459" s="26" t="s">
        <v>59</v>
      </c>
      <c r="C2459" s="87" t="s">
        <v>1895</v>
      </c>
      <c r="D2459" s="8">
        <v>1070</v>
      </c>
      <c r="E2459" s="8"/>
      <c r="F2459" s="8">
        <f t="shared" si="38"/>
        <v>98230</v>
      </c>
      <c r="G2459" s="26"/>
    </row>
    <row r="2460" spans="1:10" x14ac:dyDescent="0.25">
      <c r="A2460" s="204">
        <v>42893</v>
      </c>
      <c r="B2460" s="197" t="s">
        <v>1346</v>
      </c>
      <c r="C2460" s="197" t="s">
        <v>32</v>
      </c>
      <c r="D2460" s="75">
        <v>500</v>
      </c>
      <c r="E2460" s="8"/>
      <c r="F2460" s="8">
        <f t="shared" si="38"/>
        <v>97730</v>
      </c>
      <c r="G2460" s="26"/>
    </row>
    <row r="2461" spans="1:10" x14ac:dyDescent="0.25">
      <c r="A2461" s="204">
        <v>42893</v>
      </c>
      <c r="B2461" s="26" t="s">
        <v>28</v>
      </c>
      <c r="C2461" s="26" t="s">
        <v>32</v>
      </c>
      <c r="D2461" s="8">
        <v>3000</v>
      </c>
      <c r="E2461" s="8"/>
      <c r="F2461" s="8">
        <f t="shared" si="38"/>
        <v>94730</v>
      </c>
      <c r="G2461" s="26"/>
    </row>
    <row r="2462" spans="1:10" x14ac:dyDescent="0.25">
      <c r="A2462" s="204">
        <v>42893</v>
      </c>
      <c r="B2462" s="26" t="s">
        <v>128</v>
      </c>
      <c r="C2462" s="26" t="s">
        <v>1899</v>
      </c>
      <c r="D2462" s="8">
        <v>22000</v>
      </c>
      <c r="E2462" s="8"/>
      <c r="F2462" s="8">
        <f t="shared" si="38"/>
        <v>72730</v>
      </c>
      <c r="G2462" s="26"/>
    </row>
    <row r="2463" spans="1:10" x14ac:dyDescent="0.25">
      <c r="A2463" s="204">
        <v>42893</v>
      </c>
      <c r="B2463" s="26" t="s">
        <v>1840</v>
      </c>
      <c r="C2463" s="26" t="s">
        <v>1898</v>
      </c>
      <c r="D2463" s="8">
        <v>100</v>
      </c>
      <c r="E2463" s="8"/>
      <c r="F2463" s="8">
        <f t="shared" si="38"/>
        <v>72630</v>
      </c>
      <c r="G2463" s="26"/>
    </row>
    <row r="2464" spans="1:10" x14ac:dyDescent="0.25">
      <c r="A2464" s="204">
        <v>42893</v>
      </c>
      <c r="B2464" s="26" t="s">
        <v>26</v>
      </c>
      <c r="C2464" s="26" t="s">
        <v>1900</v>
      </c>
      <c r="D2464" s="8">
        <v>10000</v>
      </c>
      <c r="E2464" s="8"/>
      <c r="F2464" s="8">
        <f t="shared" si="38"/>
        <v>62630</v>
      </c>
      <c r="G2464" s="26"/>
    </row>
    <row r="2465" spans="1:7" x14ac:dyDescent="0.25">
      <c r="A2465" s="204">
        <v>42893</v>
      </c>
      <c r="B2465" s="26" t="s">
        <v>182</v>
      </c>
      <c r="C2465" s="26" t="s">
        <v>32</v>
      </c>
      <c r="D2465" s="8">
        <v>10000</v>
      </c>
      <c r="E2465" s="8"/>
      <c r="F2465" s="8">
        <f t="shared" si="38"/>
        <v>52630</v>
      </c>
      <c r="G2465" s="26"/>
    </row>
    <row r="2466" spans="1:7" x14ac:dyDescent="0.25">
      <c r="A2466" s="204">
        <v>42893</v>
      </c>
      <c r="B2466" s="218" t="s">
        <v>85</v>
      </c>
      <c r="C2466" s="218" t="s">
        <v>1901</v>
      </c>
      <c r="D2466" s="97">
        <v>3000</v>
      </c>
      <c r="E2466" s="8"/>
      <c r="F2466" s="8">
        <f t="shared" si="38"/>
        <v>49630</v>
      </c>
      <c r="G2466" s="26"/>
    </row>
    <row r="2467" spans="1:7" x14ac:dyDescent="0.25">
      <c r="A2467" s="204">
        <v>42894</v>
      </c>
      <c r="B2467" s="26" t="s">
        <v>1675</v>
      </c>
      <c r="C2467" s="26" t="s">
        <v>1904</v>
      </c>
      <c r="D2467" s="8">
        <v>10000</v>
      </c>
      <c r="E2467" s="8"/>
      <c r="F2467" s="8">
        <f t="shared" si="38"/>
        <v>39630</v>
      </c>
      <c r="G2467" s="26"/>
    </row>
    <row r="2468" spans="1:7" x14ac:dyDescent="0.25">
      <c r="A2468" s="204">
        <v>42894</v>
      </c>
      <c r="B2468" s="26" t="s">
        <v>1196</v>
      </c>
      <c r="C2468" s="26" t="s">
        <v>1905</v>
      </c>
      <c r="D2468" s="8">
        <v>560</v>
      </c>
      <c r="E2468" s="8"/>
      <c r="F2468" s="8">
        <f t="shared" si="38"/>
        <v>39070</v>
      </c>
      <c r="G2468" s="26"/>
    </row>
    <row r="2469" spans="1:7" x14ac:dyDescent="0.25">
      <c r="A2469" s="204">
        <v>42894</v>
      </c>
      <c r="B2469" s="26" t="s">
        <v>85</v>
      </c>
      <c r="C2469" s="26" t="s">
        <v>1978</v>
      </c>
      <c r="D2469" s="8">
        <v>5000</v>
      </c>
      <c r="E2469" s="8"/>
      <c r="F2469" s="8">
        <f t="shared" si="38"/>
        <v>34070</v>
      </c>
      <c r="G2469" s="26"/>
    </row>
    <row r="2470" spans="1:7" x14ac:dyDescent="0.25">
      <c r="A2470" s="204">
        <v>42894</v>
      </c>
      <c r="B2470" s="26" t="s">
        <v>55</v>
      </c>
      <c r="C2470" s="26" t="s">
        <v>1907</v>
      </c>
      <c r="D2470" s="8">
        <v>1500</v>
      </c>
      <c r="E2470" s="8"/>
      <c r="F2470" s="8">
        <f t="shared" si="38"/>
        <v>32570</v>
      </c>
      <c r="G2470" s="26"/>
    </row>
    <row r="2471" spans="1:7" x14ac:dyDescent="0.25">
      <c r="A2471" s="204">
        <v>42894</v>
      </c>
      <c r="B2471" s="26" t="s">
        <v>0</v>
      </c>
      <c r="C2471" s="26" t="s">
        <v>1908</v>
      </c>
      <c r="D2471" s="8">
        <v>5000</v>
      </c>
      <c r="E2471" s="8"/>
      <c r="F2471" s="8">
        <f t="shared" si="38"/>
        <v>27570</v>
      </c>
      <c r="G2471" s="26"/>
    </row>
    <row r="2472" spans="1:7" x14ac:dyDescent="0.25">
      <c r="A2472" s="204">
        <v>42895</v>
      </c>
      <c r="B2472" s="26" t="s">
        <v>57</v>
      </c>
      <c r="C2472" s="26" t="s">
        <v>1909</v>
      </c>
      <c r="D2472" s="8">
        <v>2250</v>
      </c>
      <c r="E2472" s="8"/>
      <c r="F2472" s="8">
        <f t="shared" si="38"/>
        <v>25320</v>
      </c>
      <c r="G2472" s="26"/>
    </row>
    <row r="2473" spans="1:7" x14ac:dyDescent="0.25">
      <c r="A2473" s="204">
        <v>42895</v>
      </c>
      <c r="B2473" s="26" t="s">
        <v>17</v>
      </c>
      <c r="C2473" s="26" t="s">
        <v>32</v>
      </c>
      <c r="D2473" s="8">
        <v>8500</v>
      </c>
      <c r="E2473" s="8"/>
      <c r="F2473" s="8">
        <f t="shared" si="38"/>
        <v>16820</v>
      </c>
      <c r="G2473" s="26"/>
    </row>
    <row r="2474" spans="1:7" x14ac:dyDescent="0.25">
      <c r="A2474" s="204">
        <v>42895</v>
      </c>
      <c r="B2474" s="26" t="s">
        <v>85</v>
      </c>
      <c r="C2474" s="26" t="s">
        <v>1968</v>
      </c>
      <c r="D2474" s="8">
        <v>3000</v>
      </c>
      <c r="E2474" s="8"/>
      <c r="F2474" s="8">
        <f t="shared" si="38"/>
        <v>13820</v>
      </c>
      <c r="G2474" s="26"/>
    </row>
    <row r="2475" spans="1:7" x14ac:dyDescent="0.25">
      <c r="A2475" s="204">
        <v>42895</v>
      </c>
      <c r="B2475" s="460" t="s">
        <v>1862</v>
      </c>
      <c r="C2475" s="460"/>
      <c r="D2475" s="71"/>
      <c r="E2475" s="58">
        <v>50000</v>
      </c>
      <c r="F2475" s="8">
        <f t="shared" si="38"/>
        <v>63820</v>
      </c>
      <c r="G2475" s="26"/>
    </row>
    <row r="2476" spans="1:7" x14ac:dyDescent="0.25">
      <c r="A2476" s="204">
        <v>42895</v>
      </c>
      <c r="B2476" s="29" t="s">
        <v>59</v>
      </c>
      <c r="C2476" s="29" t="s">
        <v>1919</v>
      </c>
      <c r="D2476" s="14">
        <v>15200</v>
      </c>
      <c r="E2476" s="8"/>
      <c r="F2476" s="8">
        <f t="shared" si="38"/>
        <v>48620</v>
      </c>
      <c r="G2476" s="26"/>
    </row>
    <row r="2477" spans="1:7" x14ac:dyDescent="0.25">
      <c r="A2477" s="204">
        <v>42895</v>
      </c>
      <c r="B2477" s="29" t="s">
        <v>59</v>
      </c>
      <c r="C2477" s="29" t="s">
        <v>1920</v>
      </c>
      <c r="D2477" s="14">
        <v>3800</v>
      </c>
      <c r="E2477" s="8"/>
      <c r="F2477" s="8">
        <f t="shared" si="38"/>
        <v>44820</v>
      </c>
      <c r="G2477" s="26"/>
    </row>
    <row r="2478" spans="1:7" x14ac:dyDescent="0.25">
      <c r="A2478" s="204">
        <v>42895</v>
      </c>
      <c r="B2478" s="26" t="s">
        <v>10</v>
      </c>
      <c r="C2478" s="26" t="s">
        <v>1911</v>
      </c>
      <c r="D2478" s="8">
        <v>2000</v>
      </c>
      <c r="E2478" s="8"/>
      <c r="F2478" s="8">
        <f t="shared" si="38"/>
        <v>42820</v>
      </c>
      <c r="G2478" s="26"/>
    </row>
    <row r="2479" spans="1:7" x14ac:dyDescent="0.25">
      <c r="A2479" s="204">
        <v>42896</v>
      </c>
      <c r="B2479" s="26" t="s">
        <v>48</v>
      </c>
      <c r="C2479" s="26" t="s">
        <v>1912</v>
      </c>
      <c r="D2479" s="8">
        <v>300</v>
      </c>
      <c r="E2479" s="8"/>
      <c r="F2479" s="8">
        <f t="shared" si="38"/>
        <v>42520</v>
      </c>
      <c r="G2479" s="26"/>
    </row>
    <row r="2480" spans="1:7" x14ac:dyDescent="0.25">
      <c r="A2480" s="204">
        <v>42896</v>
      </c>
      <c r="B2480" s="26" t="s">
        <v>28</v>
      </c>
      <c r="C2480" s="26" t="s">
        <v>32</v>
      </c>
      <c r="D2480" s="8">
        <v>2000</v>
      </c>
      <c r="E2480" s="8"/>
      <c r="F2480" s="8">
        <f t="shared" si="38"/>
        <v>40520</v>
      </c>
      <c r="G2480" s="26"/>
    </row>
    <row r="2481" spans="1:7" x14ac:dyDescent="0.25">
      <c r="A2481" s="204">
        <v>42896</v>
      </c>
      <c r="B2481" s="26" t="s">
        <v>59</v>
      </c>
      <c r="C2481" s="26" t="s">
        <v>1921</v>
      </c>
      <c r="D2481" s="8">
        <v>500</v>
      </c>
      <c r="E2481" s="8"/>
      <c r="F2481" s="8">
        <f t="shared" si="38"/>
        <v>40020</v>
      </c>
      <c r="G2481" s="26"/>
    </row>
    <row r="2482" spans="1:7" x14ac:dyDescent="0.25">
      <c r="A2482" s="204">
        <v>42898</v>
      </c>
      <c r="B2482" s="26" t="s">
        <v>26</v>
      </c>
      <c r="C2482" s="26" t="s">
        <v>1913</v>
      </c>
      <c r="D2482" s="8">
        <v>100</v>
      </c>
      <c r="E2482" s="8"/>
      <c r="F2482" s="8">
        <f t="shared" si="38"/>
        <v>39920</v>
      </c>
      <c r="G2482" s="26"/>
    </row>
    <row r="2483" spans="1:7" x14ac:dyDescent="0.25">
      <c r="A2483" s="204">
        <v>42898</v>
      </c>
      <c r="B2483" s="26" t="s">
        <v>446</v>
      </c>
      <c r="C2483" s="26" t="s">
        <v>1914</v>
      </c>
      <c r="D2483" s="8">
        <v>1000</v>
      </c>
      <c r="E2483" s="8"/>
      <c r="F2483" s="8">
        <f t="shared" si="38"/>
        <v>38920</v>
      </c>
      <c r="G2483" s="26"/>
    </row>
    <row r="2484" spans="1:7" x14ac:dyDescent="0.25">
      <c r="A2484" s="204">
        <v>42898</v>
      </c>
      <c r="B2484" s="26" t="s">
        <v>59</v>
      </c>
      <c r="C2484" s="26" t="s">
        <v>1922</v>
      </c>
      <c r="D2484" s="8">
        <v>440</v>
      </c>
      <c r="E2484" s="8"/>
      <c r="F2484" s="8">
        <f t="shared" si="38"/>
        <v>38480</v>
      </c>
      <c r="G2484" s="26"/>
    </row>
    <row r="2485" spans="1:7" x14ac:dyDescent="0.25">
      <c r="A2485" s="204">
        <v>42898</v>
      </c>
      <c r="B2485" s="26" t="s">
        <v>28</v>
      </c>
      <c r="C2485" s="26" t="s">
        <v>32</v>
      </c>
      <c r="D2485" s="8">
        <v>1500</v>
      </c>
      <c r="E2485" s="8"/>
      <c r="F2485" s="8">
        <f t="shared" si="38"/>
        <v>36980</v>
      </c>
      <c r="G2485" s="26"/>
    </row>
    <row r="2486" spans="1:7" x14ac:dyDescent="0.25">
      <c r="A2486" s="204">
        <v>42898</v>
      </c>
      <c r="B2486" s="26" t="s">
        <v>26</v>
      </c>
      <c r="C2486" s="26" t="s">
        <v>1915</v>
      </c>
      <c r="D2486" s="8">
        <v>100</v>
      </c>
      <c r="E2486" s="8"/>
      <c r="F2486" s="8">
        <f t="shared" si="38"/>
        <v>36880</v>
      </c>
      <c r="G2486" s="26"/>
    </row>
    <row r="2487" spans="1:7" x14ac:dyDescent="0.25">
      <c r="A2487" s="204">
        <v>42898</v>
      </c>
      <c r="B2487" s="26" t="s">
        <v>59</v>
      </c>
      <c r="C2487" s="26" t="s">
        <v>1916</v>
      </c>
      <c r="D2487" s="8">
        <v>5000</v>
      </c>
      <c r="E2487" s="8"/>
      <c r="F2487" s="8">
        <f t="shared" si="38"/>
        <v>31880</v>
      </c>
      <c r="G2487" s="26"/>
    </row>
    <row r="2488" spans="1:7" x14ac:dyDescent="0.25">
      <c r="A2488" s="204">
        <v>42898</v>
      </c>
      <c r="B2488" s="26" t="s">
        <v>1917</v>
      </c>
      <c r="C2488" s="26" t="s">
        <v>1918</v>
      </c>
      <c r="D2488" s="8">
        <v>200</v>
      </c>
      <c r="E2488" s="8"/>
      <c r="F2488" s="8">
        <f t="shared" si="38"/>
        <v>31680</v>
      </c>
      <c r="G2488" s="26"/>
    </row>
    <row r="2489" spans="1:7" x14ac:dyDescent="0.25">
      <c r="A2489" s="204">
        <v>42898</v>
      </c>
      <c r="B2489" s="26" t="s">
        <v>59</v>
      </c>
      <c r="C2489" s="26" t="s">
        <v>1923</v>
      </c>
      <c r="D2489" s="8">
        <v>1200</v>
      </c>
      <c r="E2489" s="8"/>
      <c r="F2489" s="8">
        <f t="shared" si="38"/>
        <v>30480</v>
      </c>
      <c r="G2489" s="26"/>
    </row>
    <row r="2490" spans="1:7" x14ac:dyDescent="0.25">
      <c r="A2490" s="204">
        <v>42898</v>
      </c>
      <c r="B2490" s="26" t="s">
        <v>26</v>
      </c>
      <c r="C2490" s="26" t="s">
        <v>1924</v>
      </c>
      <c r="D2490" s="8">
        <v>100</v>
      </c>
      <c r="E2490" s="8"/>
      <c r="F2490" s="8">
        <f t="shared" si="38"/>
        <v>30380</v>
      </c>
      <c r="G2490" s="26"/>
    </row>
    <row r="2491" spans="1:7" x14ac:dyDescent="0.25">
      <c r="A2491" s="204">
        <v>42898</v>
      </c>
      <c r="B2491" s="26" t="s">
        <v>26</v>
      </c>
      <c r="C2491" s="26" t="s">
        <v>1336</v>
      </c>
      <c r="D2491" s="8">
        <v>100</v>
      </c>
      <c r="E2491" s="8"/>
      <c r="F2491" s="8">
        <f t="shared" si="38"/>
        <v>30280</v>
      </c>
      <c r="G2491" s="26"/>
    </row>
    <row r="2492" spans="1:7" x14ac:dyDescent="0.25">
      <c r="A2492" s="204">
        <v>42899</v>
      </c>
      <c r="B2492" s="29" t="s">
        <v>59</v>
      </c>
      <c r="C2492" s="29" t="s">
        <v>1946</v>
      </c>
      <c r="D2492" s="14">
        <v>19780</v>
      </c>
      <c r="E2492" s="14"/>
      <c r="F2492" s="8">
        <f t="shared" si="38"/>
        <v>10500</v>
      </c>
      <c r="G2492" s="26"/>
    </row>
    <row r="2493" spans="1:7" x14ac:dyDescent="0.25">
      <c r="A2493" s="204">
        <v>42899</v>
      </c>
      <c r="B2493" s="26" t="s">
        <v>248</v>
      </c>
      <c r="C2493" s="26" t="s">
        <v>1931</v>
      </c>
      <c r="D2493" s="8">
        <v>1000</v>
      </c>
      <c r="E2493" s="8"/>
      <c r="F2493" s="8">
        <f t="shared" si="38"/>
        <v>9500</v>
      </c>
      <c r="G2493" s="26"/>
    </row>
    <row r="2494" spans="1:7" x14ac:dyDescent="0.25">
      <c r="A2494" s="204">
        <v>42899</v>
      </c>
      <c r="B2494" s="26" t="s">
        <v>248</v>
      </c>
      <c r="C2494" s="26" t="s">
        <v>1932</v>
      </c>
      <c r="D2494" s="8">
        <v>1000</v>
      </c>
      <c r="E2494" s="8"/>
      <c r="F2494" s="8">
        <f t="shared" si="38"/>
        <v>8500</v>
      </c>
      <c r="G2494" s="26"/>
    </row>
    <row r="2495" spans="1:7" x14ac:dyDescent="0.25">
      <c r="A2495" s="204">
        <v>42899</v>
      </c>
      <c r="B2495" s="460" t="s">
        <v>1929</v>
      </c>
      <c r="C2495" s="460"/>
      <c r="D2495" s="71"/>
      <c r="E2495" s="58">
        <v>50000</v>
      </c>
      <c r="F2495" s="8">
        <f t="shared" si="38"/>
        <v>58500</v>
      </c>
      <c r="G2495" s="26"/>
    </row>
    <row r="2496" spans="1:7" x14ac:dyDescent="0.25">
      <c r="A2496" s="204">
        <v>42899</v>
      </c>
      <c r="B2496" s="29" t="s">
        <v>28</v>
      </c>
      <c r="C2496" s="29" t="s">
        <v>1925</v>
      </c>
      <c r="D2496" s="14">
        <v>25500</v>
      </c>
      <c r="E2496" s="8"/>
      <c r="F2496" s="8">
        <f t="shared" si="38"/>
        <v>33000</v>
      </c>
      <c r="G2496" s="26"/>
    </row>
    <row r="2497" spans="1:7" x14ac:dyDescent="0.25">
      <c r="A2497" s="204">
        <v>42899</v>
      </c>
      <c r="B2497" s="26" t="s">
        <v>1334</v>
      </c>
      <c r="C2497" s="26" t="s">
        <v>32</v>
      </c>
      <c r="D2497" s="8">
        <v>200</v>
      </c>
      <c r="E2497" s="8"/>
      <c r="F2497" s="8">
        <f t="shared" si="38"/>
        <v>32800</v>
      </c>
      <c r="G2497" s="26"/>
    </row>
    <row r="2498" spans="1:7" x14ac:dyDescent="0.25">
      <c r="A2498" s="204">
        <v>42899</v>
      </c>
      <c r="B2498" s="26" t="s">
        <v>248</v>
      </c>
      <c r="C2498" s="26" t="s">
        <v>1627</v>
      </c>
      <c r="D2498" s="8">
        <v>50</v>
      </c>
      <c r="E2498" s="8"/>
      <c r="F2498" s="8">
        <f t="shared" si="38"/>
        <v>32750</v>
      </c>
      <c r="G2498" s="26"/>
    </row>
    <row r="2499" spans="1:7" x14ac:dyDescent="0.25">
      <c r="A2499" s="204">
        <v>42899</v>
      </c>
      <c r="B2499" s="26" t="s">
        <v>17</v>
      </c>
      <c r="C2499" s="26" t="s">
        <v>1926</v>
      </c>
      <c r="D2499" s="8">
        <v>500</v>
      </c>
      <c r="E2499" s="8"/>
      <c r="F2499" s="8">
        <f t="shared" ref="F2499:F2562" si="39">F2498-D2499+E2499</f>
        <v>32250</v>
      </c>
      <c r="G2499" s="26"/>
    </row>
    <row r="2500" spans="1:7" x14ac:dyDescent="0.25">
      <c r="A2500" s="204">
        <v>42899</v>
      </c>
      <c r="B2500" s="26" t="s">
        <v>128</v>
      </c>
      <c r="C2500" s="26" t="s">
        <v>1927</v>
      </c>
      <c r="D2500" s="8">
        <v>2000</v>
      </c>
      <c r="E2500" s="8"/>
      <c r="F2500" s="8">
        <f t="shared" si="39"/>
        <v>30250</v>
      </c>
      <c r="G2500" s="26"/>
    </row>
    <row r="2501" spans="1:7" x14ac:dyDescent="0.25">
      <c r="A2501" s="204">
        <v>42900</v>
      </c>
      <c r="B2501" s="26" t="s">
        <v>4</v>
      </c>
      <c r="C2501" s="26" t="s">
        <v>1928</v>
      </c>
      <c r="D2501" s="8">
        <v>1000</v>
      </c>
      <c r="E2501" s="8"/>
      <c r="F2501" s="8">
        <f t="shared" si="39"/>
        <v>29250</v>
      </c>
      <c r="G2501" s="26"/>
    </row>
    <row r="2502" spans="1:7" x14ac:dyDescent="0.25">
      <c r="A2502" s="204">
        <v>42900</v>
      </c>
      <c r="B2502" s="197" t="s">
        <v>1346</v>
      </c>
      <c r="C2502" s="197" t="s">
        <v>32</v>
      </c>
      <c r="D2502" s="75">
        <v>10000</v>
      </c>
      <c r="E2502" s="8"/>
      <c r="F2502" s="8">
        <f t="shared" si="39"/>
        <v>19250</v>
      </c>
      <c r="G2502" s="26"/>
    </row>
    <row r="2503" spans="1:7" x14ac:dyDescent="0.25">
      <c r="A2503" s="204">
        <v>42900</v>
      </c>
      <c r="B2503" s="26" t="s">
        <v>117</v>
      </c>
      <c r="C2503" s="26" t="s">
        <v>32</v>
      </c>
      <c r="D2503" s="8">
        <v>500</v>
      </c>
      <c r="E2503" s="8"/>
      <c r="F2503" s="8">
        <f t="shared" si="39"/>
        <v>18750</v>
      </c>
      <c r="G2503" s="26"/>
    </row>
    <row r="2504" spans="1:7" x14ac:dyDescent="0.25">
      <c r="A2504" s="204">
        <v>42900</v>
      </c>
      <c r="B2504" s="26" t="s">
        <v>1619</v>
      </c>
      <c r="C2504" s="26" t="s">
        <v>1255</v>
      </c>
      <c r="D2504" s="8">
        <v>500</v>
      </c>
      <c r="E2504" s="8"/>
      <c r="F2504" s="8">
        <f t="shared" si="39"/>
        <v>18250</v>
      </c>
      <c r="G2504" s="26"/>
    </row>
    <row r="2505" spans="1:7" x14ac:dyDescent="0.25">
      <c r="A2505" s="204">
        <v>42900</v>
      </c>
      <c r="B2505" s="26" t="s">
        <v>248</v>
      </c>
      <c r="C2505" s="26" t="s">
        <v>1930</v>
      </c>
      <c r="D2505" s="8">
        <v>600</v>
      </c>
      <c r="E2505" s="8"/>
      <c r="F2505" s="8">
        <f t="shared" si="39"/>
        <v>17650</v>
      </c>
      <c r="G2505" s="26"/>
    </row>
    <row r="2506" spans="1:7" x14ac:dyDescent="0.25">
      <c r="A2506" s="204">
        <v>42901</v>
      </c>
      <c r="B2506" s="26" t="s">
        <v>28</v>
      </c>
      <c r="C2506" s="26" t="s">
        <v>32</v>
      </c>
      <c r="D2506" s="8">
        <v>2000</v>
      </c>
      <c r="E2506" s="8"/>
      <c r="F2506" s="8">
        <f t="shared" si="39"/>
        <v>15650</v>
      </c>
      <c r="G2506" s="26"/>
    </row>
    <row r="2507" spans="1:7" x14ac:dyDescent="0.25">
      <c r="A2507" s="204">
        <v>42901</v>
      </c>
      <c r="B2507" s="26" t="s">
        <v>248</v>
      </c>
      <c r="C2507" s="26" t="s">
        <v>1933</v>
      </c>
      <c r="D2507" s="8">
        <v>50</v>
      </c>
      <c r="E2507" s="8"/>
      <c r="F2507" s="8">
        <f t="shared" si="39"/>
        <v>15600</v>
      </c>
      <c r="G2507" s="26"/>
    </row>
    <row r="2508" spans="1:7" x14ac:dyDescent="0.25">
      <c r="A2508" s="204">
        <v>42901</v>
      </c>
      <c r="B2508" s="26" t="s">
        <v>128</v>
      </c>
      <c r="C2508" s="26" t="s">
        <v>1934</v>
      </c>
      <c r="D2508" s="8">
        <v>2400</v>
      </c>
      <c r="E2508" s="8"/>
      <c r="F2508" s="8">
        <f t="shared" si="39"/>
        <v>13200</v>
      </c>
      <c r="G2508" s="26"/>
    </row>
    <row r="2509" spans="1:7" x14ac:dyDescent="0.25">
      <c r="A2509" s="204">
        <v>42901</v>
      </c>
      <c r="B2509" s="26" t="s">
        <v>85</v>
      </c>
      <c r="C2509" s="26" t="s">
        <v>1979</v>
      </c>
      <c r="D2509" s="8">
        <v>2100</v>
      </c>
      <c r="E2509" s="8"/>
      <c r="F2509" s="8">
        <f t="shared" si="39"/>
        <v>11100</v>
      </c>
      <c r="G2509" s="26"/>
    </row>
    <row r="2510" spans="1:7" x14ac:dyDescent="0.25">
      <c r="A2510" s="204">
        <v>42901</v>
      </c>
      <c r="B2510" s="26" t="s">
        <v>26</v>
      </c>
      <c r="C2510" s="26" t="s">
        <v>1942</v>
      </c>
      <c r="D2510" s="8">
        <v>418</v>
      </c>
      <c r="E2510" s="8"/>
      <c r="F2510" s="8">
        <f t="shared" si="39"/>
        <v>10682</v>
      </c>
      <c r="G2510" s="26"/>
    </row>
    <row r="2511" spans="1:7" x14ac:dyDescent="0.25">
      <c r="A2511" s="204">
        <v>42901</v>
      </c>
      <c r="B2511" s="26" t="s">
        <v>26</v>
      </c>
      <c r="C2511" s="26" t="s">
        <v>1935</v>
      </c>
      <c r="D2511" s="8">
        <v>90</v>
      </c>
      <c r="E2511" s="8"/>
      <c r="F2511" s="8">
        <f t="shared" si="39"/>
        <v>10592</v>
      </c>
      <c r="G2511" s="26"/>
    </row>
    <row r="2512" spans="1:7" x14ac:dyDescent="0.25">
      <c r="A2512" s="204">
        <v>42901</v>
      </c>
      <c r="B2512" s="26" t="s">
        <v>26</v>
      </c>
      <c r="C2512" s="26" t="s">
        <v>1936</v>
      </c>
      <c r="D2512" s="8">
        <v>140</v>
      </c>
      <c r="E2512" s="8"/>
      <c r="F2512" s="8">
        <f t="shared" si="39"/>
        <v>10452</v>
      </c>
      <c r="G2512" s="26"/>
    </row>
    <row r="2513" spans="1:7" x14ac:dyDescent="0.25">
      <c r="A2513" s="204">
        <v>42902</v>
      </c>
      <c r="B2513" s="26" t="s">
        <v>1917</v>
      </c>
      <c r="C2513" s="26" t="s">
        <v>1938</v>
      </c>
      <c r="D2513" s="8">
        <v>1000</v>
      </c>
      <c r="E2513" s="8"/>
      <c r="F2513" s="8">
        <f t="shared" si="39"/>
        <v>9452</v>
      </c>
      <c r="G2513" s="26"/>
    </row>
    <row r="2514" spans="1:7" x14ac:dyDescent="0.25">
      <c r="A2514" s="204">
        <v>42902</v>
      </c>
      <c r="B2514" s="26" t="s">
        <v>117</v>
      </c>
      <c r="C2514" s="26" t="s">
        <v>1937</v>
      </c>
      <c r="D2514" s="8">
        <v>2000</v>
      </c>
      <c r="E2514" s="8"/>
      <c r="F2514" s="8">
        <f t="shared" si="39"/>
        <v>7452</v>
      </c>
      <c r="G2514" s="26"/>
    </row>
    <row r="2515" spans="1:7" x14ac:dyDescent="0.25">
      <c r="A2515" s="204">
        <v>42902</v>
      </c>
      <c r="B2515" s="26" t="s">
        <v>19</v>
      </c>
      <c r="C2515" s="26" t="s">
        <v>1939</v>
      </c>
      <c r="D2515" s="8">
        <v>2000</v>
      </c>
      <c r="E2515" s="8"/>
      <c r="F2515" s="8">
        <f t="shared" si="39"/>
        <v>5452</v>
      </c>
      <c r="G2515" s="26"/>
    </row>
    <row r="2516" spans="1:7" x14ac:dyDescent="0.25">
      <c r="A2516" s="204">
        <v>42902</v>
      </c>
      <c r="B2516" s="26" t="s">
        <v>19</v>
      </c>
      <c r="C2516" s="26" t="s">
        <v>32</v>
      </c>
      <c r="D2516" s="8">
        <v>1000</v>
      </c>
      <c r="E2516" s="8"/>
      <c r="F2516" s="8">
        <f t="shared" si="39"/>
        <v>4452</v>
      </c>
      <c r="G2516" s="26"/>
    </row>
    <row r="2517" spans="1:7" x14ac:dyDescent="0.25">
      <c r="A2517" s="204">
        <v>42902</v>
      </c>
      <c r="B2517" s="26" t="s">
        <v>26</v>
      </c>
      <c r="C2517" s="26" t="s">
        <v>1941</v>
      </c>
      <c r="D2517" s="8">
        <v>2000</v>
      </c>
      <c r="E2517" s="8"/>
      <c r="F2517" s="8">
        <f t="shared" si="39"/>
        <v>2452</v>
      </c>
      <c r="G2517" s="26"/>
    </row>
    <row r="2518" spans="1:7" x14ac:dyDescent="0.25">
      <c r="A2518" s="204">
        <v>42902</v>
      </c>
      <c r="B2518" s="26" t="s">
        <v>121</v>
      </c>
      <c r="C2518" s="26" t="s">
        <v>32</v>
      </c>
      <c r="D2518" s="8">
        <v>1000</v>
      </c>
      <c r="E2518" s="8"/>
      <c r="F2518" s="8">
        <f t="shared" si="39"/>
        <v>1452</v>
      </c>
      <c r="G2518" s="26"/>
    </row>
    <row r="2519" spans="1:7" x14ac:dyDescent="0.25">
      <c r="A2519" s="204">
        <v>42902</v>
      </c>
      <c r="B2519" s="26" t="s">
        <v>128</v>
      </c>
      <c r="C2519" s="26" t="s">
        <v>1940</v>
      </c>
      <c r="D2519" s="8">
        <v>2300</v>
      </c>
      <c r="E2519" s="8"/>
      <c r="F2519" s="8">
        <f t="shared" si="39"/>
        <v>-848</v>
      </c>
      <c r="G2519" s="26"/>
    </row>
    <row r="2520" spans="1:7" x14ac:dyDescent="0.25">
      <c r="A2520" s="204">
        <v>42902</v>
      </c>
      <c r="B2520" s="26" t="s">
        <v>59</v>
      </c>
      <c r="C2520" s="26" t="s">
        <v>1947</v>
      </c>
      <c r="D2520" s="8">
        <v>300</v>
      </c>
      <c r="E2520" s="8"/>
      <c r="F2520" s="8">
        <f t="shared" si="39"/>
        <v>-1148</v>
      </c>
      <c r="G2520" s="26"/>
    </row>
    <row r="2521" spans="1:7" x14ac:dyDescent="0.25">
      <c r="A2521" s="204">
        <v>42902</v>
      </c>
      <c r="B2521" s="26" t="s">
        <v>28</v>
      </c>
      <c r="C2521" s="26" t="s">
        <v>32</v>
      </c>
      <c r="D2521" s="8">
        <v>1500</v>
      </c>
      <c r="E2521" s="8"/>
      <c r="F2521" s="8">
        <f t="shared" si="39"/>
        <v>-2648</v>
      </c>
      <c r="G2521" s="26"/>
    </row>
    <row r="2522" spans="1:7" x14ac:dyDescent="0.25">
      <c r="A2522" s="204">
        <v>42903</v>
      </c>
      <c r="B2522" s="26" t="s">
        <v>61</v>
      </c>
      <c r="C2522" s="26" t="s">
        <v>32</v>
      </c>
      <c r="D2522" s="8">
        <v>2000</v>
      </c>
      <c r="E2522" s="8"/>
      <c r="F2522" s="8">
        <f t="shared" si="39"/>
        <v>-4648</v>
      </c>
      <c r="G2522" s="26"/>
    </row>
    <row r="2523" spans="1:7" x14ac:dyDescent="0.25">
      <c r="A2523" s="204">
        <v>42903</v>
      </c>
      <c r="B2523" s="209" t="s">
        <v>1284</v>
      </c>
      <c r="C2523" s="209" t="s">
        <v>1943</v>
      </c>
      <c r="D2523" s="93">
        <v>100</v>
      </c>
      <c r="E2523" s="8"/>
      <c r="F2523" s="8">
        <f t="shared" si="39"/>
        <v>-4748</v>
      </c>
      <c r="G2523" s="26"/>
    </row>
    <row r="2524" spans="1:7" x14ac:dyDescent="0.25">
      <c r="A2524" s="204">
        <v>42903</v>
      </c>
      <c r="B2524" s="26" t="s">
        <v>1675</v>
      </c>
      <c r="C2524" s="26" t="s">
        <v>1944</v>
      </c>
      <c r="D2524" s="8">
        <v>2000</v>
      </c>
      <c r="E2524" s="8"/>
      <c r="F2524" s="8">
        <f t="shared" si="39"/>
        <v>-6748</v>
      </c>
      <c r="G2524" s="26"/>
    </row>
    <row r="2525" spans="1:7" x14ac:dyDescent="0.25">
      <c r="A2525" s="204">
        <v>42903</v>
      </c>
      <c r="B2525" s="26" t="s">
        <v>1675</v>
      </c>
      <c r="C2525" s="26" t="s">
        <v>1945</v>
      </c>
      <c r="D2525" s="8">
        <v>6000</v>
      </c>
      <c r="E2525" s="8"/>
      <c r="F2525" s="8">
        <f t="shared" si="39"/>
        <v>-12748</v>
      </c>
      <c r="G2525" s="26"/>
    </row>
    <row r="2526" spans="1:7" x14ac:dyDescent="0.25">
      <c r="A2526" s="204">
        <v>42903</v>
      </c>
      <c r="B2526" s="26" t="s">
        <v>17</v>
      </c>
      <c r="C2526" s="26" t="s">
        <v>1948</v>
      </c>
      <c r="D2526" s="8">
        <v>500</v>
      </c>
      <c r="E2526" s="8"/>
      <c r="F2526" s="8">
        <f t="shared" si="39"/>
        <v>-13248</v>
      </c>
      <c r="G2526" s="26"/>
    </row>
    <row r="2527" spans="1:7" ht="31.5" customHeight="1" x14ac:dyDescent="0.25">
      <c r="A2527" s="204">
        <v>42903</v>
      </c>
      <c r="B2527" s="474" t="s">
        <v>1964</v>
      </c>
      <c r="C2527" s="474"/>
      <c r="D2527" s="71"/>
      <c r="E2527" s="98">
        <v>600000</v>
      </c>
      <c r="F2527" s="8">
        <f t="shared" si="39"/>
        <v>586752</v>
      </c>
      <c r="G2527" s="26"/>
    </row>
    <row r="2528" spans="1:7" x14ac:dyDescent="0.25">
      <c r="A2528" s="204">
        <v>42903</v>
      </c>
      <c r="B2528" s="26" t="s">
        <v>1675</v>
      </c>
      <c r="C2528" s="26" t="s">
        <v>1208</v>
      </c>
      <c r="D2528" s="8">
        <v>2000</v>
      </c>
      <c r="E2528" s="8"/>
      <c r="F2528" s="8">
        <f t="shared" si="39"/>
        <v>584752</v>
      </c>
      <c r="G2528" s="26"/>
    </row>
    <row r="2529" spans="1:7" x14ac:dyDescent="0.25">
      <c r="A2529" s="204">
        <v>42905</v>
      </c>
      <c r="B2529" s="26" t="s">
        <v>446</v>
      </c>
      <c r="C2529" s="26" t="s">
        <v>295</v>
      </c>
      <c r="D2529" s="8">
        <v>1000</v>
      </c>
      <c r="E2529" s="8"/>
      <c r="F2529" s="8">
        <f t="shared" si="39"/>
        <v>583752</v>
      </c>
      <c r="G2529" s="26"/>
    </row>
    <row r="2530" spans="1:7" x14ac:dyDescent="0.25">
      <c r="A2530" s="204">
        <v>42905</v>
      </c>
      <c r="B2530" s="26" t="s">
        <v>85</v>
      </c>
      <c r="C2530" s="26" t="s">
        <v>1980</v>
      </c>
      <c r="D2530" s="8">
        <v>5000</v>
      </c>
      <c r="E2530" s="8"/>
      <c r="F2530" s="8">
        <f t="shared" si="39"/>
        <v>578752</v>
      </c>
      <c r="G2530" s="26"/>
    </row>
    <row r="2531" spans="1:7" x14ac:dyDescent="0.25">
      <c r="A2531" s="204">
        <v>42905</v>
      </c>
      <c r="B2531" s="26" t="s">
        <v>446</v>
      </c>
      <c r="C2531" s="26" t="s">
        <v>32</v>
      </c>
      <c r="D2531" s="8">
        <v>500</v>
      </c>
      <c r="E2531" s="8"/>
      <c r="F2531" s="8">
        <f t="shared" si="39"/>
        <v>578252</v>
      </c>
      <c r="G2531" s="26"/>
    </row>
    <row r="2532" spans="1:7" x14ac:dyDescent="0.25">
      <c r="A2532" s="204">
        <v>42905</v>
      </c>
      <c r="B2532" s="26" t="s">
        <v>1949</v>
      </c>
      <c r="C2532" s="26" t="s">
        <v>1950</v>
      </c>
      <c r="D2532" s="8">
        <v>25000</v>
      </c>
      <c r="E2532" s="8"/>
      <c r="F2532" s="8">
        <f t="shared" si="39"/>
        <v>553252</v>
      </c>
      <c r="G2532" s="26"/>
    </row>
    <row r="2533" spans="1:7" x14ac:dyDescent="0.25">
      <c r="A2533" s="204">
        <v>42905</v>
      </c>
      <c r="B2533" s="26" t="s">
        <v>182</v>
      </c>
      <c r="C2533" s="26" t="s">
        <v>32</v>
      </c>
      <c r="D2533" s="8">
        <v>10000</v>
      </c>
      <c r="E2533" s="8"/>
      <c r="F2533" s="8">
        <f t="shared" si="39"/>
        <v>543252</v>
      </c>
      <c r="G2533" s="26"/>
    </row>
    <row r="2534" spans="1:7" x14ac:dyDescent="0.25">
      <c r="A2534" s="204">
        <v>42905</v>
      </c>
      <c r="B2534" s="26" t="s">
        <v>85</v>
      </c>
      <c r="C2534" s="26" t="s">
        <v>1951</v>
      </c>
      <c r="D2534" s="8">
        <v>10000</v>
      </c>
      <c r="E2534" s="8"/>
      <c r="F2534" s="8">
        <f t="shared" si="39"/>
        <v>533252</v>
      </c>
      <c r="G2534" s="26"/>
    </row>
    <row r="2535" spans="1:7" x14ac:dyDescent="0.25">
      <c r="A2535" s="204">
        <v>42905</v>
      </c>
      <c r="B2535" s="26" t="s">
        <v>182</v>
      </c>
      <c r="C2535" s="26" t="s">
        <v>1953</v>
      </c>
      <c r="D2535" s="8">
        <v>3600</v>
      </c>
      <c r="E2535" s="8"/>
      <c r="F2535" s="8">
        <f t="shared" si="39"/>
        <v>529652</v>
      </c>
      <c r="G2535" s="26"/>
    </row>
    <row r="2536" spans="1:7" x14ac:dyDescent="0.25">
      <c r="A2536" s="204">
        <v>42905</v>
      </c>
      <c r="B2536" s="26" t="s">
        <v>85</v>
      </c>
      <c r="C2536" s="26" t="s">
        <v>1977</v>
      </c>
      <c r="D2536" s="8">
        <v>3000</v>
      </c>
      <c r="E2536" s="8"/>
      <c r="F2536" s="8">
        <f t="shared" si="39"/>
        <v>526652</v>
      </c>
      <c r="G2536" s="26"/>
    </row>
    <row r="2537" spans="1:7" x14ac:dyDescent="0.25">
      <c r="A2537" s="204">
        <v>42905</v>
      </c>
      <c r="B2537" s="26" t="s">
        <v>0</v>
      </c>
      <c r="C2537" s="26" t="s">
        <v>32</v>
      </c>
      <c r="D2537" s="8">
        <v>3000</v>
      </c>
      <c r="E2537" s="8"/>
      <c r="F2537" s="8">
        <f t="shared" si="39"/>
        <v>523652</v>
      </c>
      <c r="G2537" s="26"/>
    </row>
    <row r="2538" spans="1:7" x14ac:dyDescent="0.25">
      <c r="A2538" s="204">
        <v>42906</v>
      </c>
      <c r="B2538" s="26" t="s">
        <v>19</v>
      </c>
      <c r="C2538" s="26" t="s">
        <v>32</v>
      </c>
      <c r="D2538" s="8">
        <v>2000</v>
      </c>
      <c r="E2538" s="8"/>
      <c r="F2538" s="8">
        <f t="shared" si="39"/>
        <v>521652</v>
      </c>
      <c r="G2538" s="26"/>
    </row>
    <row r="2539" spans="1:7" x14ac:dyDescent="0.25">
      <c r="A2539" s="204">
        <v>42906</v>
      </c>
      <c r="B2539" s="26" t="s">
        <v>4</v>
      </c>
      <c r="C2539" s="26" t="s">
        <v>32</v>
      </c>
      <c r="D2539" s="8">
        <v>1000</v>
      </c>
      <c r="E2539" s="8"/>
      <c r="F2539" s="8">
        <f t="shared" si="39"/>
        <v>520652</v>
      </c>
      <c r="G2539" s="26"/>
    </row>
    <row r="2540" spans="1:7" x14ac:dyDescent="0.25">
      <c r="A2540" s="204">
        <v>42906</v>
      </c>
      <c r="B2540" s="26" t="s">
        <v>542</v>
      </c>
      <c r="C2540" s="26" t="s">
        <v>641</v>
      </c>
      <c r="D2540" s="8">
        <v>5000</v>
      </c>
      <c r="E2540" s="8"/>
      <c r="F2540" s="8">
        <f t="shared" si="39"/>
        <v>515652</v>
      </c>
      <c r="G2540" s="26"/>
    </row>
    <row r="2541" spans="1:7" x14ac:dyDescent="0.25">
      <c r="A2541" s="204"/>
      <c r="B2541" s="26"/>
      <c r="C2541" s="26"/>
      <c r="D2541" s="8">
        <v>35000</v>
      </c>
      <c r="E2541" s="8"/>
      <c r="F2541" s="8">
        <f t="shared" si="39"/>
        <v>480652</v>
      </c>
      <c r="G2541" s="26"/>
    </row>
    <row r="2542" spans="1:7" x14ac:dyDescent="0.25">
      <c r="A2542" s="204">
        <v>42906</v>
      </c>
      <c r="B2542" s="26" t="s">
        <v>1790</v>
      </c>
      <c r="C2542" s="26" t="s">
        <v>1952</v>
      </c>
      <c r="D2542" s="8">
        <v>2000</v>
      </c>
      <c r="E2542" s="8"/>
      <c r="F2542" s="8">
        <f t="shared" si="39"/>
        <v>478652</v>
      </c>
      <c r="G2542" s="26"/>
    </row>
    <row r="2543" spans="1:7" x14ac:dyDescent="0.25">
      <c r="A2543" s="204">
        <v>42906</v>
      </c>
      <c r="B2543" s="26" t="s">
        <v>248</v>
      </c>
      <c r="C2543" s="26" t="s">
        <v>1954</v>
      </c>
      <c r="D2543" s="8">
        <v>2000</v>
      </c>
      <c r="E2543" s="8"/>
      <c r="F2543" s="8">
        <f t="shared" si="39"/>
        <v>476652</v>
      </c>
      <c r="G2543" s="26"/>
    </row>
    <row r="2544" spans="1:7" x14ac:dyDescent="0.25">
      <c r="A2544" s="204">
        <v>42906</v>
      </c>
      <c r="B2544" s="26" t="s">
        <v>1619</v>
      </c>
      <c r="C2544" s="26" t="s">
        <v>1255</v>
      </c>
      <c r="D2544" s="8">
        <v>1500</v>
      </c>
      <c r="E2544" s="8"/>
      <c r="F2544" s="8">
        <f t="shared" si="39"/>
        <v>475152</v>
      </c>
      <c r="G2544" s="26"/>
    </row>
    <row r="2545" spans="1:7" x14ac:dyDescent="0.25">
      <c r="A2545" s="204">
        <v>42906</v>
      </c>
      <c r="B2545" s="209" t="s">
        <v>182</v>
      </c>
      <c r="C2545" s="209" t="s">
        <v>32</v>
      </c>
      <c r="D2545" s="93">
        <v>1000</v>
      </c>
      <c r="E2545" s="8"/>
      <c r="F2545" s="8">
        <f t="shared" si="39"/>
        <v>474152</v>
      </c>
      <c r="G2545" s="26"/>
    </row>
    <row r="2546" spans="1:7" x14ac:dyDescent="0.25">
      <c r="A2546" s="204">
        <v>42906</v>
      </c>
      <c r="B2546" s="26" t="s">
        <v>1956</v>
      </c>
      <c r="C2546" s="26" t="s">
        <v>1955</v>
      </c>
      <c r="D2546" s="8">
        <v>376500</v>
      </c>
      <c r="E2546" s="8"/>
      <c r="F2546" s="8">
        <f t="shared" si="39"/>
        <v>97652</v>
      </c>
      <c r="G2546" s="26"/>
    </row>
    <row r="2547" spans="1:7" x14ac:dyDescent="0.25">
      <c r="A2547" s="204">
        <v>42907</v>
      </c>
      <c r="B2547" s="26" t="s">
        <v>128</v>
      </c>
      <c r="C2547" s="26" t="s">
        <v>1957</v>
      </c>
      <c r="D2547" s="8">
        <v>4060</v>
      </c>
      <c r="E2547" s="8"/>
      <c r="F2547" s="8">
        <f t="shared" si="39"/>
        <v>93592</v>
      </c>
      <c r="G2547" s="26"/>
    </row>
    <row r="2548" spans="1:7" x14ac:dyDescent="0.25">
      <c r="A2548" s="204">
        <v>42907</v>
      </c>
      <c r="B2548" s="26" t="s">
        <v>85</v>
      </c>
      <c r="C2548" s="26" t="s">
        <v>1958</v>
      </c>
      <c r="D2548" s="8">
        <v>2000</v>
      </c>
      <c r="E2548" s="8"/>
      <c r="F2548" s="8">
        <f t="shared" si="39"/>
        <v>91592</v>
      </c>
      <c r="G2548" s="26"/>
    </row>
    <row r="2549" spans="1:7" x14ac:dyDescent="0.25">
      <c r="A2549" s="204">
        <v>42907</v>
      </c>
      <c r="B2549" s="26" t="s">
        <v>85</v>
      </c>
      <c r="C2549" s="26" t="s">
        <v>1959</v>
      </c>
      <c r="D2549" s="8">
        <v>15000</v>
      </c>
      <c r="E2549" s="8"/>
      <c r="F2549" s="8">
        <f t="shared" si="39"/>
        <v>76592</v>
      </c>
      <c r="G2549" s="26"/>
    </row>
    <row r="2550" spans="1:7" x14ac:dyDescent="0.25">
      <c r="A2550" s="204">
        <v>42907</v>
      </c>
      <c r="B2550" s="26" t="s">
        <v>85</v>
      </c>
      <c r="C2550" s="26" t="s">
        <v>1960</v>
      </c>
      <c r="D2550" s="8">
        <v>10000</v>
      </c>
      <c r="E2550" s="8"/>
      <c r="F2550" s="8">
        <f t="shared" si="39"/>
        <v>66592</v>
      </c>
      <c r="G2550" s="26"/>
    </row>
    <row r="2551" spans="1:7" x14ac:dyDescent="0.25">
      <c r="A2551" s="204">
        <v>42907</v>
      </c>
      <c r="B2551" s="26" t="s">
        <v>28</v>
      </c>
      <c r="C2551" s="26" t="s">
        <v>32</v>
      </c>
      <c r="D2551" s="8">
        <v>2000</v>
      </c>
      <c r="E2551" s="8"/>
      <c r="F2551" s="8">
        <f t="shared" si="39"/>
        <v>64592</v>
      </c>
      <c r="G2551" s="26"/>
    </row>
    <row r="2552" spans="1:7" x14ac:dyDescent="0.25">
      <c r="A2552" s="204">
        <v>42907</v>
      </c>
      <c r="B2552" s="26" t="s">
        <v>26</v>
      </c>
      <c r="C2552" s="26" t="s">
        <v>1961</v>
      </c>
      <c r="D2552" s="8">
        <v>27</v>
      </c>
      <c r="E2552" s="8"/>
      <c r="F2552" s="8">
        <f t="shared" si="39"/>
        <v>64565</v>
      </c>
      <c r="G2552" s="26"/>
    </row>
    <row r="2553" spans="1:7" x14ac:dyDescent="0.25">
      <c r="A2553" s="204">
        <v>42907</v>
      </c>
      <c r="B2553" s="26" t="s">
        <v>1334</v>
      </c>
      <c r="C2553" s="26" t="s">
        <v>32</v>
      </c>
      <c r="D2553" s="8">
        <v>10000</v>
      </c>
      <c r="E2553" s="8"/>
      <c r="F2553" s="8">
        <f t="shared" si="39"/>
        <v>54565</v>
      </c>
      <c r="G2553" s="26"/>
    </row>
    <row r="2554" spans="1:7" x14ac:dyDescent="0.25">
      <c r="A2554" s="204">
        <v>42907</v>
      </c>
      <c r="B2554" s="26" t="s">
        <v>121</v>
      </c>
      <c r="C2554" s="26" t="s">
        <v>1963</v>
      </c>
      <c r="D2554" s="8">
        <v>8100</v>
      </c>
      <c r="E2554" s="8"/>
      <c r="F2554" s="8">
        <f t="shared" si="39"/>
        <v>46465</v>
      </c>
      <c r="G2554" s="26"/>
    </row>
    <row r="2555" spans="1:7" x14ac:dyDescent="0.25">
      <c r="A2555" s="204">
        <v>42908</v>
      </c>
      <c r="B2555" s="26" t="s">
        <v>26</v>
      </c>
      <c r="C2555" s="26" t="s">
        <v>1962</v>
      </c>
      <c r="D2555" s="8">
        <v>30</v>
      </c>
      <c r="E2555" s="8"/>
      <c r="F2555" s="8">
        <f t="shared" si="39"/>
        <v>46435</v>
      </c>
      <c r="G2555" s="26"/>
    </row>
    <row r="2556" spans="1:7" x14ac:dyDescent="0.25">
      <c r="A2556" s="204">
        <v>42908</v>
      </c>
      <c r="B2556" s="26" t="s">
        <v>59</v>
      </c>
      <c r="C2556" s="26" t="s">
        <v>32</v>
      </c>
      <c r="D2556" s="8">
        <v>1000</v>
      </c>
      <c r="E2556" s="8"/>
      <c r="F2556" s="8">
        <f t="shared" si="39"/>
        <v>45435</v>
      </c>
      <c r="G2556" s="26"/>
    </row>
    <row r="2557" spans="1:7" x14ac:dyDescent="0.25">
      <c r="A2557" s="204">
        <v>42908</v>
      </c>
      <c r="B2557" s="180" t="s">
        <v>121</v>
      </c>
      <c r="C2557" s="180" t="s">
        <v>32</v>
      </c>
      <c r="D2557" s="57">
        <v>10000</v>
      </c>
      <c r="E2557" s="8"/>
      <c r="F2557" s="8">
        <f t="shared" si="39"/>
        <v>35435</v>
      </c>
      <c r="G2557" s="26"/>
    </row>
    <row r="2558" spans="1:7" ht="30" x14ac:dyDescent="0.25">
      <c r="A2558" s="204">
        <v>42908</v>
      </c>
      <c r="B2558" s="26" t="s">
        <v>1196</v>
      </c>
      <c r="C2558" s="87" t="s">
        <v>1965</v>
      </c>
      <c r="D2558" s="8">
        <v>800</v>
      </c>
      <c r="E2558" s="8"/>
      <c r="F2558" s="8">
        <f t="shared" si="39"/>
        <v>34635</v>
      </c>
      <c r="G2558" s="26"/>
    </row>
    <row r="2559" spans="1:7" x14ac:dyDescent="0.25">
      <c r="A2559" s="204">
        <v>42908</v>
      </c>
      <c r="B2559" s="26" t="s">
        <v>128</v>
      </c>
      <c r="C2559" s="26" t="s">
        <v>1966</v>
      </c>
      <c r="D2559" s="8">
        <v>2930</v>
      </c>
      <c r="E2559" s="8"/>
      <c r="F2559" s="8">
        <f t="shared" si="39"/>
        <v>31705</v>
      </c>
      <c r="G2559" s="26"/>
    </row>
    <row r="2560" spans="1:7" x14ac:dyDescent="0.25">
      <c r="A2560" s="204">
        <v>42908</v>
      </c>
      <c r="B2560" s="462" t="s">
        <v>1969</v>
      </c>
      <c r="C2560" s="463"/>
      <c r="D2560" s="71"/>
      <c r="E2560" s="58">
        <v>50000</v>
      </c>
      <c r="F2560" s="8">
        <f t="shared" si="39"/>
        <v>81705</v>
      </c>
      <c r="G2560" s="26"/>
    </row>
    <row r="2561" spans="1:7" x14ac:dyDescent="0.25">
      <c r="A2561" s="204">
        <v>42908</v>
      </c>
      <c r="B2561" s="26" t="s">
        <v>85</v>
      </c>
      <c r="C2561" s="26" t="s">
        <v>1967</v>
      </c>
      <c r="D2561" s="8">
        <v>5000</v>
      </c>
      <c r="E2561" s="8"/>
      <c r="F2561" s="8">
        <f t="shared" si="39"/>
        <v>76705</v>
      </c>
      <c r="G2561" s="26"/>
    </row>
    <row r="2562" spans="1:7" x14ac:dyDescent="0.25">
      <c r="A2562" s="204">
        <v>42908</v>
      </c>
      <c r="B2562" s="26" t="s">
        <v>85</v>
      </c>
      <c r="C2562" s="26" t="s">
        <v>1968</v>
      </c>
      <c r="D2562" s="8">
        <v>10000</v>
      </c>
      <c r="E2562" s="8"/>
      <c r="F2562" s="8">
        <f t="shared" si="39"/>
        <v>66705</v>
      </c>
      <c r="G2562" s="26"/>
    </row>
    <row r="2563" spans="1:7" x14ac:dyDescent="0.25">
      <c r="A2563" s="204">
        <v>42908</v>
      </c>
      <c r="B2563" s="26" t="s">
        <v>85</v>
      </c>
      <c r="C2563" s="26" t="s">
        <v>1971</v>
      </c>
      <c r="D2563" s="8">
        <v>5000</v>
      </c>
      <c r="E2563" s="8"/>
      <c r="F2563" s="8">
        <f t="shared" ref="F2563:F2610" si="40">F2562-D2563+E2563</f>
        <v>61705</v>
      </c>
      <c r="G2563" s="26"/>
    </row>
    <row r="2564" spans="1:7" x14ac:dyDescent="0.25">
      <c r="A2564" s="204">
        <v>42908</v>
      </c>
      <c r="B2564" s="26" t="s">
        <v>1970</v>
      </c>
      <c r="C2564" s="26" t="s">
        <v>1972</v>
      </c>
      <c r="D2564" s="8">
        <v>5000</v>
      </c>
      <c r="E2564" s="8"/>
      <c r="F2564" s="8">
        <f t="shared" si="40"/>
        <v>56705</v>
      </c>
      <c r="G2564" s="26"/>
    </row>
    <row r="2565" spans="1:7" x14ac:dyDescent="0.25">
      <c r="A2565" s="204">
        <v>42908</v>
      </c>
      <c r="B2565" s="26" t="s">
        <v>1973</v>
      </c>
      <c r="C2565" s="26" t="s">
        <v>32</v>
      </c>
      <c r="D2565" s="8">
        <v>3500</v>
      </c>
      <c r="E2565" s="8"/>
      <c r="F2565" s="8">
        <f t="shared" si="40"/>
        <v>53205</v>
      </c>
      <c r="G2565" s="26"/>
    </row>
    <row r="2566" spans="1:7" x14ac:dyDescent="0.25">
      <c r="A2566" s="204">
        <v>42908</v>
      </c>
      <c r="B2566" s="26" t="s">
        <v>85</v>
      </c>
      <c r="C2566" s="26" t="s">
        <v>1974</v>
      </c>
      <c r="D2566" s="8">
        <v>20000</v>
      </c>
      <c r="E2566" s="8"/>
      <c r="F2566" s="8">
        <f t="shared" si="40"/>
        <v>33205</v>
      </c>
      <c r="G2566" s="26"/>
    </row>
    <row r="2567" spans="1:7" x14ac:dyDescent="0.25">
      <c r="A2567" s="204">
        <v>42908</v>
      </c>
      <c r="B2567" s="26" t="s">
        <v>1975</v>
      </c>
      <c r="C2567" s="26" t="s">
        <v>295</v>
      </c>
      <c r="D2567" s="8">
        <v>12400</v>
      </c>
      <c r="E2567" s="8"/>
      <c r="F2567" s="8">
        <f t="shared" si="40"/>
        <v>20805</v>
      </c>
      <c r="G2567" s="26"/>
    </row>
    <row r="2568" spans="1:7" x14ac:dyDescent="0.25">
      <c r="A2568" s="204">
        <v>42908</v>
      </c>
      <c r="B2568" s="26" t="s">
        <v>85</v>
      </c>
      <c r="C2568" s="26" t="s">
        <v>1976</v>
      </c>
      <c r="D2568" s="8">
        <v>5000</v>
      </c>
      <c r="E2568" s="8"/>
      <c r="F2568" s="8">
        <f t="shared" si="40"/>
        <v>15805</v>
      </c>
      <c r="G2568" s="26"/>
    </row>
    <row r="2569" spans="1:7" x14ac:dyDescent="0.25">
      <c r="A2569" s="204">
        <v>42908</v>
      </c>
      <c r="B2569" s="26" t="s">
        <v>55</v>
      </c>
      <c r="C2569" s="26" t="s">
        <v>1981</v>
      </c>
      <c r="D2569" s="8">
        <v>15000</v>
      </c>
      <c r="E2569" s="8"/>
      <c r="F2569" s="8">
        <f t="shared" si="40"/>
        <v>805</v>
      </c>
      <c r="G2569" s="26"/>
    </row>
    <row r="2570" spans="1:7" ht="27" customHeight="1" x14ac:dyDescent="0.25">
      <c r="A2570" s="204">
        <v>42908</v>
      </c>
      <c r="B2570" s="464" t="s">
        <v>1982</v>
      </c>
      <c r="C2570" s="465"/>
      <c r="D2570" s="71"/>
      <c r="E2570" s="58">
        <v>14968</v>
      </c>
      <c r="F2570" s="8">
        <f t="shared" si="40"/>
        <v>15773</v>
      </c>
      <c r="G2570" s="26"/>
    </row>
    <row r="2571" spans="1:7" ht="24.75" customHeight="1" x14ac:dyDescent="0.25">
      <c r="A2571" s="204">
        <v>42908</v>
      </c>
      <c r="B2571" s="462" t="s">
        <v>1984</v>
      </c>
      <c r="C2571" s="463"/>
      <c r="D2571" s="71"/>
      <c r="E2571" s="58">
        <v>120000</v>
      </c>
      <c r="F2571" s="8">
        <f t="shared" si="40"/>
        <v>135773</v>
      </c>
      <c r="G2571" s="26"/>
    </row>
    <row r="2572" spans="1:7" x14ac:dyDescent="0.25">
      <c r="A2572" s="204">
        <v>42909</v>
      </c>
      <c r="B2572" s="26" t="s">
        <v>117</v>
      </c>
      <c r="C2572" s="26" t="s">
        <v>1983</v>
      </c>
      <c r="D2572" s="8">
        <v>3000</v>
      </c>
      <c r="E2572" s="8"/>
      <c r="F2572" s="8">
        <f t="shared" si="40"/>
        <v>132773</v>
      </c>
      <c r="G2572" s="26"/>
    </row>
    <row r="2573" spans="1:7" x14ac:dyDescent="0.25">
      <c r="A2573" s="204">
        <v>42909</v>
      </c>
      <c r="B2573" s="26" t="s">
        <v>85</v>
      </c>
      <c r="C2573" s="26" t="s">
        <v>1993</v>
      </c>
      <c r="D2573" s="8">
        <v>10000</v>
      </c>
      <c r="E2573" s="8"/>
      <c r="F2573" s="8">
        <f t="shared" si="40"/>
        <v>122773</v>
      </c>
      <c r="G2573" s="26"/>
    </row>
    <row r="2574" spans="1:7" x14ac:dyDescent="0.25">
      <c r="A2574" s="204">
        <v>42909</v>
      </c>
      <c r="B2574" s="26" t="s">
        <v>85</v>
      </c>
      <c r="C2574" s="26" t="s">
        <v>1994</v>
      </c>
      <c r="D2574" s="8">
        <v>10000</v>
      </c>
      <c r="E2574" s="8"/>
      <c r="F2574" s="8">
        <f t="shared" si="40"/>
        <v>112773</v>
      </c>
      <c r="G2574" s="26"/>
    </row>
    <row r="2575" spans="1:7" x14ac:dyDescent="0.25">
      <c r="A2575" s="204">
        <v>42909</v>
      </c>
      <c r="B2575" s="26" t="s">
        <v>1985</v>
      </c>
      <c r="C2575" s="26" t="s">
        <v>1986</v>
      </c>
      <c r="D2575" s="8">
        <v>7000</v>
      </c>
      <c r="E2575" s="8"/>
      <c r="F2575" s="8">
        <f t="shared" si="40"/>
        <v>105773</v>
      </c>
      <c r="G2575" s="26"/>
    </row>
    <row r="2576" spans="1:7" x14ac:dyDescent="0.25">
      <c r="A2576" s="204">
        <v>42909</v>
      </c>
      <c r="B2576" s="26" t="s">
        <v>1995</v>
      </c>
      <c r="C2576" s="26" t="s">
        <v>1996</v>
      </c>
      <c r="D2576" s="8">
        <v>22000</v>
      </c>
      <c r="E2576" s="8"/>
      <c r="F2576" s="8">
        <f t="shared" si="40"/>
        <v>83773</v>
      </c>
      <c r="G2576" s="26"/>
    </row>
    <row r="2577" spans="1:7" x14ac:dyDescent="0.25">
      <c r="A2577" s="204">
        <v>42909</v>
      </c>
      <c r="B2577" s="26" t="s">
        <v>121</v>
      </c>
      <c r="C2577" s="26" t="s">
        <v>1998</v>
      </c>
      <c r="D2577" s="8">
        <v>50000</v>
      </c>
      <c r="E2577" s="8"/>
      <c r="F2577" s="8">
        <f t="shared" si="40"/>
        <v>33773</v>
      </c>
      <c r="G2577" s="26"/>
    </row>
    <row r="2578" spans="1:7" x14ac:dyDescent="0.25">
      <c r="A2578" s="204">
        <v>42909</v>
      </c>
      <c r="B2578" s="26" t="s">
        <v>248</v>
      </c>
      <c r="C2578" s="26" t="s">
        <v>1987</v>
      </c>
      <c r="D2578" s="8">
        <v>150</v>
      </c>
      <c r="E2578" s="8"/>
      <c r="F2578" s="8">
        <f t="shared" si="40"/>
        <v>33623</v>
      </c>
      <c r="G2578" s="26"/>
    </row>
    <row r="2579" spans="1:7" x14ac:dyDescent="0.25">
      <c r="A2579" s="204">
        <v>42909</v>
      </c>
      <c r="B2579" s="26" t="s">
        <v>1515</v>
      </c>
      <c r="C2579" s="26" t="s">
        <v>1988</v>
      </c>
      <c r="D2579" s="8">
        <v>15000</v>
      </c>
      <c r="E2579" s="8"/>
      <c r="F2579" s="8">
        <f t="shared" si="40"/>
        <v>18623</v>
      </c>
      <c r="G2579" s="26"/>
    </row>
    <row r="2580" spans="1:7" ht="30" x14ac:dyDescent="0.25">
      <c r="A2580" s="204">
        <v>42909</v>
      </c>
      <c r="B2580" s="26" t="s">
        <v>0</v>
      </c>
      <c r="C2580" s="87" t="s">
        <v>1989</v>
      </c>
      <c r="D2580" s="8">
        <v>418</v>
      </c>
      <c r="E2580" s="8"/>
      <c r="F2580" s="8">
        <f t="shared" si="40"/>
        <v>18205</v>
      </c>
      <c r="G2580" s="26"/>
    </row>
    <row r="2581" spans="1:7" x14ac:dyDescent="0.25">
      <c r="A2581" s="204">
        <v>42909</v>
      </c>
      <c r="B2581" s="26" t="s">
        <v>0</v>
      </c>
      <c r="C2581" s="26" t="s">
        <v>32</v>
      </c>
      <c r="D2581" s="8">
        <v>3000</v>
      </c>
      <c r="E2581" s="8"/>
      <c r="F2581" s="8">
        <f t="shared" si="40"/>
        <v>15205</v>
      </c>
      <c r="G2581" s="26"/>
    </row>
    <row r="2582" spans="1:7" x14ac:dyDescent="0.25">
      <c r="A2582" s="204">
        <v>42909</v>
      </c>
      <c r="B2582" s="26" t="s">
        <v>85</v>
      </c>
      <c r="C2582" s="26" t="s">
        <v>1990</v>
      </c>
      <c r="D2582" s="8">
        <v>10000</v>
      </c>
      <c r="E2582" s="8"/>
      <c r="F2582" s="8">
        <f t="shared" si="40"/>
        <v>5205</v>
      </c>
      <c r="G2582" s="26"/>
    </row>
    <row r="2583" spans="1:7" x14ac:dyDescent="0.25">
      <c r="A2583" s="204">
        <v>42910</v>
      </c>
      <c r="B2583" s="462" t="s">
        <v>2001</v>
      </c>
      <c r="C2583" s="463"/>
      <c r="D2583" s="71"/>
      <c r="E2583" s="58">
        <v>200000</v>
      </c>
      <c r="F2583" s="8">
        <f t="shared" si="40"/>
        <v>205205</v>
      </c>
      <c r="G2583" s="26"/>
    </row>
    <row r="2584" spans="1:7" x14ac:dyDescent="0.25">
      <c r="A2584" s="204">
        <v>42910</v>
      </c>
      <c r="B2584" s="26" t="s">
        <v>1077</v>
      </c>
      <c r="C2584" s="26" t="s">
        <v>1997</v>
      </c>
      <c r="D2584" s="8">
        <v>46398</v>
      </c>
      <c r="E2584" s="8"/>
      <c r="F2584" s="8">
        <f t="shared" si="40"/>
        <v>158807</v>
      </c>
      <c r="G2584" s="26"/>
    </row>
    <row r="2585" spans="1:7" x14ac:dyDescent="0.25">
      <c r="A2585" s="204">
        <v>42910</v>
      </c>
      <c r="B2585" s="26" t="s">
        <v>85</v>
      </c>
      <c r="C2585" s="26" t="s">
        <v>1999</v>
      </c>
      <c r="D2585" s="8">
        <v>2000</v>
      </c>
      <c r="E2585" s="8"/>
      <c r="F2585" s="8">
        <f t="shared" si="40"/>
        <v>156807</v>
      </c>
      <c r="G2585" s="26"/>
    </row>
    <row r="2586" spans="1:7" x14ac:dyDescent="0.25">
      <c r="A2586" s="204">
        <v>42910</v>
      </c>
      <c r="B2586" s="26" t="s">
        <v>117</v>
      </c>
      <c r="C2586" s="26" t="s">
        <v>2000</v>
      </c>
      <c r="D2586" s="8">
        <v>9000</v>
      </c>
      <c r="E2586" s="8"/>
      <c r="F2586" s="8">
        <f t="shared" si="40"/>
        <v>147807</v>
      </c>
      <c r="G2586" s="26"/>
    </row>
    <row r="2587" spans="1:7" x14ac:dyDescent="0.25">
      <c r="A2587" s="204">
        <v>42910</v>
      </c>
      <c r="B2587" s="26" t="s">
        <v>121</v>
      </c>
      <c r="C2587" s="26" t="s">
        <v>32</v>
      </c>
      <c r="D2587" s="8">
        <v>3000</v>
      </c>
      <c r="E2587" s="8"/>
      <c r="F2587" s="8">
        <f t="shared" si="40"/>
        <v>144807</v>
      </c>
      <c r="G2587" s="26"/>
    </row>
    <row r="2588" spans="1:7" x14ac:dyDescent="0.25">
      <c r="A2588" s="204">
        <v>42910</v>
      </c>
      <c r="B2588" s="26" t="s">
        <v>85</v>
      </c>
      <c r="C2588" s="26" t="s">
        <v>2002</v>
      </c>
      <c r="D2588" s="8">
        <v>3000</v>
      </c>
      <c r="E2588" s="8"/>
      <c r="F2588" s="8">
        <f t="shared" si="40"/>
        <v>141807</v>
      </c>
      <c r="G2588" s="26"/>
    </row>
    <row r="2589" spans="1:7" x14ac:dyDescent="0.25">
      <c r="A2589" s="204">
        <v>42910</v>
      </c>
      <c r="B2589" s="26" t="s">
        <v>85</v>
      </c>
      <c r="C2589" s="26" t="s">
        <v>2003</v>
      </c>
      <c r="D2589" s="8">
        <v>1000</v>
      </c>
      <c r="E2589" s="8"/>
      <c r="F2589" s="8">
        <f t="shared" si="40"/>
        <v>140807</v>
      </c>
      <c r="G2589" s="26"/>
    </row>
    <row r="2590" spans="1:7" x14ac:dyDescent="0.25">
      <c r="A2590" s="204">
        <v>42910</v>
      </c>
      <c r="B2590" s="26" t="s">
        <v>26</v>
      </c>
      <c r="C2590" s="26" t="s">
        <v>2004</v>
      </c>
      <c r="D2590" s="8">
        <v>2000</v>
      </c>
      <c r="E2590" s="8"/>
      <c r="F2590" s="8">
        <f t="shared" si="40"/>
        <v>138807</v>
      </c>
      <c r="G2590" s="26"/>
    </row>
    <row r="2591" spans="1:7" x14ac:dyDescent="0.25">
      <c r="A2591" s="204">
        <v>42910</v>
      </c>
      <c r="B2591" s="26" t="s">
        <v>1334</v>
      </c>
      <c r="C2591" s="26" t="s">
        <v>32</v>
      </c>
      <c r="D2591" s="8">
        <v>20000</v>
      </c>
      <c r="E2591" s="8"/>
      <c r="F2591" s="8">
        <f t="shared" si="40"/>
        <v>118807</v>
      </c>
      <c r="G2591" s="26"/>
    </row>
    <row r="2592" spans="1:7" x14ac:dyDescent="0.25">
      <c r="A2592" s="204">
        <v>42910</v>
      </c>
      <c r="B2592" s="26" t="s">
        <v>182</v>
      </c>
      <c r="C2592" s="26" t="s">
        <v>32</v>
      </c>
      <c r="D2592" s="8">
        <v>70000</v>
      </c>
      <c r="E2592" s="8"/>
      <c r="F2592" s="8">
        <f t="shared" si="40"/>
        <v>48807</v>
      </c>
      <c r="G2592" s="26"/>
    </row>
    <row r="2593" spans="1:7" x14ac:dyDescent="0.25">
      <c r="A2593" s="204">
        <v>42910</v>
      </c>
      <c r="B2593" s="462" t="s">
        <v>1984</v>
      </c>
      <c r="C2593" s="463"/>
      <c r="D2593" s="71"/>
      <c r="E2593" s="58">
        <v>75000</v>
      </c>
      <c r="F2593" s="8">
        <f t="shared" si="40"/>
        <v>123807</v>
      </c>
      <c r="G2593" s="26"/>
    </row>
    <row r="2594" spans="1:7" x14ac:dyDescent="0.25">
      <c r="A2594" s="204">
        <v>42910</v>
      </c>
      <c r="B2594" s="26" t="s">
        <v>2005</v>
      </c>
      <c r="C2594" s="26" t="s">
        <v>32</v>
      </c>
      <c r="D2594" s="8">
        <v>100000</v>
      </c>
      <c r="E2594" s="8"/>
      <c r="F2594" s="8">
        <f t="shared" si="40"/>
        <v>23807</v>
      </c>
      <c r="G2594" s="26"/>
    </row>
    <row r="2595" spans="1:7" x14ac:dyDescent="0.25">
      <c r="A2595" s="204">
        <v>42910</v>
      </c>
      <c r="B2595" s="26" t="s">
        <v>26</v>
      </c>
      <c r="C2595" s="26" t="s">
        <v>2008</v>
      </c>
      <c r="D2595" s="8">
        <v>950</v>
      </c>
      <c r="E2595" s="8"/>
      <c r="F2595" s="8">
        <f t="shared" si="40"/>
        <v>22857</v>
      </c>
      <c r="G2595" s="26"/>
    </row>
    <row r="2596" spans="1:7" x14ac:dyDescent="0.25">
      <c r="A2596" s="204">
        <v>42910</v>
      </c>
      <c r="B2596" s="26" t="s">
        <v>85</v>
      </c>
      <c r="C2596" s="26" t="s">
        <v>2006</v>
      </c>
      <c r="D2596" s="8">
        <v>1500</v>
      </c>
      <c r="E2596" s="8"/>
      <c r="F2596" s="8">
        <f t="shared" si="40"/>
        <v>21357</v>
      </c>
      <c r="G2596" s="26"/>
    </row>
    <row r="2597" spans="1:7" x14ac:dyDescent="0.25">
      <c r="A2597" s="204">
        <v>42915</v>
      </c>
      <c r="B2597" s="26" t="s">
        <v>26</v>
      </c>
      <c r="C2597" s="87" t="s">
        <v>2009</v>
      </c>
      <c r="D2597" s="8">
        <v>50</v>
      </c>
      <c r="E2597" s="8"/>
      <c r="F2597" s="8">
        <f t="shared" si="40"/>
        <v>21307</v>
      </c>
      <c r="G2597" s="26"/>
    </row>
    <row r="2598" spans="1:7" x14ac:dyDescent="0.25">
      <c r="A2598" s="204">
        <v>42915</v>
      </c>
      <c r="B2598" s="29" t="s">
        <v>26</v>
      </c>
      <c r="C2598" s="89" t="s">
        <v>2010</v>
      </c>
      <c r="D2598" s="14">
        <v>600</v>
      </c>
      <c r="E2598" s="8"/>
      <c r="F2598" s="8">
        <f t="shared" si="40"/>
        <v>20707</v>
      </c>
      <c r="G2598" s="26"/>
    </row>
    <row r="2599" spans="1:7" x14ac:dyDescent="0.25">
      <c r="A2599" s="204">
        <v>42915</v>
      </c>
      <c r="B2599" s="26" t="s">
        <v>26</v>
      </c>
      <c r="C2599" s="26" t="s">
        <v>2007</v>
      </c>
      <c r="D2599" s="8">
        <v>80</v>
      </c>
      <c r="E2599" s="8"/>
      <c r="F2599" s="8">
        <f t="shared" si="40"/>
        <v>20627</v>
      </c>
      <c r="G2599" s="26"/>
    </row>
    <row r="2600" spans="1:7" x14ac:dyDescent="0.25">
      <c r="A2600" s="204">
        <v>42915</v>
      </c>
      <c r="B2600" s="26" t="s">
        <v>17</v>
      </c>
      <c r="C2600" s="26" t="s">
        <v>32</v>
      </c>
      <c r="D2600" s="8">
        <v>1000</v>
      </c>
      <c r="E2600" s="8"/>
      <c r="F2600" s="8">
        <f t="shared" si="40"/>
        <v>19627</v>
      </c>
      <c r="G2600" s="26"/>
    </row>
    <row r="2601" spans="1:7" x14ac:dyDescent="0.25">
      <c r="A2601" s="204">
        <v>42916</v>
      </c>
      <c r="B2601" s="26" t="s">
        <v>26</v>
      </c>
      <c r="C2601" s="26" t="s">
        <v>2011</v>
      </c>
      <c r="D2601" s="8">
        <v>65</v>
      </c>
      <c r="E2601" s="8"/>
      <c r="F2601" s="8">
        <f t="shared" si="40"/>
        <v>19562</v>
      </c>
      <c r="G2601" s="26"/>
    </row>
    <row r="2602" spans="1:7" x14ac:dyDescent="0.25">
      <c r="A2602" s="204">
        <v>42916</v>
      </c>
      <c r="B2602" s="26" t="s">
        <v>105</v>
      </c>
      <c r="C2602" s="26" t="s">
        <v>32</v>
      </c>
      <c r="D2602" s="8">
        <v>1000</v>
      </c>
      <c r="E2602" s="8"/>
      <c r="F2602" s="8">
        <f t="shared" si="40"/>
        <v>18562</v>
      </c>
      <c r="G2602" s="26"/>
    </row>
    <row r="2603" spans="1:7" x14ac:dyDescent="0.25">
      <c r="A2603" s="204">
        <v>42916</v>
      </c>
      <c r="B2603" s="26" t="s">
        <v>28</v>
      </c>
      <c r="C2603" s="26" t="s">
        <v>32</v>
      </c>
      <c r="D2603" s="8">
        <v>700</v>
      </c>
      <c r="E2603" s="8"/>
      <c r="F2603" s="8">
        <f t="shared" si="40"/>
        <v>17862</v>
      </c>
      <c r="G2603" s="26"/>
    </row>
    <row r="2604" spans="1:7" x14ac:dyDescent="0.25">
      <c r="A2604" s="204">
        <v>42917</v>
      </c>
      <c r="B2604" s="26" t="s">
        <v>26</v>
      </c>
      <c r="C2604" s="26" t="s">
        <v>2012</v>
      </c>
      <c r="D2604" s="8">
        <v>40</v>
      </c>
      <c r="E2604" s="8"/>
      <c r="F2604" s="8">
        <f t="shared" si="40"/>
        <v>17822</v>
      </c>
      <c r="G2604" s="26"/>
    </row>
    <row r="2605" spans="1:7" x14ac:dyDescent="0.25">
      <c r="A2605" s="204">
        <v>42917</v>
      </c>
      <c r="B2605" s="26" t="s">
        <v>117</v>
      </c>
      <c r="C2605" s="26" t="s">
        <v>2013</v>
      </c>
      <c r="D2605" s="8">
        <v>100</v>
      </c>
      <c r="E2605" s="8"/>
      <c r="F2605" s="8">
        <f t="shared" si="40"/>
        <v>17722</v>
      </c>
      <c r="G2605" s="26"/>
    </row>
    <row r="2606" spans="1:7" x14ac:dyDescent="0.25">
      <c r="A2606" s="204">
        <v>42919</v>
      </c>
      <c r="B2606" s="26" t="s">
        <v>857</v>
      </c>
      <c r="C2606" s="26" t="s">
        <v>2014</v>
      </c>
      <c r="D2606" s="8">
        <v>500</v>
      </c>
      <c r="E2606" s="8"/>
      <c r="F2606" s="8">
        <f t="shared" si="40"/>
        <v>17222</v>
      </c>
      <c r="G2606" s="26"/>
    </row>
    <row r="2607" spans="1:7" x14ac:dyDescent="0.25">
      <c r="A2607" s="204">
        <v>42919</v>
      </c>
      <c r="B2607" s="26" t="s">
        <v>2015</v>
      </c>
      <c r="C2607" s="26" t="s">
        <v>2016</v>
      </c>
      <c r="D2607" s="8">
        <v>50</v>
      </c>
      <c r="E2607" s="8"/>
      <c r="F2607" s="8">
        <f t="shared" si="40"/>
        <v>17172</v>
      </c>
      <c r="G2607" s="26"/>
    </row>
    <row r="2608" spans="1:7" x14ac:dyDescent="0.25">
      <c r="A2608" s="204">
        <v>42919</v>
      </c>
      <c r="B2608" s="26" t="s">
        <v>28</v>
      </c>
      <c r="C2608" s="26" t="s">
        <v>32</v>
      </c>
      <c r="D2608" s="8">
        <v>300</v>
      </c>
      <c r="E2608" s="8"/>
      <c r="F2608" s="8">
        <f t="shared" si="40"/>
        <v>16872</v>
      </c>
      <c r="G2608" s="26"/>
    </row>
    <row r="2609" spans="1:9" x14ac:dyDescent="0.25">
      <c r="A2609" s="204">
        <v>42919</v>
      </c>
      <c r="B2609" s="26" t="s">
        <v>26</v>
      </c>
      <c r="C2609" s="26" t="s">
        <v>1518</v>
      </c>
      <c r="D2609" s="8">
        <v>200</v>
      </c>
      <c r="E2609" s="8"/>
      <c r="F2609" s="8">
        <f t="shared" si="40"/>
        <v>16672</v>
      </c>
      <c r="G2609" s="26"/>
    </row>
    <row r="2610" spans="1:9" ht="15.75" thickBot="1" x14ac:dyDescent="0.3">
      <c r="A2610" s="219">
        <v>42919</v>
      </c>
      <c r="B2610" s="220" t="s">
        <v>26</v>
      </c>
      <c r="C2610" s="220" t="s">
        <v>2017</v>
      </c>
      <c r="D2610" s="106">
        <v>74</v>
      </c>
      <c r="E2610" s="107"/>
      <c r="F2610" s="107">
        <f t="shared" si="40"/>
        <v>16598</v>
      </c>
      <c r="G2610" s="221"/>
      <c r="H2610" s="118"/>
      <c r="I2610" s="118"/>
    </row>
    <row r="2611" spans="1:9" ht="15.75" thickTop="1" x14ac:dyDescent="0.25">
      <c r="A2611" s="222">
        <v>42920</v>
      </c>
      <c r="B2611" s="473" t="s">
        <v>2018</v>
      </c>
      <c r="C2611" s="473"/>
      <c r="D2611" s="104"/>
      <c r="E2611" s="105">
        <v>200000</v>
      </c>
      <c r="F2611" s="13">
        <v>200000</v>
      </c>
      <c r="G2611" s="223"/>
    </row>
    <row r="2612" spans="1:9" x14ac:dyDescent="0.25">
      <c r="A2612" s="204">
        <v>42920</v>
      </c>
      <c r="B2612" s="460" t="s">
        <v>2019</v>
      </c>
      <c r="C2612" s="460"/>
      <c r="D2612" s="71"/>
      <c r="E2612" s="58">
        <v>100000</v>
      </c>
      <c r="F2612" s="8">
        <f t="shared" ref="F2612:F2731" si="41">E2612+F2611-D2612</f>
        <v>300000</v>
      </c>
      <c r="G2612" s="29"/>
    </row>
    <row r="2613" spans="1:9" x14ac:dyDescent="0.25">
      <c r="A2613" s="204">
        <v>42920</v>
      </c>
      <c r="B2613" s="26" t="s">
        <v>19</v>
      </c>
      <c r="C2613" s="26" t="s">
        <v>2020</v>
      </c>
      <c r="D2613" s="8">
        <v>2000</v>
      </c>
      <c r="E2613" s="8"/>
      <c r="F2613" s="8">
        <f t="shared" si="41"/>
        <v>298000</v>
      </c>
      <c r="G2613" s="29"/>
    </row>
    <row r="2614" spans="1:9" ht="30" x14ac:dyDescent="0.25">
      <c r="A2614" s="204">
        <v>42920</v>
      </c>
      <c r="B2614" s="26" t="s">
        <v>26</v>
      </c>
      <c r="C2614" s="87" t="s">
        <v>2046</v>
      </c>
      <c r="D2614" s="8">
        <v>418</v>
      </c>
      <c r="E2614" s="8"/>
      <c r="F2614" s="8">
        <f t="shared" si="41"/>
        <v>297582</v>
      </c>
      <c r="G2614" s="29"/>
    </row>
    <row r="2615" spans="1:9" x14ac:dyDescent="0.25">
      <c r="A2615" s="204">
        <v>42919</v>
      </c>
      <c r="B2615" s="26" t="s">
        <v>26</v>
      </c>
      <c r="C2615" s="87" t="s">
        <v>2047</v>
      </c>
      <c r="D2615" s="8">
        <v>582</v>
      </c>
      <c r="E2615" s="8"/>
      <c r="F2615" s="8">
        <f t="shared" si="41"/>
        <v>297000</v>
      </c>
      <c r="G2615" s="29"/>
    </row>
    <row r="2616" spans="1:9" x14ac:dyDescent="0.25">
      <c r="A2616" s="204">
        <v>42920</v>
      </c>
      <c r="B2616" s="26" t="s">
        <v>446</v>
      </c>
      <c r="C2616" s="26" t="s">
        <v>78</v>
      </c>
      <c r="D2616" s="8">
        <v>4000</v>
      </c>
      <c r="E2616" s="8"/>
      <c r="F2616" s="8">
        <f t="shared" si="41"/>
        <v>293000</v>
      </c>
      <c r="G2616" s="29"/>
    </row>
    <row r="2617" spans="1:9" x14ac:dyDescent="0.25">
      <c r="A2617" s="204">
        <v>42920</v>
      </c>
      <c r="B2617" s="26" t="s">
        <v>71</v>
      </c>
      <c r="C2617" s="26" t="s">
        <v>2021</v>
      </c>
      <c r="D2617" s="8">
        <v>1100</v>
      </c>
      <c r="E2617" s="8"/>
      <c r="F2617" s="8">
        <f t="shared" si="41"/>
        <v>291900</v>
      </c>
      <c r="G2617" s="26"/>
    </row>
    <row r="2618" spans="1:9" x14ac:dyDescent="0.25">
      <c r="A2618" s="204">
        <v>42920</v>
      </c>
      <c r="B2618" s="26" t="s">
        <v>4</v>
      </c>
      <c r="C2618" s="26" t="s">
        <v>2022</v>
      </c>
      <c r="D2618" s="8">
        <v>5000</v>
      </c>
      <c r="E2618" s="8"/>
      <c r="F2618" s="8">
        <f t="shared" si="41"/>
        <v>286900</v>
      </c>
      <c r="G2618" s="26"/>
    </row>
    <row r="2619" spans="1:9" x14ac:dyDescent="0.25">
      <c r="A2619" s="204">
        <v>42920</v>
      </c>
      <c r="B2619" s="26" t="s">
        <v>121</v>
      </c>
      <c r="C2619" s="26" t="s">
        <v>32</v>
      </c>
      <c r="D2619" s="8">
        <v>5000</v>
      </c>
      <c r="E2619" s="8"/>
      <c r="F2619" s="8">
        <f t="shared" si="41"/>
        <v>281900</v>
      </c>
      <c r="G2619" s="26"/>
    </row>
    <row r="2620" spans="1:9" x14ac:dyDescent="0.25">
      <c r="A2620" s="204">
        <v>42920</v>
      </c>
      <c r="B2620" s="26" t="s">
        <v>17</v>
      </c>
      <c r="C2620" s="26" t="s">
        <v>32</v>
      </c>
      <c r="D2620" s="8">
        <v>16500</v>
      </c>
      <c r="E2620" s="8"/>
      <c r="F2620" s="8">
        <f t="shared" si="41"/>
        <v>265400</v>
      </c>
      <c r="G2620" s="26"/>
    </row>
    <row r="2621" spans="1:9" x14ac:dyDescent="0.25">
      <c r="A2621" s="204">
        <v>42920</v>
      </c>
      <c r="B2621" s="26" t="s">
        <v>105</v>
      </c>
      <c r="C2621" s="26" t="s">
        <v>2023</v>
      </c>
      <c r="D2621" s="8">
        <v>1000</v>
      </c>
      <c r="E2621" s="8"/>
      <c r="F2621" s="8">
        <f t="shared" si="41"/>
        <v>264400</v>
      </c>
      <c r="G2621" s="26"/>
    </row>
    <row r="2622" spans="1:9" x14ac:dyDescent="0.25">
      <c r="A2622" s="204">
        <v>42920</v>
      </c>
      <c r="B2622" s="26" t="s">
        <v>1284</v>
      </c>
      <c r="C2622" s="26" t="s">
        <v>2024</v>
      </c>
      <c r="D2622" s="8">
        <v>10000</v>
      </c>
      <c r="E2622" s="8"/>
      <c r="F2622" s="8">
        <f t="shared" si="41"/>
        <v>254400</v>
      </c>
      <c r="G2622" s="26"/>
    </row>
    <row r="2623" spans="1:9" x14ac:dyDescent="0.25">
      <c r="A2623" s="204">
        <v>42920</v>
      </c>
      <c r="B2623" s="26" t="s">
        <v>1284</v>
      </c>
      <c r="C2623" s="26" t="s">
        <v>2025</v>
      </c>
      <c r="D2623" s="8">
        <v>2400</v>
      </c>
      <c r="E2623" s="8"/>
      <c r="F2623" s="8">
        <f t="shared" si="41"/>
        <v>252000</v>
      </c>
      <c r="G2623" s="26"/>
    </row>
    <row r="2624" spans="1:9" x14ac:dyDescent="0.25">
      <c r="A2624" s="204">
        <v>42920</v>
      </c>
      <c r="B2624" s="26" t="s">
        <v>26</v>
      </c>
      <c r="C2624" s="26" t="s">
        <v>1518</v>
      </c>
      <c r="D2624" s="8">
        <v>350</v>
      </c>
      <c r="E2624" s="8"/>
      <c r="F2624" s="8">
        <f t="shared" si="41"/>
        <v>251650</v>
      </c>
      <c r="G2624" s="26"/>
    </row>
    <row r="2625" spans="1:7" ht="45" x14ac:dyDescent="0.25">
      <c r="A2625" s="204">
        <v>42920</v>
      </c>
      <c r="B2625" s="199" t="s">
        <v>26</v>
      </c>
      <c r="C2625" s="87" t="s">
        <v>2033</v>
      </c>
      <c r="D2625" s="8">
        <v>730</v>
      </c>
      <c r="E2625" s="8"/>
      <c r="F2625" s="8">
        <f t="shared" si="41"/>
        <v>250920</v>
      </c>
      <c r="G2625" s="199"/>
    </row>
    <row r="2626" spans="1:7" x14ac:dyDescent="0.25">
      <c r="A2626" s="204">
        <v>42921</v>
      </c>
      <c r="B2626" s="26" t="s">
        <v>61</v>
      </c>
      <c r="C2626" s="26" t="s">
        <v>2026</v>
      </c>
      <c r="D2626" s="8">
        <v>2000</v>
      </c>
      <c r="E2626" s="8"/>
      <c r="F2626" s="8">
        <f t="shared" si="41"/>
        <v>248920</v>
      </c>
      <c r="G2626" s="26"/>
    </row>
    <row r="2627" spans="1:7" x14ac:dyDescent="0.25">
      <c r="A2627" s="204">
        <v>42921</v>
      </c>
      <c r="B2627" s="26" t="s">
        <v>1196</v>
      </c>
      <c r="C2627" s="26" t="s">
        <v>34</v>
      </c>
      <c r="D2627" s="8">
        <v>2000</v>
      </c>
      <c r="E2627" s="8"/>
      <c r="F2627" s="8">
        <f t="shared" si="41"/>
        <v>246920</v>
      </c>
      <c r="G2627" s="26"/>
    </row>
    <row r="2628" spans="1:7" ht="45" x14ac:dyDescent="0.25">
      <c r="A2628" s="204">
        <v>42921</v>
      </c>
      <c r="B2628" s="29" t="s">
        <v>59</v>
      </c>
      <c r="C2628" s="89" t="s">
        <v>2066</v>
      </c>
      <c r="D2628" s="14">
        <v>300</v>
      </c>
      <c r="E2628" s="8"/>
      <c r="F2628" s="8">
        <f t="shared" si="41"/>
        <v>246620</v>
      </c>
      <c r="G2628" s="26"/>
    </row>
    <row r="2629" spans="1:7" ht="30" x14ac:dyDescent="0.25">
      <c r="A2629" s="204">
        <v>42921</v>
      </c>
      <c r="B2629" s="29" t="s">
        <v>59</v>
      </c>
      <c r="C2629" s="89" t="s">
        <v>2067</v>
      </c>
      <c r="D2629" s="14">
        <v>300</v>
      </c>
      <c r="E2629" s="8"/>
      <c r="F2629" s="8">
        <f t="shared" si="41"/>
        <v>246320</v>
      </c>
      <c r="G2629" s="26"/>
    </row>
    <row r="2630" spans="1:7" ht="30" x14ac:dyDescent="0.25">
      <c r="A2630" s="204">
        <v>42921</v>
      </c>
      <c r="B2630" s="29" t="s">
        <v>59</v>
      </c>
      <c r="C2630" s="89" t="s">
        <v>2068</v>
      </c>
      <c r="D2630" s="14">
        <v>160</v>
      </c>
      <c r="E2630" s="8"/>
      <c r="F2630" s="8">
        <f t="shared" si="41"/>
        <v>246160</v>
      </c>
      <c r="G2630" s="26"/>
    </row>
    <row r="2631" spans="1:7" x14ac:dyDescent="0.25">
      <c r="A2631" s="204">
        <v>42921</v>
      </c>
      <c r="B2631" s="29" t="s">
        <v>59</v>
      </c>
      <c r="C2631" s="89" t="s">
        <v>2069</v>
      </c>
      <c r="D2631" s="14">
        <v>1440</v>
      </c>
      <c r="E2631" s="8"/>
      <c r="F2631" s="8">
        <f t="shared" si="41"/>
        <v>244720</v>
      </c>
      <c r="G2631" s="26"/>
    </row>
    <row r="2632" spans="1:7" x14ac:dyDescent="0.25">
      <c r="A2632" s="204">
        <v>42921</v>
      </c>
      <c r="B2632" s="26" t="s">
        <v>26</v>
      </c>
      <c r="C2632" s="26" t="s">
        <v>68</v>
      </c>
      <c r="D2632" s="8">
        <v>210</v>
      </c>
      <c r="E2632" s="8"/>
      <c r="F2632" s="8">
        <f t="shared" si="41"/>
        <v>244510</v>
      </c>
      <c r="G2632" s="26"/>
    </row>
    <row r="2633" spans="1:7" x14ac:dyDescent="0.25">
      <c r="A2633" s="204">
        <v>42921</v>
      </c>
      <c r="B2633" s="26" t="s">
        <v>26</v>
      </c>
      <c r="C2633" s="26" t="s">
        <v>2027</v>
      </c>
      <c r="D2633" s="8">
        <v>55</v>
      </c>
      <c r="E2633" s="8"/>
      <c r="F2633" s="8">
        <f t="shared" si="41"/>
        <v>244455</v>
      </c>
      <c r="G2633" s="26"/>
    </row>
    <row r="2634" spans="1:7" x14ac:dyDescent="0.25">
      <c r="A2634" s="204">
        <v>42921</v>
      </c>
      <c r="B2634" s="26" t="s">
        <v>26</v>
      </c>
      <c r="C2634" s="26" t="s">
        <v>2028</v>
      </c>
      <c r="D2634" s="8">
        <v>100</v>
      </c>
      <c r="E2634" s="8"/>
      <c r="F2634" s="8">
        <f t="shared" si="41"/>
        <v>244355</v>
      </c>
      <c r="G2634" s="26"/>
    </row>
    <row r="2635" spans="1:7" x14ac:dyDescent="0.25">
      <c r="A2635" s="204">
        <v>42921</v>
      </c>
      <c r="B2635" s="26" t="s">
        <v>0</v>
      </c>
      <c r="C2635" s="26" t="s">
        <v>1659</v>
      </c>
      <c r="D2635" s="8">
        <v>6000</v>
      </c>
      <c r="E2635" s="8"/>
      <c r="F2635" s="8">
        <f t="shared" si="41"/>
        <v>238355</v>
      </c>
      <c r="G2635" s="26"/>
    </row>
    <row r="2636" spans="1:7" x14ac:dyDescent="0.25">
      <c r="A2636" s="204">
        <v>42921</v>
      </c>
      <c r="B2636" s="26" t="s">
        <v>28</v>
      </c>
      <c r="C2636" s="26" t="s">
        <v>2029</v>
      </c>
      <c r="D2636" s="8">
        <v>6020</v>
      </c>
      <c r="E2636" s="8"/>
      <c r="F2636" s="8">
        <f t="shared" si="41"/>
        <v>232335</v>
      </c>
      <c r="G2636" s="26"/>
    </row>
    <row r="2637" spans="1:7" x14ac:dyDescent="0.25">
      <c r="A2637" s="204">
        <v>42921</v>
      </c>
      <c r="B2637" s="26" t="s">
        <v>26</v>
      </c>
      <c r="C2637" s="26" t="s">
        <v>2030</v>
      </c>
      <c r="D2637" s="8">
        <v>405</v>
      </c>
      <c r="E2637" s="8"/>
      <c r="F2637" s="8">
        <f t="shared" si="41"/>
        <v>231930</v>
      </c>
      <c r="G2637" s="26"/>
    </row>
    <row r="2638" spans="1:7" x14ac:dyDescent="0.25">
      <c r="A2638" s="204">
        <v>42921</v>
      </c>
      <c r="B2638" s="26" t="s">
        <v>26</v>
      </c>
      <c r="C2638" s="26" t="s">
        <v>2031</v>
      </c>
      <c r="D2638" s="8">
        <v>2500</v>
      </c>
      <c r="E2638" s="8"/>
      <c r="F2638" s="8">
        <f t="shared" si="41"/>
        <v>229430</v>
      </c>
      <c r="G2638" s="26"/>
    </row>
    <row r="2639" spans="1:7" x14ac:dyDescent="0.25">
      <c r="A2639" s="204">
        <v>42922</v>
      </c>
      <c r="B2639" s="26" t="s">
        <v>4</v>
      </c>
      <c r="C2639" s="26" t="s">
        <v>2032</v>
      </c>
      <c r="D2639" s="8">
        <v>500</v>
      </c>
      <c r="E2639" s="8"/>
      <c r="F2639" s="8">
        <f t="shared" si="41"/>
        <v>228930</v>
      </c>
      <c r="G2639" s="26"/>
    </row>
    <row r="2640" spans="1:7" x14ac:dyDescent="0.25">
      <c r="A2640" s="204">
        <v>42922</v>
      </c>
      <c r="B2640" s="26" t="s">
        <v>26</v>
      </c>
      <c r="C2640" s="26" t="s">
        <v>1518</v>
      </c>
      <c r="D2640" s="8">
        <v>100</v>
      </c>
      <c r="E2640" s="8"/>
      <c r="F2640" s="8">
        <f t="shared" si="41"/>
        <v>228830</v>
      </c>
      <c r="G2640" s="26"/>
    </row>
    <row r="2641" spans="1:7" x14ac:dyDescent="0.25">
      <c r="A2641" s="204">
        <v>42922</v>
      </c>
      <c r="B2641" s="26" t="s">
        <v>0</v>
      </c>
      <c r="C2641" s="26" t="s">
        <v>1914</v>
      </c>
      <c r="D2641" s="8">
        <v>2000</v>
      </c>
      <c r="E2641" s="8"/>
      <c r="F2641" s="8">
        <f t="shared" si="41"/>
        <v>226830</v>
      </c>
      <c r="G2641" s="26"/>
    </row>
    <row r="2642" spans="1:7" x14ac:dyDescent="0.25">
      <c r="A2642" s="204">
        <v>42922</v>
      </c>
      <c r="B2642" s="26" t="s">
        <v>248</v>
      </c>
      <c r="C2642" s="26" t="s">
        <v>1776</v>
      </c>
      <c r="D2642" s="8">
        <v>770</v>
      </c>
      <c r="E2642" s="8"/>
      <c r="F2642" s="8">
        <f t="shared" si="41"/>
        <v>226060</v>
      </c>
      <c r="G2642" s="26"/>
    </row>
    <row r="2643" spans="1:7" x14ac:dyDescent="0.25">
      <c r="A2643" s="204">
        <v>42922</v>
      </c>
      <c r="B2643" s="197" t="s">
        <v>248</v>
      </c>
      <c r="C2643" s="197" t="s">
        <v>2034</v>
      </c>
      <c r="D2643" s="75">
        <v>100</v>
      </c>
      <c r="E2643" s="8"/>
      <c r="F2643" s="8">
        <f t="shared" si="41"/>
        <v>225960</v>
      </c>
      <c r="G2643" s="26"/>
    </row>
    <row r="2644" spans="1:7" x14ac:dyDescent="0.25">
      <c r="A2644" s="204">
        <v>42922</v>
      </c>
      <c r="B2644" s="26" t="s">
        <v>121</v>
      </c>
      <c r="C2644" s="26" t="s">
        <v>641</v>
      </c>
      <c r="D2644" s="8">
        <v>1000</v>
      </c>
      <c r="E2644" s="8"/>
      <c r="F2644" s="8">
        <f t="shared" si="41"/>
        <v>224960</v>
      </c>
      <c r="G2644" s="26"/>
    </row>
    <row r="2645" spans="1:7" x14ac:dyDescent="0.25">
      <c r="A2645" s="204">
        <v>42922</v>
      </c>
      <c r="B2645" s="29" t="s">
        <v>59</v>
      </c>
      <c r="C2645" s="29" t="s">
        <v>2049</v>
      </c>
      <c r="D2645" s="14">
        <v>3800</v>
      </c>
      <c r="E2645" s="8"/>
      <c r="F2645" s="8">
        <f t="shared" si="41"/>
        <v>221160</v>
      </c>
      <c r="G2645" s="26"/>
    </row>
    <row r="2646" spans="1:7" x14ac:dyDescent="0.25">
      <c r="A2646" s="204">
        <v>42923</v>
      </c>
      <c r="B2646" s="26" t="s">
        <v>1077</v>
      </c>
      <c r="C2646" s="26" t="s">
        <v>2035</v>
      </c>
      <c r="D2646" s="8">
        <v>13170</v>
      </c>
      <c r="E2646" s="8"/>
      <c r="F2646" s="8">
        <f t="shared" si="41"/>
        <v>207990</v>
      </c>
      <c r="G2646" s="26"/>
    </row>
    <row r="2647" spans="1:7" x14ac:dyDescent="0.25">
      <c r="A2647" s="204">
        <v>42923</v>
      </c>
      <c r="B2647" s="26" t="s">
        <v>0</v>
      </c>
      <c r="C2647" s="26" t="s">
        <v>2026</v>
      </c>
      <c r="D2647" s="8">
        <v>6000</v>
      </c>
      <c r="E2647" s="8"/>
      <c r="F2647" s="8">
        <f t="shared" si="41"/>
        <v>201990</v>
      </c>
      <c r="G2647" s="26"/>
    </row>
    <row r="2648" spans="1:7" x14ac:dyDescent="0.25">
      <c r="A2648" s="204">
        <v>42923</v>
      </c>
      <c r="B2648" s="26" t="s">
        <v>1346</v>
      </c>
      <c r="C2648" s="26" t="s">
        <v>32</v>
      </c>
      <c r="D2648" s="8">
        <v>5500</v>
      </c>
      <c r="E2648" s="8"/>
      <c r="F2648" s="8">
        <f t="shared" si="41"/>
        <v>196490</v>
      </c>
      <c r="G2648" s="26"/>
    </row>
    <row r="2649" spans="1:7" ht="30" x14ac:dyDescent="0.25">
      <c r="A2649" s="204">
        <v>42923</v>
      </c>
      <c r="B2649" s="199" t="s">
        <v>1196</v>
      </c>
      <c r="C2649" s="87" t="s">
        <v>2040</v>
      </c>
      <c r="D2649" s="8">
        <v>1200</v>
      </c>
      <c r="E2649" s="8"/>
      <c r="F2649" s="8">
        <f t="shared" si="41"/>
        <v>195290</v>
      </c>
      <c r="G2649" s="199"/>
    </row>
    <row r="2650" spans="1:7" ht="30" x14ac:dyDescent="0.25">
      <c r="A2650" s="204">
        <v>42923</v>
      </c>
      <c r="B2650" s="199" t="s">
        <v>26</v>
      </c>
      <c r="C2650" s="87" t="s">
        <v>2036</v>
      </c>
      <c r="D2650" s="8">
        <v>2600</v>
      </c>
      <c r="E2650" s="8"/>
      <c r="F2650" s="8">
        <f t="shared" si="41"/>
        <v>192690</v>
      </c>
      <c r="G2650" s="199"/>
    </row>
    <row r="2651" spans="1:7" x14ac:dyDescent="0.25">
      <c r="A2651" s="204">
        <v>42923</v>
      </c>
      <c r="B2651" s="26" t="s">
        <v>28</v>
      </c>
      <c r="C2651" s="26" t="s">
        <v>32</v>
      </c>
      <c r="D2651" s="8">
        <v>3000</v>
      </c>
      <c r="E2651" s="8"/>
      <c r="F2651" s="8">
        <f t="shared" si="41"/>
        <v>189690</v>
      </c>
      <c r="G2651" s="26"/>
    </row>
    <row r="2652" spans="1:7" x14ac:dyDescent="0.25">
      <c r="A2652" s="204">
        <v>42923</v>
      </c>
      <c r="B2652" s="29" t="s">
        <v>57</v>
      </c>
      <c r="C2652" s="29" t="s">
        <v>1584</v>
      </c>
      <c r="D2652" s="14">
        <v>2500</v>
      </c>
      <c r="E2652" s="8"/>
      <c r="F2652" s="8">
        <f t="shared" si="41"/>
        <v>187190</v>
      </c>
      <c r="G2652" s="26"/>
    </row>
    <row r="2653" spans="1:7" x14ac:dyDescent="0.25">
      <c r="A2653" s="204">
        <v>42923</v>
      </c>
      <c r="B2653" s="26" t="s">
        <v>182</v>
      </c>
      <c r="C2653" s="26" t="s">
        <v>32</v>
      </c>
      <c r="D2653" s="8">
        <v>2000</v>
      </c>
      <c r="E2653" s="8"/>
      <c r="F2653" s="8">
        <f t="shared" si="41"/>
        <v>185190</v>
      </c>
      <c r="G2653" s="26"/>
    </row>
    <row r="2654" spans="1:7" x14ac:dyDescent="0.25">
      <c r="A2654" s="204">
        <v>42924</v>
      </c>
      <c r="B2654" s="26" t="s">
        <v>11</v>
      </c>
      <c r="C2654" s="26" t="s">
        <v>32</v>
      </c>
      <c r="D2654" s="8">
        <v>3000</v>
      </c>
      <c r="E2654" s="8"/>
      <c r="F2654" s="8">
        <f t="shared" si="41"/>
        <v>182190</v>
      </c>
      <c r="G2654" s="26"/>
    </row>
    <row r="2655" spans="1:7" x14ac:dyDescent="0.25">
      <c r="A2655" s="204">
        <v>42924</v>
      </c>
      <c r="B2655" s="26" t="s">
        <v>446</v>
      </c>
      <c r="C2655" s="26" t="s">
        <v>32</v>
      </c>
      <c r="D2655" s="8">
        <v>1000</v>
      </c>
      <c r="E2655" s="8"/>
      <c r="F2655" s="8">
        <f t="shared" si="41"/>
        <v>181190</v>
      </c>
      <c r="G2655" s="26"/>
    </row>
    <row r="2656" spans="1:7" x14ac:dyDescent="0.25">
      <c r="A2656" s="204">
        <v>42924</v>
      </c>
      <c r="B2656" s="26" t="s">
        <v>85</v>
      </c>
      <c r="C2656" s="26" t="s">
        <v>2037</v>
      </c>
      <c r="D2656" s="8">
        <v>2000</v>
      </c>
      <c r="E2656" s="8"/>
      <c r="F2656" s="8">
        <f t="shared" si="41"/>
        <v>179190</v>
      </c>
      <c r="G2656" s="26"/>
    </row>
    <row r="2657" spans="1:7" x14ac:dyDescent="0.25">
      <c r="A2657" s="204">
        <v>42924</v>
      </c>
      <c r="B2657" s="26" t="s">
        <v>85</v>
      </c>
      <c r="C2657" s="26" t="s">
        <v>2038</v>
      </c>
      <c r="D2657" s="8">
        <v>500</v>
      </c>
      <c r="E2657" s="8"/>
      <c r="F2657" s="8">
        <f t="shared" si="41"/>
        <v>178690</v>
      </c>
      <c r="G2657" s="26"/>
    </row>
    <row r="2658" spans="1:7" ht="30" x14ac:dyDescent="0.25">
      <c r="A2658" s="204">
        <v>42924</v>
      </c>
      <c r="B2658" s="199" t="s">
        <v>26</v>
      </c>
      <c r="C2658" s="87" t="s">
        <v>2039</v>
      </c>
      <c r="D2658" s="91">
        <v>458</v>
      </c>
      <c r="E2658" s="8"/>
      <c r="F2658" s="8">
        <f t="shared" si="41"/>
        <v>178232</v>
      </c>
      <c r="G2658" s="199"/>
    </row>
    <row r="2659" spans="1:7" x14ac:dyDescent="0.25">
      <c r="A2659" s="204">
        <v>42924</v>
      </c>
      <c r="B2659" s="26" t="s">
        <v>542</v>
      </c>
      <c r="C2659" s="26" t="s">
        <v>2041</v>
      </c>
      <c r="D2659" s="8">
        <v>600</v>
      </c>
      <c r="E2659" s="8"/>
      <c r="F2659" s="8">
        <f t="shared" si="41"/>
        <v>177632</v>
      </c>
      <c r="G2659" s="26"/>
    </row>
    <row r="2660" spans="1:7" x14ac:dyDescent="0.25">
      <c r="A2660" s="204">
        <v>42924</v>
      </c>
      <c r="B2660" s="26" t="s">
        <v>85</v>
      </c>
      <c r="C2660" s="26" t="s">
        <v>2042</v>
      </c>
      <c r="D2660" s="8">
        <v>1000</v>
      </c>
      <c r="E2660" s="8"/>
      <c r="F2660" s="8">
        <f t="shared" si="41"/>
        <v>176632</v>
      </c>
      <c r="G2660" s="26"/>
    </row>
    <row r="2661" spans="1:7" x14ac:dyDescent="0.25">
      <c r="A2661" s="204">
        <v>42924</v>
      </c>
      <c r="B2661" s="26" t="s">
        <v>2043</v>
      </c>
      <c r="C2661" s="26" t="s">
        <v>2044</v>
      </c>
      <c r="D2661" s="8">
        <v>20000</v>
      </c>
      <c r="E2661" s="8"/>
      <c r="F2661" s="8">
        <f t="shared" si="41"/>
        <v>156632</v>
      </c>
      <c r="G2661" s="26"/>
    </row>
    <row r="2662" spans="1:7" x14ac:dyDescent="0.25">
      <c r="A2662" s="204">
        <v>42924</v>
      </c>
      <c r="B2662" s="218" t="s">
        <v>121</v>
      </c>
      <c r="C2662" s="218" t="s">
        <v>2045</v>
      </c>
      <c r="D2662" s="97">
        <v>24000</v>
      </c>
      <c r="E2662" s="8"/>
      <c r="F2662" s="8">
        <f t="shared" si="41"/>
        <v>132632</v>
      </c>
      <c r="G2662" s="26"/>
    </row>
    <row r="2663" spans="1:7" ht="30" x14ac:dyDescent="0.25">
      <c r="A2663" s="204">
        <v>42926</v>
      </c>
      <c r="B2663" s="26" t="s">
        <v>26</v>
      </c>
      <c r="C2663" s="87" t="s">
        <v>2048</v>
      </c>
      <c r="D2663" s="8">
        <v>1000</v>
      </c>
      <c r="E2663" s="8"/>
      <c r="F2663" s="8">
        <f t="shared" si="41"/>
        <v>131632</v>
      </c>
      <c r="G2663" s="26"/>
    </row>
    <row r="2664" spans="1:7" x14ac:dyDescent="0.25">
      <c r="A2664" s="204">
        <v>42926</v>
      </c>
      <c r="B2664" s="26" t="s">
        <v>4</v>
      </c>
      <c r="C2664" s="26" t="s">
        <v>32</v>
      </c>
      <c r="D2664" s="8">
        <v>4000</v>
      </c>
      <c r="E2664" s="8"/>
      <c r="F2664" s="8">
        <f t="shared" si="41"/>
        <v>127632</v>
      </c>
      <c r="G2664" s="26"/>
    </row>
    <row r="2665" spans="1:7" x14ac:dyDescent="0.25">
      <c r="A2665" s="204">
        <v>42926</v>
      </c>
      <c r="B2665" s="26" t="s">
        <v>28</v>
      </c>
      <c r="C2665" s="26" t="s">
        <v>2050</v>
      </c>
      <c r="D2665" s="8">
        <v>1000</v>
      </c>
      <c r="E2665" s="8"/>
      <c r="F2665" s="8">
        <f t="shared" si="41"/>
        <v>126632</v>
      </c>
      <c r="G2665" s="26"/>
    </row>
    <row r="2666" spans="1:7" ht="60" x14ac:dyDescent="0.25">
      <c r="A2666" s="204">
        <v>42926</v>
      </c>
      <c r="B2666" s="26" t="s">
        <v>26</v>
      </c>
      <c r="C2666" s="87" t="s">
        <v>2073</v>
      </c>
      <c r="D2666" s="8">
        <v>1076</v>
      </c>
      <c r="E2666" s="8"/>
      <c r="F2666" s="8">
        <f t="shared" si="41"/>
        <v>125556</v>
      </c>
      <c r="G2666" s="26"/>
    </row>
    <row r="2667" spans="1:7" x14ac:dyDescent="0.25">
      <c r="A2667" s="204">
        <v>42926</v>
      </c>
      <c r="B2667" s="26" t="s">
        <v>48</v>
      </c>
      <c r="C2667" s="26" t="s">
        <v>2051</v>
      </c>
      <c r="D2667" s="8">
        <v>270</v>
      </c>
      <c r="E2667" s="8"/>
      <c r="F2667" s="8">
        <f t="shared" si="41"/>
        <v>125286</v>
      </c>
      <c r="G2667" s="26"/>
    </row>
    <row r="2668" spans="1:7" x14ac:dyDescent="0.25">
      <c r="A2668" s="204">
        <v>42926</v>
      </c>
      <c r="B2668" s="26" t="s">
        <v>19</v>
      </c>
      <c r="C2668" s="26" t="s">
        <v>32</v>
      </c>
      <c r="D2668" s="8">
        <v>1500</v>
      </c>
      <c r="E2668" s="8"/>
      <c r="F2668" s="8">
        <f t="shared" si="41"/>
        <v>123786</v>
      </c>
      <c r="G2668" s="26"/>
    </row>
    <row r="2669" spans="1:7" x14ac:dyDescent="0.25">
      <c r="A2669" s="204">
        <v>42926</v>
      </c>
      <c r="B2669" s="26" t="s">
        <v>28</v>
      </c>
      <c r="C2669" s="26" t="s">
        <v>2052</v>
      </c>
      <c r="D2669" s="8">
        <v>400</v>
      </c>
      <c r="E2669" s="8"/>
      <c r="F2669" s="8">
        <f t="shared" si="41"/>
        <v>123386</v>
      </c>
      <c r="G2669" s="26"/>
    </row>
    <row r="2670" spans="1:7" ht="30" x14ac:dyDescent="0.25">
      <c r="A2670" s="204">
        <v>42926</v>
      </c>
      <c r="B2670" s="26" t="s">
        <v>57</v>
      </c>
      <c r="C2670" s="87" t="s">
        <v>2053</v>
      </c>
      <c r="D2670" s="8">
        <v>150</v>
      </c>
      <c r="E2670" s="8"/>
      <c r="F2670" s="8">
        <f t="shared" si="41"/>
        <v>123236</v>
      </c>
      <c r="G2670" s="26"/>
    </row>
    <row r="2671" spans="1:7" x14ac:dyDescent="0.25">
      <c r="A2671" s="204">
        <v>42926</v>
      </c>
      <c r="B2671" s="460" t="s">
        <v>95</v>
      </c>
      <c r="C2671" s="460"/>
      <c r="D2671" s="71"/>
      <c r="E2671" s="58">
        <v>2587</v>
      </c>
      <c r="F2671" s="8">
        <f t="shared" si="41"/>
        <v>125823</v>
      </c>
      <c r="G2671" s="26"/>
    </row>
    <row r="2672" spans="1:7" x14ac:dyDescent="0.25">
      <c r="A2672" s="204">
        <v>42927</v>
      </c>
      <c r="B2672" s="26" t="s">
        <v>2054</v>
      </c>
      <c r="C2672" s="26" t="s">
        <v>2055</v>
      </c>
      <c r="D2672" s="8">
        <v>50</v>
      </c>
      <c r="E2672" s="8"/>
      <c r="F2672" s="8">
        <f t="shared" si="41"/>
        <v>125773</v>
      </c>
      <c r="G2672" s="26"/>
    </row>
    <row r="2673" spans="1:7" ht="30" x14ac:dyDescent="0.25">
      <c r="A2673" s="204">
        <v>42927</v>
      </c>
      <c r="B2673" s="29" t="s">
        <v>2056</v>
      </c>
      <c r="C2673" s="89" t="s">
        <v>2060</v>
      </c>
      <c r="D2673" s="14">
        <v>89580</v>
      </c>
      <c r="E2673" s="8"/>
      <c r="F2673" s="8">
        <f t="shared" si="41"/>
        <v>36193</v>
      </c>
      <c r="G2673" s="26"/>
    </row>
    <row r="2674" spans="1:7" x14ac:dyDescent="0.25">
      <c r="A2674" s="204">
        <v>42927</v>
      </c>
      <c r="B2674" s="26" t="s">
        <v>2057</v>
      </c>
      <c r="C2674" s="26" t="s">
        <v>2058</v>
      </c>
      <c r="D2674" s="8">
        <v>220</v>
      </c>
      <c r="E2674" s="8"/>
      <c r="F2674" s="8">
        <f t="shared" si="41"/>
        <v>35973</v>
      </c>
      <c r="G2674" s="26"/>
    </row>
    <row r="2675" spans="1:7" x14ac:dyDescent="0.25">
      <c r="A2675" s="204">
        <v>42927</v>
      </c>
      <c r="B2675" s="26" t="s">
        <v>26</v>
      </c>
      <c r="C2675" s="26" t="s">
        <v>1518</v>
      </c>
      <c r="D2675" s="8">
        <v>180</v>
      </c>
      <c r="E2675" s="8"/>
      <c r="F2675" s="8">
        <f t="shared" si="41"/>
        <v>35793</v>
      </c>
      <c r="G2675" s="26"/>
    </row>
    <row r="2676" spans="1:7" x14ac:dyDescent="0.25">
      <c r="A2676" s="204">
        <v>42927</v>
      </c>
      <c r="B2676" s="26" t="s">
        <v>2062</v>
      </c>
      <c r="C2676" s="26" t="s">
        <v>2063</v>
      </c>
      <c r="D2676" s="8">
        <v>9140</v>
      </c>
      <c r="E2676" s="8"/>
      <c r="F2676" s="8">
        <f t="shared" si="41"/>
        <v>26653</v>
      </c>
      <c r="G2676" s="26"/>
    </row>
    <row r="2677" spans="1:7" x14ac:dyDescent="0.25">
      <c r="A2677" s="204">
        <v>42927</v>
      </c>
      <c r="B2677" s="26" t="s">
        <v>28</v>
      </c>
      <c r="C2677" s="26" t="s">
        <v>2059</v>
      </c>
      <c r="D2677" s="8">
        <v>500</v>
      </c>
      <c r="E2677" s="8"/>
      <c r="F2677" s="8">
        <f t="shared" si="41"/>
        <v>26153</v>
      </c>
      <c r="G2677" s="26"/>
    </row>
    <row r="2678" spans="1:7" ht="60" x14ac:dyDescent="0.25">
      <c r="A2678" s="204">
        <v>42927</v>
      </c>
      <c r="B2678" s="205" t="s">
        <v>59</v>
      </c>
      <c r="C2678" s="206" t="s">
        <v>2071</v>
      </c>
      <c r="D2678" s="92">
        <v>400</v>
      </c>
      <c r="E2678" s="91"/>
      <c r="F2678" s="91">
        <f t="shared" si="41"/>
        <v>25753</v>
      </c>
      <c r="G2678" s="199"/>
    </row>
    <row r="2679" spans="1:7" x14ac:dyDescent="0.25">
      <c r="A2679" s="204">
        <v>42927</v>
      </c>
      <c r="B2679" s="29" t="s">
        <v>26</v>
      </c>
      <c r="C2679" s="89" t="s">
        <v>1690</v>
      </c>
      <c r="D2679" s="14">
        <v>418</v>
      </c>
      <c r="E2679" s="8"/>
      <c r="F2679" s="8">
        <f t="shared" si="41"/>
        <v>25335</v>
      </c>
      <c r="G2679" s="26"/>
    </row>
    <row r="2680" spans="1:7" x14ac:dyDescent="0.25">
      <c r="A2680" s="204">
        <v>42927</v>
      </c>
      <c r="B2680" s="29" t="s">
        <v>59</v>
      </c>
      <c r="C2680" s="89" t="s">
        <v>2064</v>
      </c>
      <c r="D2680" s="14">
        <v>500</v>
      </c>
      <c r="E2680" s="8"/>
      <c r="F2680" s="8">
        <f t="shared" si="41"/>
        <v>24835</v>
      </c>
      <c r="G2680" s="26"/>
    </row>
    <row r="2681" spans="1:7" x14ac:dyDescent="0.25">
      <c r="A2681" s="204">
        <v>42927</v>
      </c>
      <c r="B2681" s="26" t="s">
        <v>17</v>
      </c>
      <c r="C2681" s="26" t="s">
        <v>2061</v>
      </c>
      <c r="D2681" s="8">
        <v>800</v>
      </c>
      <c r="E2681" s="8"/>
      <c r="F2681" s="8">
        <f t="shared" si="41"/>
        <v>24035</v>
      </c>
      <c r="G2681" s="26"/>
    </row>
    <row r="2682" spans="1:7" x14ac:dyDescent="0.25">
      <c r="A2682" s="204">
        <v>42928</v>
      </c>
      <c r="B2682" s="26" t="s">
        <v>446</v>
      </c>
      <c r="C2682" s="26" t="s">
        <v>32</v>
      </c>
      <c r="D2682" s="8">
        <v>1000</v>
      </c>
      <c r="E2682" s="8"/>
      <c r="F2682" s="8">
        <f t="shared" si="41"/>
        <v>23035</v>
      </c>
      <c r="G2682" s="26"/>
    </row>
    <row r="2683" spans="1:7" x14ac:dyDescent="0.25">
      <c r="A2683" s="204">
        <v>42928</v>
      </c>
      <c r="B2683" s="26" t="s">
        <v>1196</v>
      </c>
      <c r="C2683" s="26" t="s">
        <v>2065</v>
      </c>
      <c r="D2683" s="8">
        <v>2400</v>
      </c>
      <c r="E2683" s="8"/>
      <c r="F2683" s="8">
        <f t="shared" si="41"/>
        <v>20635</v>
      </c>
      <c r="G2683" s="26"/>
    </row>
    <row r="2684" spans="1:7" x14ac:dyDescent="0.25">
      <c r="A2684" s="204">
        <v>42928</v>
      </c>
      <c r="B2684" s="26" t="s">
        <v>85</v>
      </c>
      <c r="C2684" s="26" t="s">
        <v>2070</v>
      </c>
      <c r="D2684" s="8">
        <v>1000</v>
      </c>
      <c r="E2684" s="8"/>
      <c r="F2684" s="8">
        <f t="shared" si="41"/>
        <v>19635</v>
      </c>
      <c r="G2684" s="26"/>
    </row>
    <row r="2685" spans="1:7" ht="30" x14ac:dyDescent="0.25">
      <c r="A2685" s="204">
        <v>42928</v>
      </c>
      <c r="B2685" s="199" t="s">
        <v>26</v>
      </c>
      <c r="C2685" s="87" t="s">
        <v>2072</v>
      </c>
      <c r="D2685" s="91">
        <v>440</v>
      </c>
      <c r="E2685" s="8"/>
      <c r="F2685" s="8">
        <f t="shared" si="41"/>
        <v>19195</v>
      </c>
      <c r="G2685" s="199"/>
    </row>
    <row r="2686" spans="1:7" x14ac:dyDescent="0.25">
      <c r="A2686" s="204">
        <v>42929</v>
      </c>
      <c r="B2686" s="26" t="s">
        <v>4</v>
      </c>
      <c r="C2686" s="87" t="s">
        <v>32</v>
      </c>
      <c r="D2686" s="8">
        <v>2000</v>
      </c>
      <c r="E2686" s="8"/>
      <c r="F2686" s="8">
        <f t="shared" si="41"/>
        <v>17195</v>
      </c>
      <c r="G2686" s="26"/>
    </row>
    <row r="2687" spans="1:7" x14ac:dyDescent="0.25">
      <c r="A2687" s="204">
        <v>42929</v>
      </c>
      <c r="B2687" s="26" t="s">
        <v>28</v>
      </c>
      <c r="C2687" s="87" t="s">
        <v>2074</v>
      </c>
      <c r="D2687" s="8">
        <v>500</v>
      </c>
      <c r="E2687" s="8"/>
      <c r="F2687" s="8">
        <f t="shared" si="41"/>
        <v>16695</v>
      </c>
      <c r="G2687" s="26"/>
    </row>
    <row r="2688" spans="1:7" x14ac:dyDescent="0.25">
      <c r="A2688" s="204">
        <v>42929</v>
      </c>
      <c r="B2688" s="26" t="s">
        <v>1346</v>
      </c>
      <c r="C2688" s="87" t="s">
        <v>2075</v>
      </c>
      <c r="D2688" s="8">
        <v>7000</v>
      </c>
      <c r="E2688" s="8"/>
      <c r="F2688" s="8">
        <f t="shared" si="41"/>
        <v>9695</v>
      </c>
      <c r="G2688" s="26"/>
    </row>
    <row r="2689" spans="1:8" x14ac:dyDescent="0.25">
      <c r="A2689" s="204">
        <v>42929</v>
      </c>
      <c r="B2689" s="26" t="s">
        <v>26</v>
      </c>
      <c r="C2689" s="87" t="s">
        <v>2076</v>
      </c>
      <c r="D2689" s="8">
        <v>425</v>
      </c>
      <c r="E2689" s="8"/>
      <c r="F2689" s="8">
        <f t="shared" si="41"/>
        <v>9270</v>
      </c>
      <c r="G2689" s="26"/>
    </row>
    <row r="2690" spans="1:8" x14ac:dyDescent="0.25">
      <c r="A2690" s="204">
        <v>42929</v>
      </c>
      <c r="B2690" s="26" t="s">
        <v>57</v>
      </c>
      <c r="C2690" s="87" t="s">
        <v>32</v>
      </c>
      <c r="D2690" s="8">
        <v>1000</v>
      </c>
      <c r="E2690" s="8"/>
      <c r="F2690" s="8">
        <f t="shared" si="41"/>
        <v>8270</v>
      </c>
      <c r="G2690" s="26"/>
      <c r="H2690" s="24"/>
    </row>
    <row r="2691" spans="1:8" x14ac:dyDescent="0.25">
      <c r="A2691" s="204">
        <v>42929</v>
      </c>
      <c r="B2691" s="26" t="s">
        <v>85</v>
      </c>
      <c r="C2691" s="87" t="s">
        <v>2077</v>
      </c>
      <c r="D2691" s="8">
        <v>2000</v>
      </c>
      <c r="E2691" s="8"/>
      <c r="F2691" s="8">
        <f t="shared" si="41"/>
        <v>6270</v>
      </c>
      <c r="G2691" s="26"/>
    </row>
    <row r="2692" spans="1:8" x14ac:dyDescent="0.25">
      <c r="A2692" s="204">
        <v>42930</v>
      </c>
      <c r="B2692" s="26" t="s">
        <v>26</v>
      </c>
      <c r="C2692" s="87" t="s">
        <v>2078</v>
      </c>
      <c r="D2692" s="8">
        <v>100</v>
      </c>
      <c r="E2692" s="8"/>
      <c r="F2692" s="8">
        <f t="shared" si="41"/>
        <v>6170</v>
      </c>
      <c r="G2692" s="26"/>
    </row>
    <row r="2693" spans="1:8" x14ac:dyDescent="0.25">
      <c r="A2693" s="204">
        <v>42930</v>
      </c>
      <c r="B2693" s="26" t="s">
        <v>85</v>
      </c>
      <c r="C2693" s="87" t="s">
        <v>2079</v>
      </c>
      <c r="D2693" s="8">
        <v>200</v>
      </c>
      <c r="E2693" s="8"/>
      <c r="F2693" s="8">
        <f t="shared" si="41"/>
        <v>5970</v>
      </c>
      <c r="G2693" s="26"/>
    </row>
    <row r="2694" spans="1:8" x14ac:dyDescent="0.25">
      <c r="A2694" s="204">
        <v>42930</v>
      </c>
      <c r="B2694" s="26" t="s">
        <v>26</v>
      </c>
      <c r="C2694" s="87" t="s">
        <v>1518</v>
      </c>
      <c r="D2694" s="8">
        <v>120</v>
      </c>
      <c r="E2694" s="8"/>
      <c r="F2694" s="8">
        <f t="shared" si="41"/>
        <v>5850</v>
      </c>
      <c r="G2694" s="26"/>
    </row>
    <row r="2695" spans="1:8" x14ac:dyDescent="0.25">
      <c r="A2695" s="204">
        <v>42930</v>
      </c>
      <c r="B2695" s="26" t="s">
        <v>26</v>
      </c>
      <c r="C2695" s="87" t="s">
        <v>2080</v>
      </c>
      <c r="D2695" s="8">
        <v>480</v>
      </c>
      <c r="E2695" s="8"/>
      <c r="F2695" s="8">
        <f t="shared" si="41"/>
        <v>5370</v>
      </c>
      <c r="G2695" s="26"/>
    </row>
    <row r="2696" spans="1:8" x14ac:dyDescent="0.25">
      <c r="A2696" s="204">
        <v>42930</v>
      </c>
      <c r="B2696" s="26" t="s">
        <v>26</v>
      </c>
      <c r="C2696" s="87" t="s">
        <v>2086</v>
      </c>
      <c r="D2696" s="8">
        <v>150</v>
      </c>
      <c r="E2696" s="8"/>
      <c r="F2696" s="8">
        <f t="shared" si="41"/>
        <v>5220</v>
      </c>
      <c r="G2696" s="26"/>
    </row>
    <row r="2697" spans="1:8" x14ac:dyDescent="0.25">
      <c r="A2697" s="204">
        <v>42930</v>
      </c>
      <c r="B2697" s="26" t="s">
        <v>64</v>
      </c>
      <c r="C2697" s="87" t="s">
        <v>2081</v>
      </c>
      <c r="D2697" s="8">
        <v>500</v>
      </c>
      <c r="E2697" s="8"/>
      <c r="F2697" s="8">
        <f t="shared" si="41"/>
        <v>4720</v>
      </c>
      <c r="G2697" s="26"/>
    </row>
    <row r="2698" spans="1:8" x14ac:dyDescent="0.25">
      <c r="A2698" s="204">
        <v>42930</v>
      </c>
      <c r="B2698" s="26" t="s">
        <v>26</v>
      </c>
      <c r="C2698" s="87" t="s">
        <v>2082</v>
      </c>
      <c r="D2698" s="8">
        <v>180</v>
      </c>
      <c r="E2698" s="8"/>
      <c r="F2698" s="8">
        <f t="shared" si="41"/>
        <v>4540</v>
      </c>
      <c r="G2698" s="26"/>
    </row>
    <row r="2699" spans="1:8" x14ac:dyDescent="0.25">
      <c r="A2699" s="204">
        <v>42931</v>
      </c>
      <c r="B2699" s="26" t="s">
        <v>1196</v>
      </c>
      <c r="C2699" s="87" t="s">
        <v>2083</v>
      </c>
      <c r="D2699" s="8">
        <v>1000</v>
      </c>
      <c r="E2699" s="8"/>
      <c r="F2699" s="8">
        <f t="shared" si="41"/>
        <v>3540</v>
      </c>
      <c r="G2699" s="26"/>
    </row>
    <row r="2700" spans="1:8" x14ac:dyDescent="0.25">
      <c r="A2700" s="204">
        <v>42931</v>
      </c>
      <c r="B2700" s="26" t="s">
        <v>2084</v>
      </c>
      <c r="C2700" s="87" t="s">
        <v>2085</v>
      </c>
      <c r="D2700" s="8">
        <v>1275</v>
      </c>
      <c r="E2700" s="8"/>
      <c r="F2700" s="8">
        <f t="shared" si="41"/>
        <v>2265</v>
      </c>
      <c r="G2700" s="26"/>
    </row>
    <row r="2701" spans="1:8" x14ac:dyDescent="0.25">
      <c r="A2701" s="204">
        <v>42931</v>
      </c>
      <c r="B2701" s="26" t="s">
        <v>26</v>
      </c>
      <c r="C2701" s="87" t="s">
        <v>1518</v>
      </c>
      <c r="D2701" s="8">
        <v>110</v>
      </c>
      <c r="E2701" s="8"/>
      <c r="F2701" s="8">
        <f t="shared" si="41"/>
        <v>2155</v>
      </c>
      <c r="G2701" s="26"/>
    </row>
    <row r="2702" spans="1:8" x14ac:dyDescent="0.25">
      <c r="A2702" s="204">
        <v>42931</v>
      </c>
      <c r="B2702" s="26" t="s">
        <v>26</v>
      </c>
      <c r="C2702" s="87" t="s">
        <v>2087</v>
      </c>
      <c r="D2702" s="8">
        <v>330</v>
      </c>
      <c r="E2702" s="8"/>
      <c r="F2702" s="8">
        <f t="shared" si="41"/>
        <v>1825</v>
      </c>
      <c r="G2702" s="26"/>
    </row>
    <row r="2703" spans="1:8" x14ac:dyDescent="0.25">
      <c r="A2703" s="204">
        <v>42931</v>
      </c>
      <c r="B2703" s="460" t="s">
        <v>2088</v>
      </c>
      <c r="C2703" s="460"/>
      <c r="D2703" s="71"/>
      <c r="E2703" s="58">
        <v>50000</v>
      </c>
      <c r="F2703" s="8">
        <f t="shared" si="41"/>
        <v>51825</v>
      </c>
      <c r="G2703" s="26"/>
    </row>
    <row r="2704" spans="1:8" x14ac:dyDescent="0.25">
      <c r="A2704" s="204">
        <v>42931</v>
      </c>
      <c r="B2704" s="26" t="s">
        <v>2089</v>
      </c>
      <c r="C2704" s="87" t="s">
        <v>2097</v>
      </c>
      <c r="D2704" s="8">
        <v>15944</v>
      </c>
      <c r="E2704" s="8"/>
      <c r="F2704" s="8">
        <f t="shared" si="41"/>
        <v>35881</v>
      </c>
      <c r="G2704" s="26"/>
    </row>
    <row r="2705" spans="1:7" x14ac:dyDescent="0.25">
      <c r="A2705" s="204">
        <v>42931</v>
      </c>
      <c r="B2705" s="26" t="s">
        <v>2090</v>
      </c>
      <c r="C2705" s="87" t="s">
        <v>2091</v>
      </c>
      <c r="D2705" s="8">
        <v>1000</v>
      </c>
      <c r="E2705" s="8"/>
      <c r="F2705" s="8">
        <f t="shared" si="41"/>
        <v>34881</v>
      </c>
      <c r="G2705" s="26"/>
    </row>
    <row r="2706" spans="1:7" x14ac:dyDescent="0.25">
      <c r="A2706" s="204">
        <v>42931</v>
      </c>
      <c r="B2706" s="26" t="s">
        <v>105</v>
      </c>
      <c r="C2706" s="87" t="s">
        <v>32</v>
      </c>
      <c r="D2706" s="8">
        <v>1500</v>
      </c>
      <c r="E2706" s="8"/>
      <c r="F2706" s="8">
        <f t="shared" si="41"/>
        <v>33381</v>
      </c>
      <c r="G2706" s="26"/>
    </row>
    <row r="2707" spans="1:7" x14ac:dyDescent="0.25">
      <c r="A2707" s="204">
        <v>42931</v>
      </c>
      <c r="B2707" s="26" t="s">
        <v>85</v>
      </c>
      <c r="C2707" s="87" t="s">
        <v>2092</v>
      </c>
      <c r="D2707" s="8">
        <v>3000</v>
      </c>
      <c r="E2707" s="8"/>
      <c r="F2707" s="8">
        <f t="shared" si="41"/>
        <v>30381</v>
      </c>
      <c r="G2707" s="26"/>
    </row>
    <row r="2708" spans="1:7" x14ac:dyDescent="0.25">
      <c r="A2708" s="204">
        <v>42931</v>
      </c>
      <c r="B2708" s="26" t="s">
        <v>28</v>
      </c>
      <c r="C2708" s="87" t="s">
        <v>2093</v>
      </c>
      <c r="D2708" s="8">
        <v>1630</v>
      </c>
      <c r="E2708" s="8"/>
      <c r="F2708" s="8">
        <f t="shared" si="41"/>
        <v>28751</v>
      </c>
      <c r="G2708" s="26"/>
    </row>
    <row r="2709" spans="1:7" x14ac:dyDescent="0.25">
      <c r="A2709" s="204">
        <v>42931</v>
      </c>
      <c r="B2709" s="26" t="s">
        <v>10</v>
      </c>
      <c r="C2709" s="87" t="s">
        <v>2094</v>
      </c>
      <c r="D2709" s="8">
        <v>500</v>
      </c>
      <c r="E2709" s="8"/>
      <c r="F2709" s="8">
        <f t="shared" si="41"/>
        <v>28251</v>
      </c>
      <c r="G2709" s="26"/>
    </row>
    <row r="2710" spans="1:7" x14ac:dyDescent="0.25">
      <c r="A2710" s="204">
        <v>42933</v>
      </c>
      <c r="B2710" s="26" t="s">
        <v>2099</v>
      </c>
      <c r="C2710" s="87" t="s">
        <v>2109</v>
      </c>
      <c r="D2710" s="8">
        <v>10000</v>
      </c>
      <c r="E2710" s="8"/>
      <c r="F2710" s="8">
        <f t="shared" si="41"/>
        <v>18251</v>
      </c>
      <c r="G2710" s="26"/>
    </row>
    <row r="2711" spans="1:7" x14ac:dyDescent="0.25">
      <c r="A2711" s="204">
        <v>42933</v>
      </c>
      <c r="B2711" s="26" t="s">
        <v>26</v>
      </c>
      <c r="C2711" s="87" t="s">
        <v>2100</v>
      </c>
      <c r="D2711" s="8">
        <v>800</v>
      </c>
      <c r="E2711" s="8"/>
      <c r="F2711" s="8">
        <f t="shared" si="41"/>
        <v>17451</v>
      </c>
      <c r="G2711" s="26"/>
    </row>
    <row r="2712" spans="1:7" x14ac:dyDescent="0.25">
      <c r="A2712" s="204">
        <v>42933</v>
      </c>
      <c r="B2712" s="26" t="s">
        <v>26</v>
      </c>
      <c r="C2712" s="87" t="s">
        <v>2101</v>
      </c>
      <c r="D2712" s="8">
        <v>180</v>
      </c>
      <c r="E2712" s="8"/>
      <c r="F2712" s="8">
        <f t="shared" si="41"/>
        <v>17271</v>
      </c>
      <c r="G2712" s="26"/>
    </row>
    <row r="2713" spans="1:7" x14ac:dyDescent="0.25">
      <c r="A2713" s="204">
        <v>42933</v>
      </c>
      <c r="B2713" s="26" t="s">
        <v>105</v>
      </c>
      <c r="C2713" s="87" t="s">
        <v>2095</v>
      </c>
      <c r="D2713" s="8">
        <v>3000</v>
      </c>
      <c r="E2713" s="8"/>
      <c r="F2713" s="8">
        <f t="shared" si="41"/>
        <v>14271</v>
      </c>
      <c r="G2713" s="26"/>
    </row>
    <row r="2714" spans="1:7" x14ac:dyDescent="0.25">
      <c r="A2714" s="204">
        <v>42933</v>
      </c>
      <c r="B2714" s="26" t="s">
        <v>17</v>
      </c>
      <c r="C2714" s="87" t="s">
        <v>2096</v>
      </c>
      <c r="D2714" s="8">
        <v>520</v>
      </c>
      <c r="E2714" s="8"/>
      <c r="F2714" s="8">
        <f t="shared" si="41"/>
        <v>13751</v>
      </c>
      <c r="G2714" s="26"/>
    </row>
    <row r="2715" spans="1:7" ht="30" x14ac:dyDescent="0.25">
      <c r="A2715" s="204">
        <v>42933</v>
      </c>
      <c r="B2715" s="26" t="s">
        <v>28</v>
      </c>
      <c r="C2715" s="87" t="s">
        <v>2105</v>
      </c>
      <c r="D2715" s="8">
        <v>8000</v>
      </c>
      <c r="E2715" s="8"/>
      <c r="F2715" s="8">
        <f t="shared" si="41"/>
        <v>5751</v>
      </c>
      <c r="G2715" s="26"/>
    </row>
    <row r="2716" spans="1:7" x14ac:dyDescent="0.25">
      <c r="A2716" s="204">
        <v>42933</v>
      </c>
      <c r="B2716" s="460" t="s">
        <v>2104</v>
      </c>
      <c r="C2716" s="460"/>
      <c r="D2716" s="71"/>
      <c r="E2716" s="58">
        <v>8000</v>
      </c>
      <c r="F2716" s="8">
        <f t="shared" si="41"/>
        <v>13751</v>
      </c>
      <c r="G2716" s="26"/>
    </row>
    <row r="2717" spans="1:7" x14ac:dyDescent="0.25">
      <c r="A2717" s="204">
        <v>42933</v>
      </c>
      <c r="B2717" s="460" t="s">
        <v>2088</v>
      </c>
      <c r="C2717" s="460"/>
      <c r="D2717" s="71"/>
      <c r="E2717" s="58">
        <v>100000</v>
      </c>
      <c r="F2717" s="8">
        <f t="shared" si="41"/>
        <v>113751</v>
      </c>
      <c r="G2717" s="26"/>
    </row>
    <row r="2718" spans="1:7" x14ac:dyDescent="0.25">
      <c r="A2718" s="204">
        <v>42934</v>
      </c>
      <c r="B2718" s="26" t="s">
        <v>2089</v>
      </c>
      <c r="C2718" s="87" t="s">
        <v>2098</v>
      </c>
      <c r="D2718" s="8">
        <v>50000</v>
      </c>
      <c r="E2718" s="8"/>
      <c r="F2718" s="8">
        <f t="shared" si="41"/>
        <v>63751</v>
      </c>
      <c r="G2718" s="26"/>
    </row>
    <row r="2719" spans="1:7" x14ac:dyDescent="0.25">
      <c r="A2719" s="204">
        <v>42934</v>
      </c>
      <c r="B2719" s="26" t="s">
        <v>2099</v>
      </c>
      <c r="C2719" s="87" t="s">
        <v>32</v>
      </c>
      <c r="D2719" s="8">
        <v>30000</v>
      </c>
      <c r="E2719" s="8"/>
      <c r="F2719" s="8">
        <f t="shared" si="41"/>
        <v>33751</v>
      </c>
      <c r="G2719" s="26"/>
    </row>
    <row r="2720" spans="1:7" x14ac:dyDescent="0.25">
      <c r="A2720" s="204">
        <v>42934</v>
      </c>
      <c r="B2720" s="26" t="s">
        <v>17</v>
      </c>
      <c r="C2720" s="87" t="s">
        <v>32</v>
      </c>
      <c r="D2720" s="8">
        <v>1500</v>
      </c>
      <c r="E2720" s="8"/>
      <c r="F2720" s="8">
        <f t="shared" si="41"/>
        <v>32251</v>
      </c>
      <c r="G2720" s="26"/>
    </row>
    <row r="2721" spans="1:10" x14ac:dyDescent="0.25">
      <c r="A2721" s="204">
        <v>42934</v>
      </c>
      <c r="B2721" s="26" t="s">
        <v>26</v>
      </c>
      <c r="C2721" s="87" t="s">
        <v>1518</v>
      </c>
      <c r="D2721" s="8">
        <v>80</v>
      </c>
      <c r="E2721" s="8"/>
      <c r="F2721" s="8">
        <f t="shared" si="41"/>
        <v>32171</v>
      </c>
      <c r="G2721" s="26"/>
    </row>
    <row r="2722" spans="1:10" x14ac:dyDescent="0.25">
      <c r="A2722" s="204">
        <v>42934</v>
      </c>
      <c r="B2722" s="26" t="s">
        <v>121</v>
      </c>
      <c r="C2722" s="87" t="s">
        <v>32</v>
      </c>
      <c r="D2722" s="8">
        <v>3000</v>
      </c>
      <c r="E2722" s="8"/>
      <c r="F2722" s="8">
        <f t="shared" si="41"/>
        <v>29171</v>
      </c>
      <c r="G2722" s="26"/>
    </row>
    <row r="2723" spans="1:10" x14ac:dyDescent="0.25">
      <c r="A2723" s="204">
        <v>42934</v>
      </c>
      <c r="B2723" s="26" t="s">
        <v>26</v>
      </c>
      <c r="C2723" s="87" t="s">
        <v>2102</v>
      </c>
      <c r="D2723" s="8">
        <v>80</v>
      </c>
      <c r="E2723" s="8"/>
      <c r="F2723" s="8">
        <f t="shared" si="41"/>
        <v>29091</v>
      </c>
      <c r="G2723" s="26"/>
    </row>
    <row r="2724" spans="1:10" x14ac:dyDescent="0.25">
      <c r="A2724" s="204">
        <v>42935</v>
      </c>
      <c r="B2724" s="26" t="s">
        <v>2099</v>
      </c>
      <c r="C2724" s="87" t="s">
        <v>2103</v>
      </c>
      <c r="D2724" s="8">
        <v>10000</v>
      </c>
      <c r="E2724" s="8"/>
      <c r="F2724" s="8">
        <f t="shared" si="41"/>
        <v>19091</v>
      </c>
      <c r="G2724" s="26"/>
    </row>
    <row r="2725" spans="1:10" x14ac:dyDescent="0.25">
      <c r="A2725" s="204">
        <v>42935</v>
      </c>
      <c r="B2725" s="26" t="s">
        <v>2099</v>
      </c>
      <c r="C2725" s="87" t="s">
        <v>2103</v>
      </c>
      <c r="D2725" s="8">
        <v>18000</v>
      </c>
      <c r="E2725" s="8"/>
      <c r="F2725" s="8">
        <f t="shared" si="41"/>
        <v>1091</v>
      </c>
      <c r="G2725" s="26"/>
    </row>
    <row r="2726" spans="1:10" x14ac:dyDescent="0.25">
      <c r="A2726" s="204">
        <v>42935</v>
      </c>
      <c r="B2726" s="26" t="s">
        <v>2054</v>
      </c>
      <c r="C2726" s="87" t="s">
        <v>2016</v>
      </c>
      <c r="D2726" s="8">
        <v>100</v>
      </c>
      <c r="E2726" s="8"/>
      <c r="F2726" s="8">
        <f t="shared" si="41"/>
        <v>991</v>
      </c>
      <c r="G2726" s="26"/>
    </row>
    <row r="2727" spans="1:10" x14ac:dyDescent="0.25">
      <c r="A2727" s="204">
        <v>42935</v>
      </c>
      <c r="B2727" s="26" t="s">
        <v>2106</v>
      </c>
      <c r="C2727" s="87" t="s">
        <v>2107</v>
      </c>
      <c r="D2727" s="8">
        <v>200</v>
      </c>
      <c r="E2727" s="8"/>
      <c r="F2727" s="8">
        <f t="shared" si="41"/>
        <v>791</v>
      </c>
      <c r="G2727" s="26"/>
    </row>
    <row r="2728" spans="1:10" x14ac:dyDescent="0.25">
      <c r="A2728" s="204">
        <v>42935</v>
      </c>
      <c r="B2728" s="26" t="s">
        <v>26</v>
      </c>
      <c r="C2728" s="87" t="s">
        <v>2111</v>
      </c>
      <c r="D2728" s="8">
        <v>555</v>
      </c>
      <c r="E2728" s="8"/>
      <c r="F2728" s="8">
        <f t="shared" si="41"/>
        <v>236</v>
      </c>
      <c r="G2728" s="26"/>
    </row>
    <row r="2729" spans="1:10" ht="30" x14ac:dyDescent="0.25">
      <c r="A2729" s="204">
        <v>42935</v>
      </c>
      <c r="B2729" s="26" t="s">
        <v>61</v>
      </c>
      <c r="C2729" s="87" t="s">
        <v>2108</v>
      </c>
      <c r="D2729" s="8">
        <v>300</v>
      </c>
      <c r="E2729" s="8"/>
      <c r="F2729" s="8">
        <f t="shared" si="41"/>
        <v>-64</v>
      </c>
      <c r="G2729" s="26"/>
    </row>
    <row r="2730" spans="1:10" x14ac:dyDescent="0.25">
      <c r="A2730" s="204">
        <v>42936</v>
      </c>
      <c r="B2730" s="26" t="s">
        <v>2106</v>
      </c>
      <c r="C2730" s="87" t="s">
        <v>2110</v>
      </c>
      <c r="D2730" s="8">
        <v>120</v>
      </c>
      <c r="E2730" s="8"/>
      <c r="F2730" s="8">
        <f t="shared" si="41"/>
        <v>-184</v>
      </c>
      <c r="G2730" s="26"/>
    </row>
    <row r="2731" spans="1:10" x14ac:dyDescent="0.25">
      <c r="A2731" s="204">
        <v>42936</v>
      </c>
      <c r="B2731" s="26" t="s">
        <v>26</v>
      </c>
      <c r="C2731" s="87" t="s">
        <v>2112</v>
      </c>
      <c r="D2731" s="8">
        <v>100</v>
      </c>
      <c r="E2731" s="8"/>
      <c r="F2731" s="8">
        <f t="shared" si="41"/>
        <v>-284</v>
      </c>
      <c r="G2731" s="26"/>
    </row>
    <row r="2732" spans="1:10" x14ac:dyDescent="0.25">
      <c r="A2732" s="204">
        <v>42936</v>
      </c>
      <c r="B2732" s="26" t="s">
        <v>2106</v>
      </c>
      <c r="C2732" s="87" t="s">
        <v>2113</v>
      </c>
      <c r="D2732" s="8">
        <v>120</v>
      </c>
      <c r="E2732" s="8"/>
      <c r="F2732" s="8">
        <f t="shared" ref="F2732:F2802" si="42">E2732+F2731-D2732</f>
        <v>-404</v>
      </c>
      <c r="G2732" s="26"/>
    </row>
    <row r="2733" spans="1:10" x14ac:dyDescent="0.25">
      <c r="A2733" s="204">
        <v>42936</v>
      </c>
      <c r="B2733" s="460" t="s">
        <v>2088</v>
      </c>
      <c r="C2733" s="460"/>
      <c r="D2733" s="71"/>
      <c r="E2733" s="58">
        <v>100000</v>
      </c>
      <c r="F2733" s="8">
        <f t="shared" si="42"/>
        <v>99596</v>
      </c>
      <c r="G2733" s="26"/>
    </row>
    <row r="2734" spans="1:10" s="49" customFormat="1" x14ac:dyDescent="0.25">
      <c r="A2734" s="204">
        <v>42936</v>
      </c>
      <c r="B2734" s="84" t="s">
        <v>1346</v>
      </c>
      <c r="C2734" s="84" t="s">
        <v>2118</v>
      </c>
      <c r="D2734" s="81">
        <v>7760</v>
      </c>
      <c r="E2734" s="41"/>
      <c r="F2734" s="8">
        <f t="shared" si="42"/>
        <v>91836</v>
      </c>
      <c r="G2734" s="40"/>
      <c r="H2734" s="116"/>
      <c r="I2734" s="116"/>
      <c r="J2734" s="116"/>
    </row>
    <row r="2735" spans="1:10" x14ac:dyDescent="0.25">
      <c r="A2735" s="204">
        <v>42937</v>
      </c>
      <c r="B2735" s="180" t="s">
        <v>1346</v>
      </c>
      <c r="C2735" s="213" t="s">
        <v>32</v>
      </c>
      <c r="D2735" s="57">
        <v>2240</v>
      </c>
      <c r="E2735" s="8"/>
      <c r="F2735" s="8">
        <f t="shared" si="42"/>
        <v>89596</v>
      </c>
      <c r="G2735" s="26"/>
    </row>
    <row r="2736" spans="1:10" x14ac:dyDescent="0.25">
      <c r="A2736" s="204">
        <v>42937</v>
      </c>
      <c r="B2736" s="26" t="s">
        <v>26</v>
      </c>
      <c r="C2736" s="87" t="s">
        <v>2114</v>
      </c>
      <c r="D2736" s="8">
        <v>60</v>
      </c>
      <c r="E2736" s="8"/>
      <c r="F2736" s="8">
        <f t="shared" si="42"/>
        <v>89536</v>
      </c>
      <c r="G2736" s="26"/>
    </row>
    <row r="2737" spans="1:7" x14ac:dyDescent="0.25">
      <c r="A2737" s="204">
        <v>42937</v>
      </c>
      <c r="B2737" s="26" t="s">
        <v>28</v>
      </c>
      <c r="C2737" s="87" t="s">
        <v>2115</v>
      </c>
      <c r="D2737" s="8">
        <v>20000</v>
      </c>
      <c r="E2737" s="8"/>
      <c r="F2737" s="8">
        <f t="shared" si="42"/>
        <v>69536</v>
      </c>
      <c r="G2737" s="26"/>
    </row>
    <row r="2738" spans="1:7" x14ac:dyDescent="0.25">
      <c r="A2738" s="204">
        <v>42937</v>
      </c>
      <c r="B2738" s="26" t="s">
        <v>28</v>
      </c>
      <c r="C2738" s="87" t="s">
        <v>2116</v>
      </c>
      <c r="D2738" s="8">
        <v>400</v>
      </c>
      <c r="E2738" s="8"/>
      <c r="F2738" s="8">
        <f t="shared" si="42"/>
        <v>69136</v>
      </c>
      <c r="G2738" s="26"/>
    </row>
    <row r="2739" spans="1:7" x14ac:dyDescent="0.25">
      <c r="A2739" s="204">
        <v>42937</v>
      </c>
      <c r="B2739" s="29" t="s">
        <v>121</v>
      </c>
      <c r="C2739" s="87" t="s">
        <v>78</v>
      </c>
      <c r="D2739" s="8">
        <v>4000</v>
      </c>
      <c r="E2739" s="8"/>
      <c r="F2739" s="8">
        <f t="shared" si="42"/>
        <v>65136</v>
      </c>
      <c r="G2739" s="29"/>
    </row>
    <row r="2740" spans="1:7" x14ac:dyDescent="0.25">
      <c r="A2740" s="204">
        <v>42938</v>
      </c>
      <c r="B2740" s="26" t="s">
        <v>61</v>
      </c>
      <c r="C2740" s="87" t="s">
        <v>2117</v>
      </c>
      <c r="D2740" s="8">
        <v>5000</v>
      </c>
      <c r="E2740" s="8"/>
      <c r="F2740" s="8">
        <f t="shared" si="42"/>
        <v>60136</v>
      </c>
      <c r="G2740" s="26"/>
    </row>
    <row r="2741" spans="1:7" x14ac:dyDescent="0.25">
      <c r="A2741" s="204">
        <v>42938</v>
      </c>
      <c r="B2741" s="26" t="s">
        <v>26</v>
      </c>
      <c r="C2741" s="87" t="s">
        <v>2132</v>
      </c>
      <c r="D2741" s="8">
        <v>300</v>
      </c>
      <c r="E2741" s="8"/>
      <c r="F2741" s="8">
        <f t="shared" si="42"/>
        <v>59836</v>
      </c>
      <c r="G2741" s="26"/>
    </row>
    <row r="2742" spans="1:7" x14ac:dyDescent="0.25">
      <c r="A2742" s="204">
        <v>42938</v>
      </c>
      <c r="B2742" s="26" t="s">
        <v>121</v>
      </c>
      <c r="C2742" s="87" t="s">
        <v>32</v>
      </c>
      <c r="D2742" s="8">
        <v>15000</v>
      </c>
      <c r="E2742" s="8"/>
      <c r="F2742" s="8">
        <f t="shared" si="42"/>
        <v>44836</v>
      </c>
      <c r="G2742" s="26"/>
    </row>
    <row r="2743" spans="1:7" x14ac:dyDescent="0.25">
      <c r="A2743" s="204">
        <v>42938</v>
      </c>
      <c r="B2743" s="26" t="s">
        <v>1196</v>
      </c>
      <c r="C2743" s="87" t="s">
        <v>1627</v>
      </c>
      <c r="D2743" s="8">
        <v>1000</v>
      </c>
      <c r="E2743" s="8"/>
      <c r="F2743" s="8">
        <f t="shared" si="42"/>
        <v>43836</v>
      </c>
      <c r="G2743" s="26"/>
    </row>
    <row r="2744" spans="1:7" x14ac:dyDescent="0.25">
      <c r="A2744" s="204">
        <v>42938</v>
      </c>
      <c r="B2744" s="29" t="s">
        <v>2106</v>
      </c>
      <c r="C2744" s="89" t="s">
        <v>2136</v>
      </c>
      <c r="D2744" s="14">
        <v>1350</v>
      </c>
      <c r="E2744" s="8"/>
      <c r="F2744" s="8">
        <f t="shared" si="42"/>
        <v>42486</v>
      </c>
      <c r="G2744" s="26"/>
    </row>
    <row r="2745" spans="1:7" x14ac:dyDescent="0.25">
      <c r="A2745" s="204">
        <v>42940</v>
      </c>
      <c r="B2745" s="26" t="s">
        <v>19</v>
      </c>
      <c r="C2745" s="87" t="s">
        <v>2119</v>
      </c>
      <c r="D2745" s="8">
        <v>5000</v>
      </c>
      <c r="E2745" s="8"/>
      <c r="F2745" s="8">
        <f t="shared" si="42"/>
        <v>37486</v>
      </c>
      <c r="G2745" s="26"/>
    </row>
    <row r="2746" spans="1:7" ht="30" x14ac:dyDescent="0.25">
      <c r="A2746" s="204">
        <v>42940</v>
      </c>
      <c r="B2746" s="26" t="s">
        <v>121</v>
      </c>
      <c r="C2746" s="87" t="s">
        <v>2120</v>
      </c>
      <c r="D2746" s="8">
        <v>500</v>
      </c>
      <c r="E2746" s="8"/>
      <c r="F2746" s="8">
        <f t="shared" si="42"/>
        <v>36986</v>
      </c>
      <c r="G2746" s="26"/>
    </row>
    <row r="2747" spans="1:7" x14ac:dyDescent="0.25">
      <c r="A2747" s="204">
        <v>42940</v>
      </c>
      <c r="B2747" s="460" t="s">
        <v>2121</v>
      </c>
      <c r="C2747" s="460"/>
      <c r="D2747" s="71"/>
      <c r="E2747" s="58">
        <v>1100</v>
      </c>
      <c r="F2747" s="8">
        <f t="shared" si="42"/>
        <v>38086</v>
      </c>
      <c r="G2747" s="26"/>
    </row>
    <row r="2748" spans="1:7" ht="30" x14ac:dyDescent="0.25">
      <c r="A2748" s="204">
        <v>42940</v>
      </c>
      <c r="B2748" s="87" t="s">
        <v>2122</v>
      </c>
      <c r="C2748" s="87" t="s">
        <v>2123</v>
      </c>
      <c r="D2748" s="8">
        <v>38600</v>
      </c>
      <c r="E2748" s="8"/>
      <c r="F2748" s="8">
        <f t="shared" si="42"/>
        <v>-514</v>
      </c>
      <c r="G2748" s="26"/>
    </row>
    <row r="2749" spans="1:7" x14ac:dyDescent="0.25">
      <c r="A2749" s="204">
        <v>42940</v>
      </c>
      <c r="B2749" s="26" t="s">
        <v>26</v>
      </c>
      <c r="C2749" s="87" t="s">
        <v>2124</v>
      </c>
      <c r="D2749" s="8">
        <v>300</v>
      </c>
      <c r="E2749" s="8"/>
      <c r="F2749" s="8">
        <f t="shared" si="42"/>
        <v>-814</v>
      </c>
      <c r="G2749" s="26"/>
    </row>
    <row r="2750" spans="1:7" x14ac:dyDescent="0.25">
      <c r="A2750" s="204">
        <v>42940</v>
      </c>
      <c r="B2750" s="26" t="s">
        <v>26</v>
      </c>
      <c r="C2750" s="87" t="s">
        <v>2125</v>
      </c>
      <c r="D2750" s="8">
        <v>50</v>
      </c>
      <c r="E2750" s="8"/>
      <c r="F2750" s="8">
        <f t="shared" si="42"/>
        <v>-864</v>
      </c>
      <c r="G2750" s="26"/>
    </row>
    <row r="2751" spans="1:7" x14ac:dyDescent="0.25">
      <c r="A2751" s="204">
        <v>42941</v>
      </c>
      <c r="B2751" s="460" t="s">
        <v>2126</v>
      </c>
      <c r="C2751" s="460"/>
      <c r="D2751" s="71"/>
      <c r="E2751" s="58">
        <v>100000</v>
      </c>
      <c r="F2751" s="8">
        <f t="shared" si="42"/>
        <v>99136</v>
      </c>
      <c r="G2751" s="26"/>
    </row>
    <row r="2752" spans="1:7" x14ac:dyDescent="0.25">
      <c r="A2752" s="204">
        <v>42941</v>
      </c>
      <c r="B2752" s="26" t="s">
        <v>57</v>
      </c>
      <c r="C2752" s="87" t="s">
        <v>2127</v>
      </c>
      <c r="D2752" s="8">
        <v>1000</v>
      </c>
      <c r="E2752" s="8"/>
      <c r="F2752" s="8">
        <f t="shared" si="42"/>
        <v>98136</v>
      </c>
      <c r="G2752" s="26"/>
    </row>
    <row r="2753" spans="1:7" x14ac:dyDescent="0.25">
      <c r="A2753" s="204">
        <v>42941</v>
      </c>
      <c r="B2753" s="26" t="s">
        <v>57</v>
      </c>
      <c r="C2753" s="87" t="s">
        <v>2151</v>
      </c>
      <c r="D2753" s="8">
        <v>2500</v>
      </c>
      <c r="E2753" s="8"/>
      <c r="F2753" s="8">
        <f t="shared" si="42"/>
        <v>95636</v>
      </c>
      <c r="G2753" s="26"/>
    </row>
    <row r="2754" spans="1:7" x14ac:dyDescent="0.25">
      <c r="A2754" s="204">
        <v>42941</v>
      </c>
      <c r="B2754" s="26" t="s">
        <v>1346</v>
      </c>
      <c r="C2754" s="87" t="s">
        <v>2129</v>
      </c>
      <c r="D2754" s="8">
        <v>10000</v>
      </c>
      <c r="E2754" s="8"/>
      <c r="F2754" s="8">
        <f t="shared" si="42"/>
        <v>85636</v>
      </c>
      <c r="G2754" s="26"/>
    </row>
    <row r="2755" spans="1:7" x14ac:dyDescent="0.25">
      <c r="A2755" s="204">
        <v>42941</v>
      </c>
      <c r="B2755" s="26" t="s">
        <v>2128</v>
      </c>
      <c r="C2755" s="87" t="s">
        <v>2131</v>
      </c>
      <c r="D2755" s="8">
        <v>8500</v>
      </c>
      <c r="E2755" s="8"/>
      <c r="F2755" s="8">
        <f t="shared" si="42"/>
        <v>77136</v>
      </c>
      <c r="G2755" s="26"/>
    </row>
    <row r="2756" spans="1:7" x14ac:dyDescent="0.25">
      <c r="A2756" s="204">
        <v>42941</v>
      </c>
      <c r="B2756" s="26" t="s">
        <v>542</v>
      </c>
      <c r="C2756" s="87" t="s">
        <v>2130</v>
      </c>
      <c r="D2756" s="8">
        <v>10000</v>
      </c>
      <c r="E2756" s="8"/>
      <c r="F2756" s="8">
        <f t="shared" si="42"/>
        <v>67136</v>
      </c>
      <c r="G2756" s="26"/>
    </row>
    <row r="2757" spans="1:7" ht="30" x14ac:dyDescent="0.25">
      <c r="A2757" s="204">
        <v>42941</v>
      </c>
      <c r="B2757" s="26" t="s">
        <v>446</v>
      </c>
      <c r="C2757" s="87" t="s">
        <v>2155</v>
      </c>
      <c r="D2757" s="8">
        <v>1100</v>
      </c>
      <c r="E2757" s="8"/>
      <c r="F2757" s="8">
        <f t="shared" si="42"/>
        <v>66036</v>
      </c>
      <c r="G2757" s="26"/>
    </row>
    <row r="2758" spans="1:7" x14ac:dyDescent="0.25">
      <c r="A2758" s="204">
        <v>42941</v>
      </c>
      <c r="B2758" s="26" t="s">
        <v>105</v>
      </c>
      <c r="C2758" s="87" t="s">
        <v>32</v>
      </c>
      <c r="D2758" s="8">
        <v>1000</v>
      </c>
      <c r="E2758" s="8"/>
      <c r="F2758" s="8">
        <f t="shared" si="42"/>
        <v>65036</v>
      </c>
      <c r="G2758" s="26"/>
    </row>
    <row r="2759" spans="1:7" x14ac:dyDescent="0.25">
      <c r="A2759" s="204">
        <v>42941</v>
      </c>
      <c r="B2759" s="26" t="s">
        <v>446</v>
      </c>
      <c r="C2759" s="87" t="s">
        <v>2133</v>
      </c>
      <c r="D2759" s="8">
        <v>100</v>
      </c>
      <c r="E2759" s="8"/>
      <c r="F2759" s="8">
        <f t="shared" si="42"/>
        <v>64936</v>
      </c>
      <c r="G2759" s="26"/>
    </row>
    <row r="2760" spans="1:7" x14ac:dyDescent="0.25">
      <c r="A2760" s="204">
        <v>42942</v>
      </c>
      <c r="B2760" s="29" t="s">
        <v>248</v>
      </c>
      <c r="C2760" s="89" t="s">
        <v>2134</v>
      </c>
      <c r="D2760" s="14">
        <v>4340</v>
      </c>
      <c r="E2760" s="8"/>
      <c r="F2760" s="8">
        <f t="shared" si="42"/>
        <v>60596</v>
      </c>
      <c r="G2760" s="26"/>
    </row>
    <row r="2761" spans="1:7" x14ac:dyDescent="0.25">
      <c r="A2761" s="204">
        <v>42942</v>
      </c>
      <c r="B2761" s="29" t="s">
        <v>2054</v>
      </c>
      <c r="C2761" s="89" t="s">
        <v>2144</v>
      </c>
      <c r="D2761" s="14">
        <v>100</v>
      </c>
      <c r="E2761" s="8"/>
      <c r="F2761" s="8">
        <f t="shared" si="42"/>
        <v>60496</v>
      </c>
      <c r="G2761" s="26"/>
    </row>
    <row r="2762" spans="1:7" ht="30" x14ac:dyDescent="0.25">
      <c r="A2762" s="204">
        <v>42942</v>
      </c>
      <c r="B2762" s="199" t="s">
        <v>26</v>
      </c>
      <c r="C2762" s="207" t="s">
        <v>2135</v>
      </c>
      <c r="D2762" s="91">
        <v>4360</v>
      </c>
      <c r="E2762" s="91"/>
      <c r="F2762" s="8">
        <f t="shared" si="42"/>
        <v>56136</v>
      </c>
      <c r="G2762" s="199"/>
    </row>
    <row r="2763" spans="1:7" x14ac:dyDescent="0.25">
      <c r="A2763" s="204">
        <v>42942</v>
      </c>
      <c r="B2763" s="26" t="s">
        <v>446</v>
      </c>
      <c r="C2763" s="87" t="s">
        <v>2137</v>
      </c>
      <c r="D2763" s="8">
        <v>500</v>
      </c>
      <c r="E2763" s="8"/>
      <c r="F2763" s="8">
        <f t="shared" si="42"/>
        <v>55636</v>
      </c>
      <c r="G2763" s="26"/>
    </row>
    <row r="2764" spans="1:7" ht="30" x14ac:dyDescent="0.25">
      <c r="A2764" s="204">
        <v>42942</v>
      </c>
      <c r="B2764" s="187" t="s">
        <v>2106</v>
      </c>
      <c r="C2764" s="224" t="s">
        <v>2194</v>
      </c>
      <c r="D2764" s="60">
        <v>3000</v>
      </c>
      <c r="E2764" s="8"/>
      <c r="F2764" s="8">
        <f t="shared" si="42"/>
        <v>52636</v>
      </c>
      <c r="G2764" s="26"/>
    </row>
    <row r="2765" spans="1:7" x14ac:dyDescent="0.25">
      <c r="A2765" s="204">
        <v>42942</v>
      </c>
      <c r="B2765" s="26" t="s">
        <v>4</v>
      </c>
      <c r="C2765" s="87" t="s">
        <v>2138</v>
      </c>
      <c r="D2765" s="8">
        <v>2000</v>
      </c>
      <c r="E2765" s="8"/>
      <c r="F2765" s="8">
        <f t="shared" si="42"/>
        <v>50636</v>
      </c>
      <c r="G2765" s="26"/>
    </row>
    <row r="2766" spans="1:7" x14ac:dyDescent="0.25">
      <c r="A2766" s="204">
        <v>42942</v>
      </c>
      <c r="B2766" s="26" t="s">
        <v>1077</v>
      </c>
      <c r="C2766" s="87" t="s">
        <v>2139</v>
      </c>
      <c r="D2766" s="8">
        <v>50891</v>
      </c>
      <c r="E2766" s="8"/>
      <c r="F2766" s="8">
        <f t="shared" si="42"/>
        <v>-255</v>
      </c>
      <c r="G2766" s="26"/>
    </row>
    <row r="2767" spans="1:7" ht="30" x14ac:dyDescent="0.25">
      <c r="A2767" s="204">
        <v>42942</v>
      </c>
      <c r="B2767" s="29" t="s">
        <v>2089</v>
      </c>
      <c r="C2767" s="89" t="s">
        <v>2142</v>
      </c>
      <c r="D2767" s="14">
        <v>5000</v>
      </c>
      <c r="E2767" s="8"/>
      <c r="F2767" s="8">
        <f t="shared" si="42"/>
        <v>-5255</v>
      </c>
      <c r="G2767" s="26"/>
    </row>
    <row r="2768" spans="1:7" x14ac:dyDescent="0.25">
      <c r="A2768" s="204">
        <v>42942</v>
      </c>
      <c r="B2768" s="460" t="s">
        <v>2088</v>
      </c>
      <c r="C2768" s="460"/>
      <c r="D2768" s="71"/>
      <c r="E2768" s="58">
        <v>100000</v>
      </c>
      <c r="F2768" s="8">
        <f t="shared" si="42"/>
        <v>94745</v>
      </c>
      <c r="G2768" s="26"/>
    </row>
    <row r="2769" spans="1:7" ht="30" x14ac:dyDescent="0.25">
      <c r="A2769" s="204">
        <v>42942</v>
      </c>
      <c r="B2769" s="26" t="s">
        <v>2140</v>
      </c>
      <c r="C2769" s="87" t="s">
        <v>2143</v>
      </c>
      <c r="D2769" s="8">
        <v>80450</v>
      </c>
      <c r="E2769" s="8"/>
      <c r="F2769" s="8">
        <f t="shared" si="42"/>
        <v>14295</v>
      </c>
      <c r="G2769" s="26"/>
    </row>
    <row r="2770" spans="1:7" x14ac:dyDescent="0.25">
      <c r="A2770" s="204">
        <v>42942</v>
      </c>
      <c r="B2770" s="26" t="s">
        <v>2099</v>
      </c>
      <c r="C2770" s="87" t="s">
        <v>2141</v>
      </c>
      <c r="D2770" s="8">
        <v>10000</v>
      </c>
      <c r="E2770" s="8"/>
      <c r="F2770" s="8">
        <f t="shared" si="42"/>
        <v>4295</v>
      </c>
      <c r="G2770" s="26"/>
    </row>
    <row r="2771" spans="1:7" x14ac:dyDescent="0.25">
      <c r="A2771" s="204">
        <v>42942</v>
      </c>
      <c r="B2771" s="26" t="s">
        <v>69</v>
      </c>
      <c r="C2771" s="87" t="s">
        <v>1584</v>
      </c>
      <c r="D2771" s="8">
        <v>1000</v>
      </c>
      <c r="E2771" s="8"/>
      <c r="F2771" s="8">
        <f t="shared" si="42"/>
        <v>3295</v>
      </c>
      <c r="G2771" s="26"/>
    </row>
    <row r="2772" spans="1:7" x14ac:dyDescent="0.25">
      <c r="A2772" s="204">
        <v>42942</v>
      </c>
      <c r="B2772" s="26" t="s">
        <v>17</v>
      </c>
      <c r="C2772" s="87" t="s">
        <v>32</v>
      </c>
      <c r="D2772" s="8">
        <v>1050</v>
      </c>
      <c r="E2772" s="8"/>
      <c r="F2772" s="8">
        <f t="shared" si="42"/>
        <v>2245</v>
      </c>
      <c r="G2772" s="26"/>
    </row>
    <row r="2773" spans="1:7" x14ac:dyDescent="0.25">
      <c r="A2773" s="204">
        <v>42943</v>
      </c>
      <c r="B2773" s="26" t="s">
        <v>2054</v>
      </c>
      <c r="C2773" s="87" t="s">
        <v>2145</v>
      </c>
      <c r="D2773" s="8">
        <v>50</v>
      </c>
      <c r="E2773" s="8"/>
      <c r="F2773" s="8">
        <f t="shared" si="42"/>
        <v>2195</v>
      </c>
      <c r="G2773" s="26"/>
    </row>
    <row r="2774" spans="1:7" x14ac:dyDescent="0.25">
      <c r="A2774" s="204">
        <v>42943</v>
      </c>
      <c r="B2774" s="192" t="s">
        <v>17</v>
      </c>
      <c r="C2774" s="193" t="s">
        <v>32</v>
      </c>
      <c r="D2774" s="15">
        <v>100</v>
      </c>
      <c r="E2774" s="8"/>
      <c r="F2774" s="8">
        <f t="shared" si="42"/>
        <v>2095</v>
      </c>
      <c r="G2774" s="26"/>
    </row>
    <row r="2775" spans="1:7" ht="30" x14ac:dyDescent="0.25">
      <c r="A2775" s="204">
        <v>42943</v>
      </c>
      <c r="B2775" s="26" t="s">
        <v>2146</v>
      </c>
      <c r="C2775" s="87" t="s">
        <v>2147</v>
      </c>
      <c r="D2775" s="8">
        <v>1000</v>
      </c>
      <c r="E2775" s="8"/>
      <c r="F2775" s="8">
        <f t="shared" si="42"/>
        <v>1095</v>
      </c>
      <c r="G2775" s="26"/>
    </row>
    <row r="2776" spans="1:7" x14ac:dyDescent="0.25">
      <c r="A2776" s="204">
        <v>42943</v>
      </c>
      <c r="B2776" s="26" t="s">
        <v>85</v>
      </c>
      <c r="C2776" s="87" t="s">
        <v>2148</v>
      </c>
      <c r="D2776" s="8">
        <v>1000</v>
      </c>
      <c r="E2776" s="8"/>
      <c r="F2776" s="8">
        <f t="shared" si="42"/>
        <v>95</v>
      </c>
      <c r="G2776" s="26"/>
    </row>
    <row r="2777" spans="1:7" x14ac:dyDescent="0.25">
      <c r="A2777" s="204">
        <v>42943</v>
      </c>
      <c r="B2777" s="26" t="s">
        <v>26</v>
      </c>
      <c r="C2777" s="87" t="s">
        <v>2156</v>
      </c>
      <c r="D2777" s="8">
        <v>550</v>
      </c>
      <c r="E2777" s="8"/>
      <c r="F2777" s="8">
        <f t="shared" si="42"/>
        <v>-455</v>
      </c>
      <c r="G2777" s="26"/>
    </row>
    <row r="2778" spans="1:7" x14ac:dyDescent="0.25">
      <c r="A2778" s="204">
        <v>42944</v>
      </c>
      <c r="B2778" s="26" t="s">
        <v>446</v>
      </c>
      <c r="C2778" s="87" t="s">
        <v>32</v>
      </c>
      <c r="D2778" s="8">
        <v>500</v>
      </c>
      <c r="E2778" s="8"/>
      <c r="F2778" s="8">
        <f t="shared" si="42"/>
        <v>-955</v>
      </c>
      <c r="G2778" s="26"/>
    </row>
    <row r="2779" spans="1:7" x14ac:dyDescent="0.25">
      <c r="A2779" s="204">
        <v>42944</v>
      </c>
      <c r="B2779" s="460" t="s">
        <v>2088</v>
      </c>
      <c r="C2779" s="460"/>
      <c r="D2779" s="71"/>
      <c r="E2779" s="58">
        <v>50000</v>
      </c>
      <c r="F2779" s="8">
        <f t="shared" si="42"/>
        <v>49045</v>
      </c>
      <c r="G2779" s="26"/>
    </row>
    <row r="2780" spans="1:7" x14ac:dyDescent="0.25">
      <c r="A2780" s="204">
        <v>42944</v>
      </c>
      <c r="B2780" s="26" t="s">
        <v>85</v>
      </c>
      <c r="C2780" s="87" t="s">
        <v>2149</v>
      </c>
      <c r="D2780" s="8">
        <v>2000</v>
      </c>
      <c r="E2780" s="8"/>
      <c r="F2780" s="8">
        <f t="shared" si="42"/>
        <v>47045</v>
      </c>
      <c r="G2780" s="26"/>
    </row>
    <row r="2781" spans="1:7" x14ac:dyDescent="0.25">
      <c r="A2781" s="204">
        <v>42944</v>
      </c>
      <c r="B2781" s="26" t="s">
        <v>121</v>
      </c>
      <c r="C2781" s="87" t="s">
        <v>32</v>
      </c>
      <c r="D2781" s="8">
        <v>2000</v>
      </c>
      <c r="E2781" s="8"/>
      <c r="F2781" s="8">
        <f t="shared" si="42"/>
        <v>45045</v>
      </c>
      <c r="G2781" s="26"/>
    </row>
    <row r="2782" spans="1:7" x14ac:dyDescent="0.25">
      <c r="A2782" s="204">
        <v>42944</v>
      </c>
      <c r="B2782" s="26" t="s">
        <v>85</v>
      </c>
      <c r="C2782" s="87" t="s">
        <v>2150</v>
      </c>
      <c r="D2782" s="8">
        <v>5000</v>
      </c>
      <c r="E2782" s="8"/>
      <c r="F2782" s="8">
        <f t="shared" si="42"/>
        <v>40045</v>
      </c>
      <c r="G2782" s="26"/>
    </row>
    <row r="2783" spans="1:7" x14ac:dyDescent="0.25">
      <c r="A2783" s="204">
        <v>42944</v>
      </c>
      <c r="B2783" s="26" t="s">
        <v>17</v>
      </c>
      <c r="C2783" s="87" t="s">
        <v>32</v>
      </c>
      <c r="D2783" s="8">
        <v>500</v>
      </c>
      <c r="E2783" s="8"/>
      <c r="F2783" s="8">
        <f t="shared" si="42"/>
        <v>39545</v>
      </c>
      <c r="G2783" s="26"/>
    </row>
    <row r="2784" spans="1:7" x14ac:dyDescent="0.25">
      <c r="A2784" s="204">
        <v>42944</v>
      </c>
      <c r="B2784" s="26" t="s">
        <v>85</v>
      </c>
      <c r="C2784" s="87" t="s">
        <v>2152</v>
      </c>
      <c r="D2784" s="8">
        <v>3000</v>
      </c>
      <c r="E2784" s="8"/>
      <c r="F2784" s="8">
        <f t="shared" si="42"/>
        <v>36545</v>
      </c>
      <c r="G2784" s="26"/>
    </row>
    <row r="2785" spans="1:10" ht="18" customHeight="1" x14ac:dyDescent="0.25">
      <c r="A2785" s="204">
        <v>42944</v>
      </c>
      <c r="B2785" s="199" t="s">
        <v>26</v>
      </c>
      <c r="C2785" s="207" t="s">
        <v>2157</v>
      </c>
      <c r="D2785" s="8">
        <v>495</v>
      </c>
      <c r="E2785" s="8"/>
      <c r="F2785" s="8">
        <f t="shared" si="42"/>
        <v>36050</v>
      </c>
      <c r="G2785" s="26"/>
    </row>
    <row r="2786" spans="1:10" x14ac:dyDescent="0.25">
      <c r="A2786" s="204">
        <v>42944</v>
      </c>
      <c r="B2786" s="26" t="s">
        <v>85</v>
      </c>
      <c r="C2786" s="87" t="s">
        <v>2161</v>
      </c>
      <c r="D2786" s="8">
        <v>1000</v>
      </c>
      <c r="E2786" s="8"/>
      <c r="F2786" s="8">
        <f t="shared" si="42"/>
        <v>35050</v>
      </c>
      <c r="G2786" s="26"/>
    </row>
    <row r="2787" spans="1:10" x14ac:dyDescent="0.25">
      <c r="A2787" s="204">
        <v>42944</v>
      </c>
      <c r="B2787" s="26" t="s">
        <v>2153</v>
      </c>
      <c r="C2787" s="87" t="s">
        <v>2154</v>
      </c>
      <c r="D2787" s="8">
        <v>8000</v>
      </c>
      <c r="E2787" s="8"/>
      <c r="F2787" s="8">
        <f t="shared" si="42"/>
        <v>27050</v>
      </c>
      <c r="G2787" s="26"/>
    </row>
    <row r="2788" spans="1:10" x14ac:dyDescent="0.25">
      <c r="A2788" s="204">
        <v>42944</v>
      </c>
      <c r="B2788" s="26" t="s">
        <v>182</v>
      </c>
      <c r="C2788" s="87" t="s">
        <v>32</v>
      </c>
      <c r="D2788" s="8">
        <v>10000</v>
      </c>
      <c r="E2788" s="8"/>
      <c r="F2788" s="8">
        <f t="shared" si="42"/>
        <v>17050</v>
      </c>
      <c r="G2788" s="26"/>
    </row>
    <row r="2789" spans="1:10" x14ac:dyDescent="0.25">
      <c r="A2789" s="204">
        <v>42944</v>
      </c>
      <c r="B2789" s="26" t="s">
        <v>1840</v>
      </c>
      <c r="C2789" s="87" t="s">
        <v>2016</v>
      </c>
      <c r="D2789" s="8">
        <v>80</v>
      </c>
      <c r="E2789" s="8"/>
      <c r="F2789" s="8">
        <f t="shared" si="42"/>
        <v>16970</v>
      </c>
      <c r="G2789" s="26"/>
    </row>
    <row r="2790" spans="1:10" x14ac:dyDescent="0.25">
      <c r="A2790" s="204">
        <v>42945</v>
      </c>
      <c r="B2790" s="26" t="s">
        <v>446</v>
      </c>
      <c r="C2790" s="87" t="s">
        <v>32</v>
      </c>
      <c r="D2790" s="8">
        <v>500</v>
      </c>
      <c r="E2790" s="8"/>
      <c r="F2790" s="8">
        <f t="shared" si="42"/>
        <v>16470</v>
      </c>
      <c r="G2790" s="26"/>
    </row>
    <row r="2791" spans="1:10" x14ac:dyDescent="0.25">
      <c r="A2791" s="204">
        <v>42945</v>
      </c>
      <c r="B2791" s="26" t="s">
        <v>2158</v>
      </c>
      <c r="C2791" s="87" t="s">
        <v>1627</v>
      </c>
      <c r="D2791" s="8">
        <v>100</v>
      </c>
      <c r="E2791" s="8"/>
      <c r="F2791" s="8">
        <f t="shared" si="42"/>
        <v>16370</v>
      </c>
      <c r="G2791" s="26"/>
    </row>
    <row r="2792" spans="1:10" x14ac:dyDescent="0.25">
      <c r="A2792" s="204">
        <v>42945</v>
      </c>
      <c r="B2792" s="26" t="s">
        <v>17</v>
      </c>
      <c r="C2792" s="87" t="s">
        <v>32</v>
      </c>
      <c r="D2792" s="8">
        <v>10000</v>
      </c>
      <c r="E2792" s="8"/>
      <c r="F2792" s="8">
        <f t="shared" si="42"/>
        <v>6370</v>
      </c>
      <c r="G2792" s="26"/>
    </row>
    <row r="2793" spans="1:10" x14ac:dyDescent="0.25">
      <c r="A2793" s="204">
        <v>42945</v>
      </c>
      <c r="B2793" s="26" t="s">
        <v>1790</v>
      </c>
      <c r="C2793" s="87" t="s">
        <v>2159</v>
      </c>
      <c r="D2793" s="8">
        <v>2000</v>
      </c>
      <c r="E2793" s="8"/>
      <c r="F2793" s="8">
        <f t="shared" si="42"/>
        <v>4370</v>
      </c>
      <c r="G2793" s="26"/>
    </row>
    <row r="2794" spans="1:10" x14ac:dyDescent="0.25">
      <c r="A2794" s="204">
        <v>42947</v>
      </c>
      <c r="B2794" s="26" t="s">
        <v>61</v>
      </c>
      <c r="C2794" s="87" t="s">
        <v>2160</v>
      </c>
      <c r="D2794" s="8">
        <v>1500</v>
      </c>
      <c r="E2794" s="8"/>
      <c r="F2794" s="8">
        <f t="shared" si="42"/>
        <v>2870</v>
      </c>
      <c r="G2794" s="26"/>
    </row>
    <row r="2795" spans="1:10" ht="30" x14ac:dyDescent="0.25">
      <c r="A2795" s="204">
        <v>42947</v>
      </c>
      <c r="B2795" s="26" t="s">
        <v>26</v>
      </c>
      <c r="C2795" s="87" t="s">
        <v>2164</v>
      </c>
      <c r="D2795" s="8">
        <f>220+450</f>
        <v>670</v>
      </c>
      <c r="E2795" s="8"/>
      <c r="F2795" s="8">
        <f t="shared" si="42"/>
        <v>2200</v>
      </c>
      <c r="G2795" s="26"/>
    </row>
    <row r="2796" spans="1:10" x14ac:dyDescent="0.25">
      <c r="A2796" s="204">
        <v>42947</v>
      </c>
      <c r="B2796" s="26" t="s">
        <v>53</v>
      </c>
      <c r="C2796" s="87" t="s">
        <v>2163</v>
      </c>
      <c r="D2796" s="8">
        <v>80</v>
      </c>
      <c r="E2796" s="8"/>
      <c r="F2796" s="8">
        <f t="shared" si="42"/>
        <v>2120</v>
      </c>
      <c r="G2796" s="26"/>
    </row>
    <row r="2797" spans="1:10" ht="30" x14ac:dyDescent="0.25">
      <c r="A2797" s="204">
        <v>42947</v>
      </c>
      <c r="B2797" s="26" t="s">
        <v>26</v>
      </c>
      <c r="C2797" s="87" t="s">
        <v>2182</v>
      </c>
      <c r="D2797" s="8">
        <v>1060</v>
      </c>
      <c r="E2797" s="8"/>
      <c r="F2797" s="8">
        <f t="shared" si="42"/>
        <v>1060</v>
      </c>
      <c r="G2797" s="26"/>
    </row>
    <row r="2798" spans="1:10" x14ac:dyDescent="0.25">
      <c r="A2798" s="204">
        <v>42947</v>
      </c>
      <c r="B2798" s="460" t="s">
        <v>2088</v>
      </c>
      <c r="C2798" s="460"/>
      <c r="D2798" s="71"/>
      <c r="E2798" s="58">
        <v>100000</v>
      </c>
      <c r="F2798" s="8">
        <f t="shared" si="42"/>
        <v>101060</v>
      </c>
      <c r="G2798" s="26"/>
    </row>
    <row r="2799" spans="1:10" s="49" customFormat="1" x14ac:dyDescent="0.25">
      <c r="A2799" s="204">
        <v>42947</v>
      </c>
      <c r="B2799" s="84" t="s">
        <v>2162</v>
      </c>
      <c r="C2799" s="84" t="s">
        <v>1584</v>
      </c>
      <c r="D2799" s="81">
        <v>30000</v>
      </c>
      <c r="E2799" s="41"/>
      <c r="F2799" s="8">
        <f t="shared" si="42"/>
        <v>71060</v>
      </c>
      <c r="G2799" s="40"/>
      <c r="H2799" s="116"/>
      <c r="I2799" s="116"/>
      <c r="J2799" s="116"/>
    </row>
    <row r="2800" spans="1:10" s="49" customFormat="1" x14ac:dyDescent="0.25">
      <c r="A2800" s="204">
        <v>42947</v>
      </c>
      <c r="B2800" s="84" t="s">
        <v>446</v>
      </c>
      <c r="C2800" s="84" t="s">
        <v>1584</v>
      </c>
      <c r="D2800" s="81">
        <v>25000</v>
      </c>
      <c r="E2800" s="41"/>
      <c r="F2800" s="8">
        <f t="shared" si="42"/>
        <v>46060</v>
      </c>
      <c r="G2800" s="40"/>
      <c r="H2800" s="116"/>
      <c r="I2800" s="116"/>
      <c r="J2800" s="116"/>
    </row>
    <row r="2801" spans="1:10" s="49" customFormat="1" x14ac:dyDescent="0.25">
      <c r="A2801" s="204">
        <v>42947</v>
      </c>
      <c r="B2801" s="84" t="s">
        <v>19</v>
      </c>
      <c r="C2801" s="84" t="s">
        <v>1584</v>
      </c>
      <c r="D2801" s="81">
        <v>3000</v>
      </c>
      <c r="E2801" s="41"/>
      <c r="F2801" s="8">
        <f t="shared" si="42"/>
        <v>43060</v>
      </c>
      <c r="G2801" s="40"/>
      <c r="H2801" s="116"/>
      <c r="I2801" s="116"/>
      <c r="J2801" s="116"/>
    </row>
    <row r="2802" spans="1:10" s="49" customFormat="1" x14ac:dyDescent="0.25">
      <c r="A2802" s="204">
        <v>42947</v>
      </c>
      <c r="B2802" s="84" t="s">
        <v>2099</v>
      </c>
      <c r="C2802" s="84" t="s">
        <v>1584</v>
      </c>
      <c r="D2802" s="81">
        <v>20000</v>
      </c>
      <c r="E2802" s="41"/>
      <c r="F2802" s="8">
        <f t="shared" si="42"/>
        <v>23060</v>
      </c>
      <c r="G2802" s="40"/>
      <c r="H2802" s="116"/>
      <c r="I2802" s="116"/>
      <c r="J2802" s="116"/>
    </row>
    <row r="2803" spans="1:10" s="49" customFormat="1" x14ac:dyDescent="0.25">
      <c r="A2803" s="204">
        <v>42947</v>
      </c>
      <c r="B2803" s="84" t="s">
        <v>59</v>
      </c>
      <c r="C2803" s="84" t="s">
        <v>2189</v>
      </c>
      <c r="D2803" s="81">
        <v>15540</v>
      </c>
      <c r="E2803" s="41"/>
      <c r="F2803" s="8">
        <f t="shared" ref="F2803:F3011" si="43">E2803+F2802-D2803</f>
        <v>7520</v>
      </c>
      <c r="G2803" s="40"/>
      <c r="H2803" s="116"/>
      <c r="I2803" s="116"/>
      <c r="J2803" s="116"/>
    </row>
    <row r="2804" spans="1:10" s="49" customFormat="1" x14ac:dyDescent="0.25">
      <c r="A2804" s="204">
        <v>42947</v>
      </c>
      <c r="B2804" s="84" t="s">
        <v>59</v>
      </c>
      <c r="C2804" s="84" t="s">
        <v>2190</v>
      </c>
      <c r="D2804" s="81">
        <v>200</v>
      </c>
      <c r="E2804" s="41"/>
      <c r="F2804" s="8">
        <f t="shared" si="43"/>
        <v>7320</v>
      </c>
      <c r="G2804" s="40"/>
      <c r="H2804" s="116"/>
      <c r="I2804" s="116"/>
      <c r="J2804" s="116"/>
    </row>
    <row r="2805" spans="1:10" x14ac:dyDescent="0.25">
      <c r="A2805" s="204">
        <v>42948</v>
      </c>
      <c r="B2805" s="26" t="s">
        <v>19</v>
      </c>
      <c r="C2805" s="87" t="s">
        <v>32</v>
      </c>
      <c r="D2805" s="8">
        <v>1000</v>
      </c>
      <c r="E2805" s="8"/>
      <c r="F2805" s="8">
        <f t="shared" si="43"/>
        <v>6320</v>
      </c>
      <c r="G2805" s="26"/>
    </row>
    <row r="2806" spans="1:10" x14ac:dyDescent="0.25">
      <c r="A2806" s="204">
        <v>42948</v>
      </c>
      <c r="B2806" s="26" t="s">
        <v>1619</v>
      </c>
      <c r="C2806" s="87" t="s">
        <v>641</v>
      </c>
      <c r="D2806" s="8">
        <v>1500</v>
      </c>
      <c r="E2806" s="8"/>
      <c r="F2806" s="8">
        <f t="shared" si="43"/>
        <v>4820</v>
      </c>
      <c r="G2806" s="26"/>
    </row>
    <row r="2807" spans="1:10" x14ac:dyDescent="0.25">
      <c r="A2807" s="204">
        <v>42948</v>
      </c>
      <c r="B2807" s="26" t="s">
        <v>26</v>
      </c>
      <c r="C2807" s="87" t="s">
        <v>2170</v>
      </c>
      <c r="D2807" s="8">
        <v>500</v>
      </c>
      <c r="E2807" s="8"/>
      <c r="F2807" s="8">
        <f t="shared" si="43"/>
        <v>4320</v>
      </c>
      <c r="G2807" s="26"/>
    </row>
    <row r="2808" spans="1:10" x14ac:dyDescent="0.25">
      <c r="A2808" s="204">
        <v>42948</v>
      </c>
      <c r="B2808" s="26" t="s">
        <v>57</v>
      </c>
      <c r="C2808" s="87" t="s">
        <v>2191</v>
      </c>
      <c r="D2808" s="8">
        <v>150</v>
      </c>
      <c r="E2808" s="8"/>
      <c r="F2808" s="8">
        <f t="shared" si="43"/>
        <v>4170</v>
      </c>
      <c r="G2808" s="26"/>
    </row>
    <row r="2809" spans="1:10" x14ac:dyDescent="0.25">
      <c r="A2809" s="204">
        <v>42948</v>
      </c>
      <c r="B2809" s="26" t="s">
        <v>26</v>
      </c>
      <c r="C2809" s="87" t="s">
        <v>2183</v>
      </c>
      <c r="D2809" s="8">
        <v>350</v>
      </c>
      <c r="E2809" s="8"/>
      <c r="F2809" s="8">
        <f t="shared" si="43"/>
        <v>3820</v>
      </c>
      <c r="G2809" s="26"/>
    </row>
    <row r="2810" spans="1:10" x14ac:dyDescent="0.25">
      <c r="A2810" s="204">
        <v>42948</v>
      </c>
      <c r="B2810" s="460" t="s">
        <v>2165</v>
      </c>
      <c r="C2810" s="460"/>
      <c r="D2810" s="71"/>
      <c r="E2810" s="58">
        <v>100000</v>
      </c>
      <c r="F2810" s="8">
        <f t="shared" si="43"/>
        <v>103820</v>
      </c>
      <c r="G2810" s="26"/>
    </row>
    <row r="2811" spans="1:10" x14ac:dyDescent="0.25">
      <c r="A2811" s="204">
        <v>42948</v>
      </c>
      <c r="B2811" s="26" t="s">
        <v>28</v>
      </c>
      <c r="C2811" s="87" t="s">
        <v>2167</v>
      </c>
      <c r="D2811" s="8">
        <v>5000</v>
      </c>
      <c r="E2811" s="8"/>
      <c r="F2811" s="8">
        <f t="shared" si="43"/>
        <v>98820</v>
      </c>
      <c r="G2811" s="26"/>
    </row>
    <row r="2812" spans="1:10" x14ac:dyDescent="0.25">
      <c r="A2812" s="204">
        <v>42948</v>
      </c>
      <c r="B2812" s="26" t="s">
        <v>1196</v>
      </c>
      <c r="C2812" s="87" t="s">
        <v>2166</v>
      </c>
      <c r="D2812" s="8">
        <v>2000</v>
      </c>
      <c r="E2812" s="8"/>
      <c r="F2812" s="8">
        <f t="shared" si="43"/>
        <v>96820</v>
      </c>
      <c r="G2812" s="26"/>
    </row>
    <row r="2813" spans="1:10" x14ac:dyDescent="0.25">
      <c r="A2813" s="204">
        <v>42948</v>
      </c>
      <c r="B2813" s="26" t="s">
        <v>542</v>
      </c>
      <c r="C2813" s="87" t="s">
        <v>2169</v>
      </c>
      <c r="D2813" s="8">
        <v>10800</v>
      </c>
      <c r="E2813" s="8"/>
      <c r="F2813" s="8">
        <f t="shared" si="43"/>
        <v>86020</v>
      </c>
      <c r="G2813" s="26"/>
    </row>
    <row r="2814" spans="1:10" x14ac:dyDescent="0.25">
      <c r="A2814" s="204">
        <v>42948</v>
      </c>
      <c r="B2814" s="209" t="s">
        <v>57</v>
      </c>
      <c r="C2814" s="210" t="s">
        <v>2168</v>
      </c>
      <c r="D2814" s="93">
        <v>1500</v>
      </c>
      <c r="E2814" s="8"/>
      <c r="F2814" s="8">
        <f t="shared" si="43"/>
        <v>84520</v>
      </c>
      <c r="G2814" s="26"/>
    </row>
    <row r="2815" spans="1:10" x14ac:dyDescent="0.25">
      <c r="A2815" s="204">
        <v>42949</v>
      </c>
      <c r="B2815" s="26" t="s">
        <v>19</v>
      </c>
      <c r="C2815" s="87" t="s">
        <v>2180</v>
      </c>
      <c r="D2815" s="8">
        <v>25170</v>
      </c>
      <c r="E2815" s="8"/>
      <c r="F2815" s="8">
        <f t="shared" si="43"/>
        <v>59350</v>
      </c>
      <c r="G2815" s="26"/>
    </row>
    <row r="2816" spans="1:10" x14ac:dyDescent="0.25">
      <c r="A2816" s="204">
        <v>42949</v>
      </c>
      <c r="B2816" s="26" t="s">
        <v>121</v>
      </c>
      <c r="C2816" s="87" t="s">
        <v>1077</v>
      </c>
      <c r="D2816" s="8">
        <v>4767</v>
      </c>
      <c r="E2816" s="8"/>
      <c r="F2816" s="8">
        <f t="shared" si="43"/>
        <v>54583</v>
      </c>
      <c r="G2816" s="26"/>
    </row>
    <row r="2817" spans="1:7" x14ac:dyDescent="0.25">
      <c r="A2817" s="204">
        <v>42949</v>
      </c>
      <c r="B2817" s="26" t="s">
        <v>121</v>
      </c>
      <c r="C2817" s="87" t="s">
        <v>2171</v>
      </c>
      <c r="D2817" s="8">
        <v>1000</v>
      </c>
      <c r="E2817" s="8"/>
      <c r="F2817" s="8">
        <f t="shared" si="43"/>
        <v>53583</v>
      </c>
      <c r="G2817" s="26"/>
    </row>
    <row r="2818" spans="1:7" x14ac:dyDescent="0.25">
      <c r="A2818" s="204">
        <v>42949</v>
      </c>
      <c r="B2818" s="26" t="s">
        <v>2172</v>
      </c>
      <c r="C2818" s="87" t="s">
        <v>1790</v>
      </c>
      <c r="D2818" s="8">
        <v>1700</v>
      </c>
      <c r="E2818" s="8"/>
      <c r="F2818" s="8">
        <f t="shared" si="43"/>
        <v>51883</v>
      </c>
      <c r="G2818" s="26"/>
    </row>
    <row r="2819" spans="1:7" x14ac:dyDescent="0.25">
      <c r="A2819" s="204">
        <v>42949</v>
      </c>
      <c r="B2819" s="26" t="s">
        <v>2173</v>
      </c>
      <c r="C2819" s="87" t="s">
        <v>2174</v>
      </c>
      <c r="D2819" s="8">
        <v>1000</v>
      </c>
      <c r="E2819" s="8"/>
      <c r="F2819" s="8">
        <f t="shared" si="43"/>
        <v>50883</v>
      </c>
      <c r="G2819" s="26"/>
    </row>
    <row r="2820" spans="1:7" x14ac:dyDescent="0.25">
      <c r="A2820" s="204">
        <v>42949</v>
      </c>
      <c r="B2820" s="29" t="s">
        <v>59</v>
      </c>
      <c r="C2820" s="89" t="s">
        <v>2247</v>
      </c>
      <c r="D2820" s="14">
        <v>4310</v>
      </c>
      <c r="E2820" s="8"/>
      <c r="F2820" s="8">
        <f t="shared" si="43"/>
        <v>46573</v>
      </c>
      <c r="G2820" s="26"/>
    </row>
    <row r="2821" spans="1:7" x14ac:dyDescent="0.25">
      <c r="A2821" s="204">
        <v>42949</v>
      </c>
      <c r="B2821" s="29" t="s">
        <v>59</v>
      </c>
      <c r="C2821" s="89" t="s">
        <v>32</v>
      </c>
      <c r="D2821" s="14">
        <v>190</v>
      </c>
      <c r="E2821" s="8"/>
      <c r="F2821" s="8">
        <f t="shared" si="43"/>
        <v>46383</v>
      </c>
      <c r="G2821" s="26"/>
    </row>
    <row r="2822" spans="1:7" x14ac:dyDescent="0.25">
      <c r="A2822" s="204">
        <v>42949</v>
      </c>
      <c r="B2822" s="26" t="s">
        <v>1515</v>
      </c>
      <c r="C2822" s="87" t="s">
        <v>2175</v>
      </c>
      <c r="D2822" s="8">
        <v>13000</v>
      </c>
      <c r="E2822" s="8"/>
      <c r="F2822" s="8">
        <f t="shared" si="43"/>
        <v>33383</v>
      </c>
      <c r="G2822" s="26"/>
    </row>
    <row r="2823" spans="1:7" x14ac:dyDescent="0.25">
      <c r="A2823" s="204">
        <v>42949</v>
      </c>
      <c r="B2823" s="26" t="s">
        <v>2176</v>
      </c>
      <c r="C2823" s="87" t="s">
        <v>2177</v>
      </c>
      <c r="D2823" s="8">
        <v>400</v>
      </c>
      <c r="E2823" s="8"/>
      <c r="F2823" s="8">
        <f t="shared" si="43"/>
        <v>32983</v>
      </c>
      <c r="G2823" s="26"/>
    </row>
    <row r="2824" spans="1:7" x14ac:dyDescent="0.25">
      <c r="A2824" s="204">
        <v>42949</v>
      </c>
      <c r="B2824" s="26" t="s">
        <v>2178</v>
      </c>
      <c r="C2824" s="87" t="s">
        <v>2016</v>
      </c>
      <c r="D2824" s="8">
        <v>100</v>
      </c>
      <c r="E2824" s="8"/>
      <c r="F2824" s="8">
        <f t="shared" si="43"/>
        <v>32883</v>
      </c>
      <c r="G2824" s="26"/>
    </row>
    <row r="2825" spans="1:7" x14ac:dyDescent="0.25">
      <c r="A2825" s="204">
        <v>42949</v>
      </c>
      <c r="B2825" s="26" t="s">
        <v>17</v>
      </c>
      <c r="C2825" s="87" t="s">
        <v>32</v>
      </c>
      <c r="D2825" s="8">
        <v>7000</v>
      </c>
      <c r="E2825" s="8"/>
      <c r="F2825" s="8">
        <f t="shared" si="43"/>
        <v>25883</v>
      </c>
      <c r="G2825" s="26"/>
    </row>
    <row r="2826" spans="1:7" x14ac:dyDescent="0.25">
      <c r="A2826" s="204">
        <v>42949</v>
      </c>
      <c r="B2826" s="26" t="s">
        <v>61</v>
      </c>
      <c r="C2826" s="87" t="s">
        <v>2179</v>
      </c>
      <c r="D2826" s="8">
        <v>1000</v>
      </c>
      <c r="E2826" s="8"/>
      <c r="F2826" s="8">
        <f t="shared" si="43"/>
        <v>24883</v>
      </c>
      <c r="G2826" s="26"/>
    </row>
    <row r="2827" spans="1:7" x14ac:dyDescent="0.25">
      <c r="A2827" s="204">
        <v>42949</v>
      </c>
      <c r="B2827" s="460" t="s">
        <v>2181</v>
      </c>
      <c r="C2827" s="460"/>
      <c r="D2827" s="71"/>
      <c r="E2827" s="58">
        <v>170</v>
      </c>
      <c r="F2827" s="8">
        <f t="shared" si="43"/>
        <v>25053</v>
      </c>
      <c r="G2827" s="26"/>
    </row>
    <row r="2828" spans="1:7" x14ac:dyDescent="0.25">
      <c r="A2828" s="204">
        <v>42949</v>
      </c>
      <c r="B2828" s="26" t="s">
        <v>26</v>
      </c>
      <c r="C2828" s="87" t="s">
        <v>2184</v>
      </c>
      <c r="D2828" s="8">
        <v>180</v>
      </c>
      <c r="E2828" s="8"/>
      <c r="F2828" s="8">
        <f t="shared" si="43"/>
        <v>24873</v>
      </c>
      <c r="G2828" s="26"/>
    </row>
    <row r="2829" spans="1:7" x14ac:dyDescent="0.25">
      <c r="A2829" s="204">
        <v>42949</v>
      </c>
      <c r="B2829" s="29" t="s">
        <v>105</v>
      </c>
      <c r="C2829" s="89" t="s">
        <v>2186</v>
      </c>
      <c r="D2829" s="14">
        <v>300</v>
      </c>
      <c r="E2829" s="14"/>
      <c r="F2829" s="8">
        <f t="shared" si="43"/>
        <v>24573</v>
      </c>
      <c r="G2829" s="26"/>
    </row>
    <row r="2830" spans="1:7" ht="30" x14ac:dyDescent="0.25">
      <c r="A2830" s="204">
        <v>42949</v>
      </c>
      <c r="B2830" s="26" t="s">
        <v>0</v>
      </c>
      <c r="C2830" s="87" t="s">
        <v>2185</v>
      </c>
      <c r="D2830" s="8">
        <v>200</v>
      </c>
      <c r="E2830" s="8"/>
      <c r="F2830" s="8">
        <f t="shared" si="43"/>
        <v>24373</v>
      </c>
      <c r="G2830" s="26"/>
    </row>
    <row r="2831" spans="1:7" x14ac:dyDescent="0.25">
      <c r="A2831" s="204">
        <v>42950</v>
      </c>
      <c r="B2831" s="26" t="s">
        <v>61</v>
      </c>
      <c r="C2831" s="87" t="s">
        <v>2032</v>
      </c>
      <c r="D2831" s="8">
        <v>1000</v>
      </c>
      <c r="E2831" s="8"/>
      <c r="F2831" s="8">
        <f t="shared" si="43"/>
        <v>23373</v>
      </c>
      <c r="G2831" s="26"/>
    </row>
    <row r="2832" spans="1:7" x14ac:dyDescent="0.25">
      <c r="A2832" s="204">
        <v>42950</v>
      </c>
      <c r="B2832" s="26" t="s">
        <v>2099</v>
      </c>
      <c r="C2832" s="87" t="s">
        <v>2187</v>
      </c>
      <c r="D2832" s="8">
        <v>10000</v>
      </c>
      <c r="E2832" s="8"/>
      <c r="F2832" s="8">
        <f t="shared" si="43"/>
        <v>13373</v>
      </c>
      <c r="G2832" s="26"/>
    </row>
    <row r="2833" spans="1:7" x14ac:dyDescent="0.25">
      <c r="A2833" s="204">
        <v>42950</v>
      </c>
      <c r="B2833" s="26" t="s">
        <v>105</v>
      </c>
      <c r="C2833" s="87" t="s">
        <v>1533</v>
      </c>
      <c r="D2833" s="8">
        <v>500</v>
      </c>
      <c r="E2833" s="8"/>
      <c r="F2833" s="8">
        <f t="shared" si="43"/>
        <v>12873</v>
      </c>
      <c r="G2833" s="26"/>
    </row>
    <row r="2834" spans="1:7" x14ac:dyDescent="0.25">
      <c r="A2834" s="204">
        <v>42950</v>
      </c>
      <c r="B2834" s="29" t="s">
        <v>248</v>
      </c>
      <c r="C2834" s="89" t="s">
        <v>2188</v>
      </c>
      <c r="D2834" s="14">
        <v>255</v>
      </c>
      <c r="E2834" s="8"/>
      <c r="F2834" s="8">
        <f t="shared" si="43"/>
        <v>12618</v>
      </c>
      <c r="G2834" s="26"/>
    </row>
    <row r="2835" spans="1:7" x14ac:dyDescent="0.25">
      <c r="A2835" s="204">
        <v>42950</v>
      </c>
      <c r="B2835" s="26" t="s">
        <v>2192</v>
      </c>
      <c r="C2835" s="87" t="s">
        <v>2193</v>
      </c>
      <c r="D2835" s="8">
        <v>7100</v>
      </c>
      <c r="E2835" s="8"/>
      <c r="F2835" s="8">
        <f t="shared" si="43"/>
        <v>5518</v>
      </c>
      <c r="G2835" s="26"/>
    </row>
    <row r="2836" spans="1:7" x14ac:dyDescent="0.25">
      <c r="A2836" s="204">
        <v>42951</v>
      </c>
      <c r="B2836" s="26" t="s">
        <v>61</v>
      </c>
      <c r="C2836" s="87" t="s">
        <v>1584</v>
      </c>
      <c r="D2836" s="8">
        <v>1000</v>
      </c>
      <c r="E2836" s="8"/>
      <c r="F2836" s="8">
        <f t="shared" si="43"/>
        <v>4518</v>
      </c>
      <c r="G2836" s="26"/>
    </row>
    <row r="2837" spans="1:7" x14ac:dyDescent="0.25">
      <c r="A2837" s="204">
        <v>42951</v>
      </c>
      <c r="B2837" s="460" t="s">
        <v>2195</v>
      </c>
      <c r="C2837" s="460"/>
      <c r="D2837" s="71"/>
      <c r="E2837" s="58">
        <v>50000</v>
      </c>
      <c r="F2837" s="8">
        <f t="shared" si="43"/>
        <v>54518</v>
      </c>
      <c r="G2837" s="29"/>
    </row>
    <row r="2838" spans="1:7" x14ac:dyDescent="0.25">
      <c r="A2838" s="204">
        <v>42951</v>
      </c>
      <c r="B2838" s="218" t="s">
        <v>121</v>
      </c>
      <c r="C2838" s="225" t="s">
        <v>32</v>
      </c>
      <c r="D2838" s="97">
        <v>10000</v>
      </c>
      <c r="E2838" s="8"/>
      <c r="F2838" s="8">
        <f t="shared" si="43"/>
        <v>44518</v>
      </c>
      <c r="G2838" s="29"/>
    </row>
    <row r="2839" spans="1:7" x14ac:dyDescent="0.25">
      <c r="A2839" s="204">
        <v>42951</v>
      </c>
      <c r="B2839" s="29" t="s">
        <v>2207</v>
      </c>
      <c r="C2839" s="87" t="s">
        <v>2208</v>
      </c>
      <c r="D2839" s="8">
        <v>5000</v>
      </c>
      <c r="E2839" s="8"/>
      <c r="F2839" s="8">
        <f t="shared" si="43"/>
        <v>39518</v>
      </c>
      <c r="G2839" s="29"/>
    </row>
    <row r="2840" spans="1:7" x14ac:dyDescent="0.25">
      <c r="A2840" s="204">
        <v>42952</v>
      </c>
      <c r="B2840" s="26" t="s">
        <v>17</v>
      </c>
      <c r="C2840" s="87" t="s">
        <v>32</v>
      </c>
      <c r="D2840" s="8">
        <v>5000</v>
      </c>
      <c r="E2840" s="8"/>
      <c r="F2840" s="8">
        <f t="shared" si="43"/>
        <v>34518</v>
      </c>
      <c r="G2840" s="26"/>
    </row>
    <row r="2841" spans="1:7" x14ac:dyDescent="0.25">
      <c r="A2841" s="204">
        <v>42952</v>
      </c>
      <c r="B2841" s="26" t="s">
        <v>59</v>
      </c>
      <c r="C2841" s="87" t="s">
        <v>2196</v>
      </c>
      <c r="D2841" s="8">
        <v>17500</v>
      </c>
      <c r="E2841" s="8"/>
      <c r="F2841" s="8">
        <f t="shared" si="43"/>
        <v>17018</v>
      </c>
      <c r="G2841" s="26"/>
    </row>
    <row r="2842" spans="1:7" x14ac:dyDescent="0.25">
      <c r="A2842" s="204">
        <v>42952</v>
      </c>
      <c r="B2842" s="26" t="s">
        <v>26</v>
      </c>
      <c r="C2842" s="87" t="s">
        <v>2199</v>
      </c>
      <c r="D2842" s="8">
        <v>1130</v>
      </c>
      <c r="E2842" s="8"/>
      <c r="F2842" s="8">
        <f t="shared" si="43"/>
        <v>15888</v>
      </c>
      <c r="G2842" s="26"/>
    </row>
    <row r="2843" spans="1:7" x14ac:dyDescent="0.25">
      <c r="A2843" s="204">
        <v>42952</v>
      </c>
      <c r="B2843" s="26" t="s">
        <v>85</v>
      </c>
      <c r="C2843" s="87" t="s">
        <v>2197</v>
      </c>
      <c r="D2843" s="8">
        <v>5000</v>
      </c>
      <c r="E2843" s="8"/>
      <c r="F2843" s="8">
        <f t="shared" si="43"/>
        <v>10888</v>
      </c>
      <c r="G2843" s="26"/>
    </row>
    <row r="2844" spans="1:7" ht="30" x14ac:dyDescent="0.25">
      <c r="A2844" s="204">
        <v>42952</v>
      </c>
      <c r="B2844" s="99" t="s">
        <v>59</v>
      </c>
      <c r="C2844" s="100" t="s">
        <v>2198</v>
      </c>
      <c r="D2844" s="17">
        <v>2650</v>
      </c>
      <c r="E2844" s="8"/>
      <c r="F2844" s="8">
        <f t="shared" si="43"/>
        <v>8238</v>
      </c>
      <c r="G2844" s="26"/>
    </row>
    <row r="2845" spans="1:7" x14ac:dyDescent="0.25">
      <c r="A2845" s="204">
        <v>42954</v>
      </c>
      <c r="B2845" s="26" t="s">
        <v>105</v>
      </c>
      <c r="C2845" s="87" t="s">
        <v>32</v>
      </c>
      <c r="D2845" s="8">
        <v>1000</v>
      </c>
      <c r="E2845" s="8"/>
      <c r="F2845" s="8">
        <f t="shared" si="43"/>
        <v>7238</v>
      </c>
      <c r="G2845" s="26"/>
    </row>
    <row r="2846" spans="1:7" x14ac:dyDescent="0.25">
      <c r="A2846" s="204">
        <v>42954</v>
      </c>
      <c r="B2846" s="26" t="s">
        <v>2106</v>
      </c>
      <c r="C2846" s="87" t="s">
        <v>34</v>
      </c>
      <c r="D2846" s="8">
        <v>100</v>
      </c>
      <c r="E2846" s="8"/>
      <c r="F2846" s="8">
        <f t="shared" si="43"/>
        <v>7138</v>
      </c>
      <c r="G2846" s="26"/>
    </row>
    <row r="2847" spans="1:7" x14ac:dyDescent="0.25">
      <c r="A2847" s="204">
        <v>42954</v>
      </c>
      <c r="B2847" s="26" t="s">
        <v>2099</v>
      </c>
      <c r="C2847" s="87" t="s">
        <v>1659</v>
      </c>
      <c r="D2847" s="8">
        <v>3000</v>
      </c>
      <c r="E2847" s="8"/>
      <c r="F2847" s="8">
        <f t="shared" si="43"/>
        <v>4138</v>
      </c>
      <c r="G2847" s="26"/>
    </row>
    <row r="2848" spans="1:7" x14ac:dyDescent="0.25">
      <c r="A2848" s="204">
        <v>42955</v>
      </c>
      <c r="B2848" s="26" t="s">
        <v>11</v>
      </c>
      <c r="C2848" s="87" t="s">
        <v>32</v>
      </c>
      <c r="D2848" s="8">
        <v>2000</v>
      </c>
      <c r="E2848" s="8"/>
      <c r="F2848" s="8">
        <f t="shared" si="43"/>
        <v>2138</v>
      </c>
      <c r="G2848" s="26"/>
    </row>
    <row r="2849" spans="1:7" ht="30" x14ac:dyDescent="0.25">
      <c r="A2849" s="204">
        <v>42955</v>
      </c>
      <c r="B2849" s="199" t="s">
        <v>26</v>
      </c>
      <c r="C2849" s="207" t="s">
        <v>2200</v>
      </c>
      <c r="D2849" s="91">
        <v>300</v>
      </c>
      <c r="E2849" s="91"/>
      <c r="F2849" s="91">
        <f t="shared" si="43"/>
        <v>1838</v>
      </c>
      <c r="G2849" s="199"/>
    </row>
    <row r="2850" spans="1:7" x14ac:dyDescent="0.25">
      <c r="A2850" s="204">
        <v>42955</v>
      </c>
      <c r="B2850" s="26" t="s">
        <v>2106</v>
      </c>
      <c r="C2850" s="87" t="s">
        <v>2201</v>
      </c>
      <c r="D2850" s="8">
        <v>80</v>
      </c>
      <c r="E2850" s="8"/>
      <c r="F2850" s="91">
        <f t="shared" si="43"/>
        <v>1758</v>
      </c>
      <c r="G2850" s="199"/>
    </row>
    <row r="2851" spans="1:7" x14ac:dyDescent="0.25">
      <c r="A2851" s="204">
        <v>42955</v>
      </c>
      <c r="B2851" s="26" t="s">
        <v>248</v>
      </c>
      <c r="C2851" s="87" t="s">
        <v>2202</v>
      </c>
      <c r="D2851" s="8">
        <v>200</v>
      </c>
      <c r="E2851" s="8"/>
      <c r="F2851" s="91">
        <f t="shared" si="43"/>
        <v>1558</v>
      </c>
      <c r="G2851" s="26"/>
    </row>
    <row r="2852" spans="1:7" x14ac:dyDescent="0.25">
      <c r="A2852" s="204">
        <v>42955</v>
      </c>
      <c r="B2852" s="26" t="s">
        <v>26</v>
      </c>
      <c r="C2852" s="87" t="s">
        <v>2203</v>
      </c>
      <c r="D2852" s="8">
        <v>500</v>
      </c>
      <c r="E2852" s="8"/>
      <c r="F2852" s="91">
        <f t="shared" si="43"/>
        <v>1058</v>
      </c>
      <c r="G2852" s="26"/>
    </row>
    <row r="2853" spans="1:7" x14ac:dyDescent="0.25">
      <c r="A2853" s="204">
        <v>42955</v>
      </c>
      <c r="B2853" s="26" t="s">
        <v>26</v>
      </c>
      <c r="C2853" s="87" t="s">
        <v>2204</v>
      </c>
      <c r="D2853" s="8">
        <v>38</v>
      </c>
      <c r="E2853" s="8"/>
      <c r="F2853" s="91">
        <f t="shared" si="43"/>
        <v>1020</v>
      </c>
      <c r="G2853" s="26"/>
    </row>
    <row r="2854" spans="1:7" x14ac:dyDescent="0.25">
      <c r="A2854" s="204">
        <v>42955</v>
      </c>
      <c r="B2854" s="26" t="s">
        <v>26</v>
      </c>
      <c r="C2854" s="87" t="s">
        <v>2205</v>
      </c>
      <c r="D2854" s="8">
        <v>370</v>
      </c>
      <c r="E2854" s="8"/>
      <c r="F2854" s="91">
        <f t="shared" si="43"/>
        <v>650</v>
      </c>
      <c r="G2854" s="26"/>
    </row>
    <row r="2855" spans="1:7" x14ac:dyDescent="0.25">
      <c r="A2855" s="204">
        <v>42955</v>
      </c>
      <c r="B2855" s="460" t="s">
        <v>2195</v>
      </c>
      <c r="C2855" s="460"/>
      <c r="D2855" s="71"/>
      <c r="E2855" s="58">
        <v>100000</v>
      </c>
      <c r="F2855" s="91">
        <f t="shared" si="43"/>
        <v>100650</v>
      </c>
      <c r="G2855" s="26"/>
    </row>
    <row r="2856" spans="1:7" x14ac:dyDescent="0.25">
      <c r="A2856" s="204">
        <v>42956</v>
      </c>
      <c r="B2856" s="26" t="s">
        <v>105</v>
      </c>
      <c r="C2856" s="87" t="s">
        <v>32</v>
      </c>
      <c r="D2856" s="8">
        <v>10000</v>
      </c>
      <c r="E2856" s="8"/>
      <c r="F2856" s="91">
        <f t="shared" si="43"/>
        <v>90650</v>
      </c>
      <c r="G2856" s="26"/>
    </row>
    <row r="2857" spans="1:7" x14ac:dyDescent="0.25">
      <c r="A2857" s="204">
        <v>42956</v>
      </c>
      <c r="B2857" s="26" t="s">
        <v>61</v>
      </c>
      <c r="C2857" s="87" t="s">
        <v>2209</v>
      </c>
      <c r="D2857" s="8">
        <v>200</v>
      </c>
      <c r="E2857" s="8"/>
      <c r="F2857" s="91">
        <f t="shared" si="43"/>
        <v>90450</v>
      </c>
      <c r="G2857" s="26"/>
    </row>
    <row r="2858" spans="1:7" x14ac:dyDescent="0.25">
      <c r="A2858" s="204">
        <v>42956</v>
      </c>
      <c r="B2858" s="26" t="s">
        <v>2207</v>
      </c>
      <c r="C2858" s="87" t="s">
        <v>2206</v>
      </c>
      <c r="D2858" s="8">
        <v>660</v>
      </c>
      <c r="E2858" s="8"/>
      <c r="F2858" s="91">
        <f t="shared" si="43"/>
        <v>89790</v>
      </c>
      <c r="G2858" s="26"/>
    </row>
    <row r="2859" spans="1:7" x14ac:dyDescent="0.25">
      <c r="A2859" s="204">
        <v>42956</v>
      </c>
      <c r="B2859" s="26" t="s">
        <v>105</v>
      </c>
      <c r="C2859" s="87" t="s">
        <v>32</v>
      </c>
      <c r="D2859" s="8">
        <v>500</v>
      </c>
      <c r="E2859" s="8"/>
      <c r="F2859" s="91">
        <f t="shared" si="43"/>
        <v>89290</v>
      </c>
      <c r="G2859" s="26"/>
    </row>
    <row r="2860" spans="1:7" x14ac:dyDescent="0.25">
      <c r="A2860" s="204">
        <v>42956</v>
      </c>
      <c r="B2860" s="29" t="s">
        <v>26</v>
      </c>
      <c r="C2860" s="89" t="s">
        <v>2210</v>
      </c>
      <c r="D2860" s="14">
        <v>500</v>
      </c>
      <c r="E2860" s="8"/>
      <c r="F2860" s="91">
        <f t="shared" si="43"/>
        <v>88790</v>
      </c>
      <c r="G2860" s="26"/>
    </row>
    <row r="2861" spans="1:7" x14ac:dyDescent="0.25">
      <c r="A2861" s="204">
        <v>42956</v>
      </c>
      <c r="B2861" s="29" t="s">
        <v>17</v>
      </c>
      <c r="C2861" s="89" t="s">
        <v>641</v>
      </c>
      <c r="D2861" s="14">
        <v>100</v>
      </c>
      <c r="E2861" s="8"/>
      <c r="F2861" s="91">
        <f t="shared" si="43"/>
        <v>88690</v>
      </c>
      <c r="G2861" s="26"/>
    </row>
    <row r="2862" spans="1:7" x14ac:dyDescent="0.25">
      <c r="A2862" s="204">
        <v>42956</v>
      </c>
      <c r="B2862" s="26" t="s">
        <v>2099</v>
      </c>
      <c r="C2862" s="87" t="s">
        <v>1659</v>
      </c>
      <c r="D2862" s="8">
        <v>5000</v>
      </c>
      <c r="E2862" s="8"/>
      <c r="F2862" s="91">
        <f t="shared" si="43"/>
        <v>83690</v>
      </c>
      <c r="G2862" s="26"/>
    </row>
    <row r="2863" spans="1:7" x14ac:dyDescent="0.25">
      <c r="A2863" s="204">
        <v>42956</v>
      </c>
      <c r="B2863" s="26" t="s">
        <v>26</v>
      </c>
      <c r="C2863" s="87" t="s">
        <v>2232</v>
      </c>
      <c r="D2863" s="8">
        <v>220</v>
      </c>
      <c r="E2863" s="8"/>
      <c r="F2863" s="91">
        <f t="shared" si="43"/>
        <v>83470</v>
      </c>
      <c r="G2863" s="26"/>
    </row>
    <row r="2864" spans="1:7" x14ac:dyDescent="0.25">
      <c r="A2864" s="204">
        <v>42956</v>
      </c>
      <c r="B2864" s="26" t="s">
        <v>1970</v>
      </c>
      <c r="C2864" s="87" t="s">
        <v>2211</v>
      </c>
      <c r="D2864" s="8">
        <v>1000</v>
      </c>
      <c r="E2864" s="8"/>
      <c r="F2864" s="91">
        <f t="shared" si="43"/>
        <v>82470</v>
      </c>
      <c r="G2864" s="26"/>
    </row>
    <row r="2865" spans="1:7" x14ac:dyDescent="0.25">
      <c r="A2865" s="204">
        <v>42956</v>
      </c>
      <c r="B2865" s="26" t="s">
        <v>1636</v>
      </c>
      <c r="C2865" s="87" t="s">
        <v>2212</v>
      </c>
      <c r="D2865" s="8">
        <v>2800</v>
      </c>
      <c r="E2865" s="8"/>
      <c r="F2865" s="91">
        <f t="shared" si="43"/>
        <v>79670</v>
      </c>
      <c r="G2865" s="26"/>
    </row>
    <row r="2866" spans="1:7" x14ac:dyDescent="0.25">
      <c r="A2866" s="204">
        <v>42956</v>
      </c>
      <c r="B2866" s="26" t="s">
        <v>1636</v>
      </c>
      <c r="C2866" s="87" t="s">
        <v>2218</v>
      </c>
      <c r="D2866" s="8">
        <v>1700</v>
      </c>
      <c r="E2866" s="8"/>
      <c r="F2866" s="91">
        <f t="shared" si="43"/>
        <v>77970</v>
      </c>
      <c r="G2866" s="26"/>
    </row>
    <row r="2867" spans="1:7" x14ac:dyDescent="0.25">
      <c r="A2867" s="204">
        <v>42957</v>
      </c>
      <c r="B2867" s="26" t="s">
        <v>1346</v>
      </c>
      <c r="C2867" s="87" t="s">
        <v>2213</v>
      </c>
      <c r="D2867" s="8">
        <v>10000</v>
      </c>
      <c r="E2867" s="8"/>
      <c r="F2867" s="91">
        <f t="shared" si="43"/>
        <v>67970</v>
      </c>
      <c r="G2867" s="26"/>
    </row>
    <row r="2868" spans="1:7" x14ac:dyDescent="0.25">
      <c r="A2868" s="204">
        <v>42957</v>
      </c>
      <c r="B2868" s="26" t="s">
        <v>26</v>
      </c>
      <c r="C2868" s="87" t="s">
        <v>68</v>
      </c>
      <c r="D2868" s="8">
        <v>290</v>
      </c>
      <c r="E2868" s="8"/>
      <c r="F2868" s="91">
        <f t="shared" si="43"/>
        <v>67680</v>
      </c>
      <c r="G2868" s="26"/>
    </row>
    <row r="2869" spans="1:7" x14ac:dyDescent="0.25">
      <c r="A2869" s="204">
        <v>42957</v>
      </c>
      <c r="B2869" s="26" t="s">
        <v>26</v>
      </c>
      <c r="C2869" s="87" t="s">
        <v>2214</v>
      </c>
      <c r="D2869" s="8">
        <v>150</v>
      </c>
      <c r="E2869" s="8"/>
      <c r="F2869" s="91">
        <f t="shared" si="43"/>
        <v>67530</v>
      </c>
      <c r="G2869" s="26"/>
    </row>
    <row r="2870" spans="1:7" x14ac:dyDescent="0.25">
      <c r="A2870" s="204">
        <v>42957</v>
      </c>
      <c r="B2870" s="26" t="s">
        <v>94</v>
      </c>
      <c r="C2870" s="87" t="s">
        <v>2215</v>
      </c>
      <c r="D2870" s="8">
        <v>6000</v>
      </c>
      <c r="E2870" s="8"/>
      <c r="F2870" s="91">
        <f>E2870+F2869-D2870</f>
        <v>61530</v>
      </c>
      <c r="G2870" s="26"/>
    </row>
    <row r="2871" spans="1:7" x14ac:dyDescent="0.25">
      <c r="A2871" s="204">
        <v>42957</v>
      </c>
      <c r="B2871" s="26" t="s">
        <v>94</v>
      </c>
      <c r="C2871" s="87" t="s">
        <v>2216</v>
      </c>
      <c r="D2871" s="8">
        <v>4000</v>
      </c>
      <c r="E2871" s="8"/>
      <c r="F2871" s="91">
        <f t="shared" si="43"/>
        <v>57530</v>
      </c>
      <c r="G2871" s="26"/>
    </row>
    <row r="2872" spans="1:7" x14ac:dyDescent="0.25">
      <c r="A2872" s="204">
        <v>42957</v>
      </c>
      <c r="B2872" s="26" t="s">
        <v>1196</v>
      </c>
      <c r="C2872" s="87" t="s">
        <v>2217</v>
      </c>
      <c r="D2872" s="8">
        <v>2000</v>
      </c>
      <c r="E2872" s="8"/>
      <c r="F2872" s="91">
        <f t="shared" si="43"/>
        <v>55530</v>
      </c>
      <c r="G2872" s="26"/>
    </row>
    <row r="2873" spans="1:7" x14ac:dyDescent="0.25">
      <c r="A2873" s="204">
        <v>42957</v>
      </c>
      <c r="B2873" s="26" t="s">
        <v>1196</v>
      </c>
      <c r="C2873" s="87" t="s">
        <v>2217</v>
      </c>
      <c r="D2873" s="8">
        <v>2000</v>
      </c>
      <c r="E2873" s="8"/>
      <c r="F2873" s="91">
        <f t="shared" si="43"/>
        <v>53530</v>
      </c>
      <c r="G2873" s="26"/>
    </row>
    <row r="2874" spans="1:7" x14ac:dyDescent="0.25">
      <c r="A2874" s="204">
        <v>42957</v>
      </c>
      <c r="B2874" s="26" t="s">
        <v>182</v>
      </c>
      <c r="C2874" s="87" t="s">
        <v>32</v>
      </c>
      <c r="D2874" s="8">
        <v>20000</v>
      </c>
      <c r="E2874" s="8"/>
      <c r="F2874" s="91">
        <f t="shared" si="43"/>
        <v>33530</v>
      </c>
      <c r="G2874" s="26"/>
    </row>
    <row r="2875" spans="1:7" x14ac:dyDescent="0.25">
      <c r="A2875" s="204">
        <v>42957</v>
      </c>
      <c r="B2875" s="460" t="s">
        <v>2219</v>
      </c>
      <c r="C2875" s="460"/>
      <c r="D2875" s="71"/>
      <c r="E2875" s="58">
        <v>1750</v>
      </c>
      <c r="F2875" s="91">
        <f t="shared" si="43"/>
        <v>35280</v>
      </c>
      <c r="G2875" s="26"/>
    </row>
    <row r="2876" spans="1:7" x14ac:dyDescent="0.25">
      <c r="A2876" s="204">
        <v>42957</v>
      </c>
      <c r="B2876" s="26" t="s">
        <v>1196</v>
      </c>
      <c r="C2876" s="87" t="s">
        <v>1235</v>
      </c>
      <c r="D2876" s="8">
        <v>2400</v>
      </c>
      <c r="E2876" s="8"/>
      <c r="F2876" s="91">
        <f t="shared" si="43"/>
        <v>32880</v>
      </c>
      <c r="G2876" s="26"/>
    </row>
    <row r="2877" spans="1:7" x14ac:dyDescent="0.25">
      <c r="A2877" s="204">
        <v>42957</v>
      </c>
      <c r="B2877" s="26" t="s">
        <v>108</v>
      </c>
      <c r="C2877" s="87" t="s">
        <v>2220</v>
      </c>
      <c r="D2877" s="8">
        <v>2000</v>
      </c>
      <c r="E2877" s="8"/>
      <c r="F2877" s="91">
        <f t="shared" si="43"/>
        <v>30880</v>
      </c>
      <c r="G2877" s="26"/>
    </row>
    <row r="2878" spans="1:7" x14ac:dyDescent="0.25">
      <c r="A2878" s="204">
        <v>42957</v>
      </c>
      <c r="B2878" s="26" t="s">
        <v>17</v>
      </c>
      <c r="C2878" s="87" t="s">
        <v>32</v>
      </c>
      <c r="D2878" s="8">
        <v>4000</v>
      </c>
      <c r="E2878" s="8"/>
      <c r="F2878" s="91">
        <f t="shared" si="43"/>
        <v>26880</v>
      </c>
      <c r="G2878" s="26"/>
    </row>
    <row r="2879" spans="1:7" x14ac:dyDescent="0.25">
      <c r="A2879" s="204">
        <v>42957</v>
      </c>
      <c r="B2879" s="460" t="s">
        <v>2270</v>
      </c>
      <c r="C2879" s="460"/>
      <c r="D2879" s="71"/>
      <c r="E2879" s="58">
        <v>40000</v>
      </c>
      <c r="F2879" s="91">
        <f t="shared" si="43"/>
        <v>66880</v>
      </c>
      <c r="G2879" s="26"/>
    </row>
    <row r="2880" spans="1:7" x14ac:dyDescent="0.25">
      <c r="A2880" s="204">
        <v>42958</v>
      </c>
      <c r="B2880" s="26" t="s">
        <v>1619</v>
      </c>
      <c r="C2880" s="87" t="s">
        <v>257</v>
      </c>
      <c r="D2880" s="8">
        <v>1500</v>
      </c>
      <c r="E2880" s="8"/>
      <c r="F2880" s="91">
        <f t="shared" si="43"/>
        <v>65380</v>
      </c>
      <c r="G2880" s="26"/>
    </row>
    <row r="2881" spans="1:7" x14ac:dyDescent="0.25">
      <c r="A2881" s="204">
        <v>42958</v>
      </c>
      <c r="B2881" s="26" t="s">
        <v>105</v>
      </c>
      <c r="C2881" s="87" t="s">
        <v>32</v>
      </c>
      <c r="D2881" s="8">
        <v>5000</v>
      </c>
      <c r="E2881" s="8"/>
      <c r="F2881" s="91">
        <f t="shared" si="43"/>
        <v>60380</v>
      </c>
      <c r="G2881" s="26"/>
    </row>
    <row r="2882" spans="1:7" x14ac:dyDescent="0.25">
      <c r="A2882" s="204">
        <v>42958</v>
      </c>
      <c r="B2882" s="26" t="s">
        <v>1619</v>
      </c>
      <c r="C2882" s="87" t="s">
        <v>93</v>
      </c>
      <c r="D2882" s="8">
        <v>10185</v>
      </c>
      <c r="E2882" s="8"/>
      <c r="F2882" s="91">
        <f t="shared" si="43"/>
        <v>50195</v>
      </c>
      <c r="G2882" s="26"/>
    </row>
    <row r="2883" spans="1:7" x14ac:dyDescent="0.25">
      <c r="A2883" s="204">
        <v>42958</v>
      </c>
      <c r="B2883" s="460" t="s">
        <v>2195</v>
      </c>
      <c r="C2883" s="460"/>
      <c r="D2883" s="71"/>
      <c r="E2883" s="58">
        <v>200000</v>
      </c>
      <c r="F2883" s="91">
        <f t="shared" si="43"/>
        <v>250195</v>
      </c>
      <c r="G2883" s="26"/>
    </row>
    <row r="2884" spans="1:7" x14ac:dyDescent="0.25">
      <c r="A2884" s="204">
        <v>42958</v>
      </c>
      <c r="B2884" s="26" t="s">
        <v>17</v>
      </c>
      <c r="C2884" s="87" t="s">
        <v>2221</v>
      </c>
      <c r="D2884" s="8">
        <v>15000</v>
      </c>
      <c r="E2884" s="8"/>
      <c r="F2884" s="91">
        <f t="shared" si="43"/>
        <v>235195</v>
      </c>
      <c r="G2884" s="26"/>
    </row>
    <row r="2885" spans="1:7" x14ac:dyDescent="0.25">
      <c r="A2885" s="204">
        <v>42958</v>
      </c>
      <c r="B2885" s="26" t="s">
        <v>26</v>
      </c>
      <c r="C2885" s="87" t="s">
        <v>2233</v>
      </c>
      <c r="D2885" s="8">
        <v>150</v>
      </c>
      <c r="E2885" s="8"/>
      <c r="F2885" s="91">
        <f t="shared" si="43"/>
        <v>235045</v>
      </c>
      <c r="G2885" s="26"/>
    </row>
    <row r="2886" spans="1:7" x14ac:dyDescent="0.25">
      <c r="A2886" s="204">
        <v>42958</v>
      </c>
      <c r="B2886" s="26" t="s">
        <v>26</v>
      </c>
      <c r="C2886" s="87" t="s">
        <v>2234</v>
      </c>
      <c r="D2886" s="8">
        <v>50</v>
      </c>
      <c r="E2886" s="8"/>
      <c r="F2886" s="91">
        <f t="shared" si="43"/>
        <v>234995</v>
      </c>
      <c r="G2886" s="26"/>
    </row>
    <row r="2887" spans="1:7" ht="30" x14ac:dyDescent="0.25">
      <c r="A2887" s="204">
        <v>42958</v>
      </c>
      <c r="B2887" s="199" t="s">
        <v>2222</v>
      </c>
      <c r="C2887" s="207" t="s">
        <v>2223</v>
      </c>
      <c r="D2887" s="91">
        <v>77770</v>
      </c>
      <c r="E2887" s="91"/>
      <c r="F2887" s="91">
        <f t="shared" si="43"/>
        <v>157225</v>
      </c>
      <c r="G2887" s="199"/>
    </row>
    <row r="2888" spans="1:7" x14ac:dyDescent="0.25">
      <c r="A2888" s="204">
        <v>42958</v>
      </c>
      <c r="B2888" s="199" t="s">
        <v>59</v>
      </c>
      <c r="C2888" s="207" t="s">
        <v>1627</v>
      </c>
      <c r="D2888" s="91">
        <v>100</v>
      </c>
      <c r="E2888" s="91"/>
      <c r="F2888" s="91">
        <f t="shared" si="43"/>
        <v>157125</v>
      </c>
      <c r="G2888" s="199"/>
    </row>
    <row r="2889" spans="1:7" x14ac:dyDescent="0.25">
      <c r="A2889" s="204">
        <v>42958</v>
      </c>
      <c r="B2889" s="26" t="s">
        <v>85</v>
      </c>
      <c r="C2889" s="87" t="s">
        <v>2152</v>
      </c>
      <c r="D2889" s="8">
        <v>7000</v>
      </c>
      <c r="E2889" s="8"/>
      <c r="F2889" s="91">
        <f t="shared" si="43"/>
        <v>150125</v>
      </c>
      <c r="G2889" s="26"/>
    </row>
    <row r="2890" spans="1:7" x14ac:dyDescent="0.25">
      <c r="A2890" s="204">
        <v>42958</v>
      </c>
      <c r="B2890" s="26" t="s">
        <v>2099</v>
      </c>
      <c r="C2890" s="87" t="s">
        <v>2224</v>
      </c>
      <c r="D2890" s="8">
        <v>2000</v>
      </c>
      <c r="E2890" s="8"/>
      <c r="F2890" s="91">
        <f t="shared" si="43"/>
        <v>148125</v>
      </c>
      <c r="G2890" s="26"/>
    </row>
    <row r="2891" spans="1:7" x14ac:dyDescent="0.25">
      <c r="A2891" s="204">
        <v>42959</v>
      </c>
      <c r="B2891" s="26" t="s">
        <v>446</v>
      </c>
      <c r="C2891" s="87" t="s">
        <v>32</v>
      </c>
      <c r="D2891" s="8">
        <v>1000</v>
      </c>
      <c r="E2891" s="8"/>
      <c r="F2891" s="91">
        <f t="shared" si="43"/>
        <v>147125</v>
      </c>
      <c r="G2891" s="26"/>
    </row>
    <row r="2892" spans="1:7" x14ac:dyDescent="0.25">
      <c r="A2892" s="204">
        <v>42959</v>
      </c>
      <c r="B2892" s="26" t="s">
        <v>26</v>
      </c>
      <c r="C2892" s="87" t="s">
        <v>2225</v>
      </c>
      <c r="D2892" s="8">
        <v>350</v>
      </c>
      <c r="E2892" s="8"/>
      <c r="F2892" s="91">
        <f t="shared" si="43"/>
        <v>146775</v>
      </c>
      <c r="G2892" s="26"/>
    </row>
    <row r="2893" spans="1:7" x14ac:dyDescent="0.25">
      <c r="A2893" s="204">
        <v>42959</v>
      </c>
      <c r="B2893" s="26" t="s">
        <v>2099</v>
      </c>
      <c r="C2893" s="87" t="s">
        <v>32</v>
      </c>
      <c r="D2893" s="8">
        <v>20000</v>
      </c>
      <c r="E2893" s="8"/>
      <c r="F2893" s="91">
        <f t="shared" si="43"/>
        <v>126775</v>
      </c>
      <c r="G2893" s="26"/>
    </row>
    <row r="2894" spans="1:7" x14ac:dyDescent="0.25">
      <c r="A2894" s="204">
        <v>42959</v>
      </c>
      <c r="B2894" s="26" t="s">
        <v>85</v>
      </c>
      <c r="C2894" s="87" t="s">
        <v>2226</v>
      </c>
      <c r="D2894" s="8">
        <v>3000</v>
      </c>
      <c r="E2894" s="8"/>
      <c r="F2894" s="91">
        <f t="shared" si="43"/>
        <v>123775</v>
      </c>
      <c r="G2894" s="26"/>
    </row>
    <row r="2895" spans="1:7" ht="30" x14ac:dyDescent="0.25">
      <c r="A2895" s="204">
        <v>42959</v>
      </c>
      <c r="B2895" s="26" t="s">
        <v>26</v>
      </c>
      <c r="C2895" s="87" t="s">
        <v>2235</v>
      </c>
      <c r="D2895" s="8">
        <v>440</v>
      </c>
      <c r="E2895" s="8"/>
      <c r="F2895" s="91">
        <f t="shared" si="43"/>
        <v>123335</v>
      </c>
      <c r="G2895" s="26"/>
    </row>
    <row r="2896" spans="1:7" x14ac:dyDescent="0.25">
      <c r="A2896" s="204">
        <v>42959</v>
      </c>
      <c r="B2896" s="26" t="s">
        <v>2158</v>
      </c>
      <c r="C2896" s="87" t="s">
        <v>2016</v>
      </c>
      <c r="D2896" s="8">
        <v>50</v>
      </c>
      <c r="E2896" s="8"/>
      <c r="F2896" s="91">
        <f t="shared" si="43"/>
        <v>123285</v>
      </c>
      <c r="G2896" s="26"/>
    </row>
    <row r="2897" spans="1:7" x14ac:dyDescent="0.25">
      <c r="A2897" s="204">
        <v>42959</v>
      </c>
      <c r="B2897" s="26" t="s">
        <v>2227</v>
      </c>
      <c r="C2897" s="87" t="s">
        <v>32</v>
      </c>
      <c r="D2897" s="8">
        <v>20000</v>
      </c>
      <c r="E2897" s="8"/>
      <c r="F2897" s="91">
        <f t="shared" si="43"/>
        <v>103285</v>
      </c>
      <c r="G2897" s="26"/>
    </row>
    <row r="2898" spans="1:7" ht="30" x14ac:dyDescent="0.25">
      <c r="A2898" s="204">
        <v>42959</v>
      </c>
      <c r="B2898" s="29" t="s">
        <v>2106</v>
      </c>
      <c r="C2898" s="89" t="s">
        <v>2255</v>
      </c>
      <c r="D2898" s="14">
        <v>290</v>
      </c>
      <c r="E2898" s="8"/>
      <c r="F2898" s="91">
        <f t="shared" si="43"/>
        <v>102995</v>
      </c>
      <c r="G2898" s="26"/>
    </row>
    <row r="2899" spans="1:7" x14ac:dyDescent="0.25">
      <c r="A2899" s="204">
        <v>42959</v>
      </c>
      <c r="B2899" s="26" t="s">
        <v>85</v>
      </c>
      <c r="C2899" s="87" t="s">
        <v>2228</v>
      </c>
      <c r="D2899" s="8">
        <v>12000</v>
      </c>
      <c r="E2899" s="8"/>
      <c r="F2899" s="91">
        <f t="shared" si="43"/>
        <v>90995</v>
      </c>
      <c r="G2899" s="26"/>
    </row>
    <row r="2900" spans="1:7" ht="30" x14ac:dyDescent="0.25">
      <c r="A2900" s="204">
        <v>42959</v>
      </c>
      <c r="B2900" s="199" t="s">
        <v>26</v>
      </c>
      <c r="C2900" s="207" t="s">
        <v>2229</v>
      </c>
      <c r="D2900" s="91">
        <v>245</v>
      </c>
      <c r="E2900" s="91"/>
      <c r="F2900" s="91">
        <f t="shared" si="43"/>
        <v>90750</v>
      </c>
      <c r="G2900" s="199"/>
    </row>
    <row r="2901" spans="1:7" x14ac:dyDescent="0.25">
      <c r="A2901" s="204">
        <v>42959</v>
      </c>
      <c r="B2901" s="199" t="s">
        <v>26</v>
      </c>
      <c r="C2901" s="207" t="s">
        <v>2236</v>
      </c>
      <c r="D2901" s="91">
        <v>60</v>
      </c>
      <c r="E2901" s="91"/>
      <c r="F2901" s="91">
        <f t="shared" si="43"/>
        <v>90690</v>
      </c>
      <c r="G2901" s="199"/>
    </row>
    <row r="2902" spans="1:7" x14ac:dyDescent="0.25">
      <c r="A2902" s="204">
        <v>42959</v>
      </c>
      <c r="B2902" s="29" t="s">
        <v>2106</v>
      </c>
      <c r="C2902" s="89" t="s">
        <v>2230</v>
      </c>
      <c r="D2902" s="14">
        <v>1480</v>
      </c>
      <c r="E2902" s="8"/>
      <c r="F2902" s="91">
        <f t="shared" si="43"/>
        <v>89210</v>
      </c>
      <c r="G2902" s="26"/>
    </row>
    <row r="2903" spans="1:7" x14ac:dyDescent="0.25">
      <c r="A2903" s="204">
        <v>42959</v>
      </c>
      <c r="B2903" s="29" t="s">
        <v>121</v>
      </c>
      <c r="C2903" s="89" t="s">
        <v>32</v>
      </c>
      <c r="D2903" s="14">
        <v>10000</v>
      </c>
      <c r="E2903" s="8"/>
      <c r="F2903" s="91">
        <f t="shared" si="43"/>
        <v>79210</v>
      </c>
      <c r="G2903" s="26"/>
    </row>
    <row r="2904" spans="1:7" x14ac:dyDescent="0.25">
      <c r="A2904" s="204">
        <v>42959</v>
      </c>
      <c r="B2904" s="26" t="s">
        <v>182</v>
      </c>
      <c r="C2904" s="87" t="s">
        <v>2231</v>
      </c>
      <c r="D2904" s="8">
        <v>15000</v>
      </c>
      <c r="E2904" s="8"/>
      <c r="F2904" s="91">
        <f t="shared" si="43"/>
        <v>64210</v>
      </c>
      <c r="G2904" s="26"/>
    </row>
    <row r="2905" spans="1:7" x14ac:dyDescent="0.25">
      <c r="A2905" s="204">
        <v>42959</v>
      </c>
      <c r="B2905" s="26" t="s">
        <v>85</v>
      </c>
      <c r="C2905" s="87" t="s">
        <v>2237</v>
      </c>
      <c r="D2905" s="8">
        <v>2000</v>
      </c>
      <c r="E2905" s="8"/>
      <c r="F2905" s="91">
        <f t="shared" si="43"/>
        <v>62210</v>
      </c>
      <c r="G2905" s="26"/>
    </row>
    <row r="2906" spans="1:7" x14ac:dyDescent="0.25">
      <c r="A2906" s="204">
        <v>42959</v>
      </c>
      <c r="B2906" s="26" t="s">
        <v>55</v>
      </c>
      <c r="C2906" s="87" t="s">
        <v>2238</v>
      </c>
      <c r="D2906" s="8">
        <v>2000</v>
      </c>
      <c r="E2906" s="8"/>
      <c r="F2906" s="91">
        <f t="shared" si="43"/>
        <v>60210</v>
      </c>
      <c r="G2906" s="26"/>
    </row>
    <row r="2907" spans="1:7" ht="30" x14ac:dyDescent="0.25">
      <c r="A2907" s="204">
        <v>42959</v>
      </c>
      <c r="B2907" s="205" t="s">
        <v>248</v>
      </c>
      <c r="C2907" s="206" t="s">
        <v>2249</v>
      </c>
      <c r="D2907" s="92">
        <v>17485</v>
      </c>
      <c r="E2907" s="91"/>
      <c r="F2907" s="91">
        <f t="shared" si="43"/>
        <v>42725</v>
      </c>
      <c r="G2907" s="26"/>
    </row>
    <row r="2908" spans="1:7" x14ac:dyDescent="0.25">
      <c r="A2908" s="204">
        <v>42962</v>
      </c>
      <c r="B2908" s="29" t="s">
        <v>19</v>
      </c>
      <c r="C2908" s="89" t="s">
        <v>2239</v>
      </c>
      <c r="D2908" s="14">
        <v>110</v>
      </c>
      <c r="E2908" s="8"/>
      <c r="F2908" s="91">
        <f t="shared" si="43"/>
        <v>42615</v>
      </c>
      <c r="G2908" s="26"/>
    </row>
    <row r="2909" spans="1:7" x14ac:dyDescent="0.25">
      <c r="A2909" s="204">
        <v>42962</v>
      </c>
      <c r="B2909" s="26" t="s">
        <v>1619</v>
      </c>
      <c r="C2909" s="87" t="s">
        <v>2240</v>
      </c>
      <c r="D2909" s="8">
        <v>520</v>
      </c>
      <c r="E2909" s="8"/>
      <c r="F2909" s="91">
        <f t="shared" si="43"/>
        <v>42095</v>
      </c>
      <c r="G2909" s="26"/>
    </row>
    <row r="2910" spans="1:7" x14ac:dyDescent="0.25">
      <c r="A2910" s="204">
        <v>42962</v>
      </c>
      <c r="B2910" s="29" t="s">
        <v>1840</v>
      </c>
      <c r="C2910" s="89" t="s">
        <v>2243</v>
      </c>
      <c r="D2910" s="14">
        <v>10870</v>
      </c>
      <c r="E2910" s="14"/>
      <c r="F2910" s="92">
        <f t="shared" si="43"/>
        <v>31225</v>
      </c>
      <c r="G2910" s="26"/>
    </row>
    <row r="2911" spans="1:7" x14ac:dyDescent="0.25">
      <c r="A2911" s="204">
        <v>42962</v>
      </c>
      <c r="B2911" s="26" t="s">
        <v>48</v>
      </c>
      <c r="C2911" s="87" t="s">
        <v>2242</v>
      </c>
      <c r="D2911" s="8">
        <v>2600</v>
      </c>
      <c r="E2911" s="8"/>
      <c r="F2911" s="91">
        <f t="shared" si="43"/>
        <v>28625</v>
      </c>
      <c r="G2911" s="26"/>
    </row>
    <row r="2912" spans="1:7" x14ac:dyDescent="0.25">
      <c r="A2912" s="204">
        <v>42962</v>
      </c>
      <c r="B2912" s="26" t="s">
        <v>26</v>
      </c>
      <c r="C2912" s="87" t="s">
        <v>2241</v>
      </c>
      <c r="D2912" s="8">
        <v>600</v>
      </c>
      <c r="E2912" s="8"/>
      <c r="F2912" s="91">
        <f t="shared" si="43"/>
        <v>28025</v>
      </c>
      <c r="G2912" s="26"/>
    </row>
    <row r="2913" spans="1:8" x14ac:dyDescent="0.25">
      <c r="A2913" s="204">
        <v>42962</v>
      </c>
      <c r="B2913" s="26" t="s">
        <v>2089</v>
      </c>
      <c r="C2913" s="87" t="s">
        <v>2244</v>
      </c>
      <c r="D2913" s="8">
        <v>100</v>
      </c>
      <c r="E2913" s="8"/>
      <c r="F2913" s="91">
        <f>E2913+F2912-D2913</f>
        <v>27925</v>
      </c>
      <c r="G2913" s="26"/>
    </row>
    <row r="2914" spans="1:8" x14ac:dyDescent="0.25">
      <c r="A2914" s="204">
        <v>42963</v>
      </c>
      <c r="B2914" s="26" t="s">
        <v>2099</v>
      </c>
      <c r="C2914" s="87" t="s">
        <v>78</v>
      </c>
      <c r="D2914" s="8">
        <v>18000</v>
      </c>
      <c r="E2914" s="8"/>
      <c r="F2914" s="91">
        <f t="shared" si="43"/>
        <v>9925</v>
      </c>
      <c r="G2914" s="26"/>
    </row>
    <row r="2915" spans="1:8" x14ac:dyDescent="0.25">
      <c r="A2915" s="204">
        <v>42963</v>
      </c>
      <c r="B2915" s="26" t="s">
        <v>1970</v>
      </c>
      <c r="C2915" s="87" t="s">
        <v>2245</v>
      </c>
      <c r="D2915" s="8">
        <v>100</v>
      </c>
      <c r="E2915" s="8"/>
      <c r="F2915" s="91">
        <f t="shared" si="43"/>
        <v>9825</v>
      </c>
      <c r="G2915" s="26"/>
    </row>
    <row r="2916" spans="1:8" ht="30" x14ac:dyDescent="0.25">
      <c r="A2916" s="204">
        <v>42963</v>
      </c>
      <c r="B2916" s="199" t="s">
        <v>26</v>
      </c>
      <c r="C2916" s="207" t="s">
        <v>2246</v>
      </c>
      <c r="D2916" s="91">
        <v>500</v>
      </c>
      <c r="E2916" s="91"/>
      <c r="F2916" s="91">
        <f t="shared" si="43"/>
        <v>9325</v>
      </c>
      <c r="G2916" s="199"/>
    </row>
    <row r="2917" spans="1:8" x14ac:dyDescent="0.25">
      <c r="A2917" s="204">
        <v>42963</v>
      </c>
      <c r="B2917" s="460" t="s">
        <v>2252</v>
      </c>
      <c r="C2917" s="460"/>
      <c r="D2917" s="71"/>
      <c r="E2917" s="58">
        <v>9000</v>
      </c>
      <c r="F2917" s="91">
        <f t="shared" si="43"/>
        <v>18325</v>
      </c>
      <c r="G2917" s="199"/>
    </row>
    <row r="2918" spans="1:8" x14ac:dyDescent="0.25">
      <c r="A2918" s="204">
        <v>42963</v>
      </c>
      <c r="B2918" s="26" t="s">
        <v>2207</v>
      </c>
      <c r="C2918" s="87" t="s">
        <v>2248</v>
      </c>
      <c r="D2918" s="8">
        <v>90</v>
      </c>
      <c r="E2918" s="8"/>
      <c r="F2918" s="91">
        <f t="shared" si="43"/>
        <v>18235</v>
      </c>
      <c r="G2918" s="26"/>
    </row>
    <row r="2919" spans="1:8" x14ac:dyDescent="0.25">
      <c r="A2919" s="204">
        <v>42963</v>
      </c>
      <c r="B2919" s="26" t="s">
        <v>19</v>
      </c>
      <c r="C2919" s="87" t="s">
        <v>32</v>
      </c>
      <c r="D2919" s="8">
        <v>500</v>
      </c>
      <c r="E2919" s="8"/>
      <c r="F2919" s="91">
        <f t="shared" si="43"/>
        <v>17735</v>
      </c>
      <c r="G2919" s="26"/>
    </row>
    <row r="2920" spans="1:8" x14ac:dyDescent="0.25">
      <c r="A2920" s="204">
        <v>42963</v>
      </c>
      <c r="B2920" s="26" t="s">
        <v>26</v>
      </c>
      <c r="C2920" s="87" t="s">
        <v>1560</v>
      </c>
      <c r="D2920" s="8">
        <v>150</v>
      </c>
      <c r="E2920" s="8"/>
      <c r="F2920" s="91">
        <f t="shared" si="43"/>
        <v>17585</v>
      </c>
      <c r="G2920" s="26"/>
    </row>
    <row r="2921" spans="1:8" ht="30" x14ac:dyDescent="0.25">
      <c r="A2921" s="204">
        <v>42963</v>
      </c>
      <c r="B2921" s="26" t="s">
        <v>26</v>
      </c>
      <c r="C2921" s="87" t="s">
        <v>2253</v>
      </c>
      <c r="D2921" s="8">
        <v>445</v>
      </c>
      <c r="E2921" s="8"/>
      <c r="F2921" s="91">
        <f t="shared" si="43"/>
        <v>17140</v>
      </c>
      <c r="G2921" s="26"/>
    </row>
    <row r="2922" spans="1:8" x14ac:dyDescent="0.25">
      <c r="A2922" s="204">
        <v>42964</v>
      </c>
      <c r="B2922" s="26" t="s">
        <v>61</v>
      </c>
      <c r="C2922" s="87" t="s">
        <v>32</v>
      </c>
      <c r="D2922" s="8">
        <v>2000</v>
      </c>
      <c r="E2922" s="8"/>
      <c r="F2922" s="91">
        <f t="shared" si="43"/>
        <v>15140</v>
      </c>
      <c r="G2922" s="26"/>
      <c r="H2922" s="154"/>
    </row>
    <row r="2923" spans="1:8" x14ac:dyDescent="0.25">
      <c r="A2923" s="204">
        <v>42964</v>
      </c>
      <c r="B2923" s="26" t="s">
        <v>26</v>
      </c>
      <c r="C2923" s="87" t="s">
        <v>606</v>
      </c>
      <c r="D2923" s="8">
        <v>50</v>
      </c>
      <c r="E2923" s="8"/>
      <c r="F2923" s="91">
        <f t="shared" si="43"/>
        <v>15090</v>
      </c>
      <c r="G2923" s="26"/>
    </row>
    <row r="2924" spans="1:8" x14ac:dyDescent="0.25">
      <c r="A2924" s="204">
        <v>42964</v>
      </c>
      <c r="B2924" s="26" t="s">
        <v>2250</v>
      </c>
      <c r="C2924" s="87" t="s">
        <v>2251</v>
      </c>
      <c r="D2924" s="8">
        <v>2000</v>
      </c>
      <c r="E2924" s="8"/>
      <c r="F2924" s="91">
        <f t="shared" si="43"/>
        <v>13090</v>
      </c>
      <c r="G2924" s="26"/>
    </row>
    <row r="2925" spans="1:8" x14ac:dyDescent="0.25">
      <c r="A2925" s="204">
        <v>42964</v>
      </c>
      <c r="B2925" s="26" t="s">
        <v>17</v>
      </c>
      <c r="C2925" s="87" t="s">
        <v>32</v>
      </c>
      <c r="D2925" s="8">
        <v>5000</v>
      </c>
      <c r="E2925" s="8"/>
      <c r="F2925" s="91">
        <f t="shared" si="43"/>
        <v>8090</v>
      </c>
      <c r="G2925" s="26"/>
    </row>
    <row r="2926" spans="1:8" ht="30" x14ac:dyDescent="0.25">
      <c r="A2926" s="204">
        <v>42965</v>
      </c>
      <c r="B2926" s="26" t="s">
        <v>2106</v>
      </c>
      <c r="C2926" s="87" t="s">
        <v>2254</v>
      </c>
      <c r="D2926" s="8">
        <v>350</v>
      </c>
      <c r="E2926" s="8"/>
      <c r="F2926" s="91">
        <f t="shared" si="43"/>
        <v>7740</v>
      </c>
      <c r="G2926" s="26"/>
    </row>
    <row r="2927" spans="1:8" x14ac:dyDescent="0.25">
      <c r="A2927" s="204">
        <v>42965</v>
      </c>
      <c r="B2927" s="460" t="s">
        <v>2195</v>
      </c>
      <c r="C2927" s="460"/>
      <c r="D2927" s="71"/>
      <c r="E2927" s="58">
        <v>200000</v>
      </c>
      <c r="F2927" s="91">
        <f t="shared" si="43"/>
        <v>207740</v>
      </c>
      <c r="G2927" s="26"/>
    </row>
    <row r="2928" spans="1:8" x14ac:dyDescent="0.25">
      <c r="A2928" s="204">
        <v>42965</v>
      </c>
      <c r="B2928" s="460" t="s">
        <v>2195</v>
      </c>
      <c r="C2928" s="460"/>
      <c r="D2928" s="71"/>
      <c r="E2928" s="58">
        <v>6200</v>
      </c>
      <c r="F2928" s="91">
        <f t="shared" si="43"/>
        <v>213940</v>
      </c>
      <c r="G2928" s="26"/>
    </row>
    <row r="2929" spans="1:7" x14ac:dyDescent="0.25">
      <c r="A2929" s="204">
        <v>42965</v>
      </c>
      <c r="B2929" s="26" t="s">
        <v>59</v>
      </c>
      <c r="C2929" s="87" t="s">
        <v>2256</v>
      </c>
      <c r="D2929" s="8">
        <v>10800</v>
      </c>
      <c r="E2929" s="8"/>
      <c r="F2929" s="91">
        <f t="shared" si="43"/>
        <v>203140</v>
      </c>
      <c r="G2929" s="26"/>
    </row>
    <row r="2930" spans="1:7" x14ac:dyDescent="0.25">
      <c r="A2930" s="204">
        <v>42965</v>
      </c>
      <c r="B2930" s="26" t="s">
        <v>55</v>
      </c>
      <c r="C2930" s="87" t="s">
        <v>2257</v>
      </c>
      <c r="D2930" s="8">
        <v>10000</v>
      </c>
      <c r="E2930" s="8"/>
      <c r="F2930" s="91">
        <f t="shared" si="43"/>
        <v>193140</v>
      </c>
      <c r="G2930" s="26"/>
    </row>
    <row r="2931" spans="1:7" x14ac:dyDescent="0.25">
      <c r="A2931" s="204">
        <v>42965</v>
      </c>
      <c r="B2931" s="26" t="s">
        <v>248</v>
      </c>
      <c r="C2931" s="87" t="s">
        <v>2258</v>
      </c>
      <c r="D2931" s="8">
        <v>765</v>
      </c>
      <c r="E2931" s="8"/>
      <c r="F2931" s="91">
        <f t="shared" si="43"/>
        <v>192375</v>
      </c>
      <c r="G2931" s="26"/>
    </row>
    <row r="2932" spans="1:7" x14ac:dyDescent="0.25">
      <c r="A2932" s="204">
        <v>42965</v>
      </c>
      <c r="B2932" s="26" t="s">
        <v>248</v>
      </c>
      <c r="C2932" s="87" t="s">
        <v>2259</v>
      </c>
      <c r="D2932" s="8">
        <v>850</v>
      </c>
      <c r="E2932" s="8"/>
      <c r="F2932" s="91">
        <f t="shared" si="43"/>
        <v>191525</v>
      </c>
      <c r="G2932" s="26"/>
    </row>
    <row r="2933" spans="1:7" x14ac:dyDescent="0.25">
      <c r="A2933" s="204">
        <v>42965</v>
      </c>
      <c r="B2933" s="29" t="s">
        <v>248</v>
      </c>
      <c r="C2933" s="89" t="s">
        <v>2260</v>
      </c>
      <c r="D2933" s="14">
        <v>170</v>
      </c>
      <c r="E2933" s="8"/>
      <c r="F2933" s="91">
        <f t="shared" si="43"/>
        <v>191355</v>
      </c>
      <c r="G2933" s="26"/>
    </row>
    <row r="2934" spans="1:7" x14ac:dyDescent="0.25">
      <c r="A2934" s="204">
        <v>42965</v>
      </c>
      <c r="B2934" s="29" t="s">
        <v>1619</v>
      </c>
      <c r="C2934" s="89" t="s">
        <v>2314</v>
      </c>
      <c r="D2934" s="14">
        <v>1520</v>
      </c>
      <c r="E2934" s="8"/>
      <c r="F2934" s="91">
        <f t="shared" si="43"/>
        <v>189835</v>
      </c>
      <c r="G2934" s="26"/>
    </row>
    <row r="2935" spans="1:7" ht="30" x14ac:dyDescent="0.25">
      <c r="A2935" s="204">
        <v>42966</v>
      </c>
      <c r="B2935" s="26" t="s">
        <v>1970</v>
      </c>
      <c r="C2935" s="87" t="s">
        <v>2261</v>
      </c>
      <c r="D2935" s="8">
        <v>200</v>
      </c>
      <c r="E2935" s="8"/>
      <c r="F2935" s="91">
        <f t="shared" si="43"/>
        <v>189635</v>
      </c>
      <c r="G2935" s="26"/>
    </row>
    <row r="2936" spans="1:7" x14ac:dyDescent="0.25">
      <c r="A2936" s="204">
        <v>42966</v>
      </c>
      <c r="B2936" s="26" t="s">
        <v>85</v>
      </c>
      <c r="C2936" s="87" t="s">
        <v>2262</v>
      </c>
      <c r="D2936" s="8">
        <v>1000</v>
      </c>
      <c r="E2936" s="8"/>
      <c r="F2936" s="91">
        <f t="shared" si="43"/>
        <v>188635</v>
      </c>
      <c r="G2936" s="26"/>
    </row>
    <row r="2937" spans="1:7" ht="30" x14ac:dyDescent="0.25">
      <c r="A2937" s="204">
        <v>42966</v>
      </c>
      <c r="B2937" s="26" t="s">
        <v>2128</v>
      </c>
      <c r="C2937" s="87" t="s">
        <v>2263</v>
      </c>
      <c r="D2937" s="8">
        <v>4550</v>
      </c>
      <c r="E2937" s="8"/>
      <c r="F2937" s="91">
        <f t="shared" si="43"/>
        <v>184085</v>
      </c>
      <c r="G2937" s="26"/>
    </row>
    <row r="2938" spans="1:7" x14ac:dyDescent="0.25">
      <c r="A2938" s="204">
        <v>42966</v>
      </c>
      <c r="B2938" s="26" t="s">
        <v>2265</v>
      </c>
      <c r="C2938" s="87" t="s">
        <v>2266</v>
      </c>
      <c r="D2938" s="8">
        <v>200</v>
      </c>
      <c r="E2938" s="8"/>
      <c r="F2938" s="91">
        <f t="shared" si="43"/>
        <v>183885</v>
      </c>
      <c r="G2938" s="26"/>
    </row>
    <row r="2939" spans="1:7" ht="30" x14ac:dyDescent="0.25">
      <c r="A2939" s="204">
        <v>42966</v>
      </c>
      <c r="B2939" s="26" t="s">
        <v>26</v>
      </c>
      <c r="C2939" s="87" t="s">
        <v>2264</v>
      </c>
      <c r="D2939" s="8">
        <v>545</v>
      </c>
      <c r="E2939" s="8"/>
      <c r="F2939" s="91">
        <f t="shared" si="43"/>
        <v>183340</v>
      </c>
      <c r="G2939" s="26"/>
    </row>
    <row r="2940" spans="1:7" x14ac:dyDescent="0.25">
      <c r="A2940" s="204">
        <v>42966</v>
      </c>
      <c r="B2940" s="26" t="s">
        <v>85</v>
      </c>
      <c r="C2940" s="87" t="s">
        <v>2267</v>
      </c>
      <c r="D2940" s="8">
        <v>1000</v>
      </c>
      <c r="E2940" s="8"/>
      <c r="F2940" s="91">
        <f t="shared" si="43"/>
        <v>182340</v>
      </c>
      <c r="G2940" s="26"/>
    </row>
    <row r="2941" spans="1:7" x14ac:dyDescent="0.25">
      <c r="A2941" s="204">
        <v>42966</v>
      </c>
      <c r="B2941" s="26" t="s">
        <v>542</v>
      </c>
      <c r="C2941" s="87" t="s">
        <v>2269</v>
      </c>
      <c r="D2941" s="8">
        <v>3000</v>
      </c>
      <c r="E2941" s="8"/>
      <c r="F2941" s="91">
        <f t="shared" si="43"/>
        <v>179340</v>
      </c>
      <c r="G2941" s="26"/>
    </row>
    <row r="2942" spans="1:7" x14ac:dyDescent="0.25">
      <c r="A2942" s="204">
        <v>42966</v>
      </c>
      <c r="B2942" s="26" t="s">
        <v>111</v>
      </c>
      <c r="C2942" s="87" t="s">
        <v>2268</v>
      </c>
      <c r="D2942" s="8">
        <v>2000</v>
      </c>
      <c r="E2942" s="8"/>
      <c r="F2942" s="91">
        <f t="shared" si="43"/>
        <v>177340</v>
      </c>
      <c r="G2942" s="26"/>
    </row>
    <row r="2943" spans="1:7" x14ac:dyDescent="0.25">
      <c r="A2943" s="204">
        <v>42966</v>
      </c>
      <c r="B2943" s="26" t="s">
        <v>2099</v>
      </c>
      <c r="C2943" s="87" t="s">
        <v>32</v>
      </c>
      <c r="D2943" s="8">
        <v>7000</v>
      </c>
      <c r="E2943" s="8"/>
      <c r="F2943" s="91">
        <f t="shared" si="43"/>
        <v>170340</v>
      </c>
      <c r="G2943" s="26"/>
    </row>
    <row r="2944" spans="1:7" ht="30" x14ac:dyDescent="0.25">
      <c r="A2944" s="204">
        <v>42966</v>
      </c>
      <c r="B2944" s="199" t="s">
        <v>2043</v>
      </c>
      <c r="C2944" s="207" t="s">
        <v>2271</v>
      </c>
      <c r="D2944" s="91">
        <v>30000</v>
      </c>
      <c r="E2944" s="91"/>
      <c r="F2944" s="91">
        <f t="shared" si="43"/>
        <v>140340</v>
      </c>
      <c r="G2944" s="199"/>
    </row>
    <row r="2945" spans="1:7" x14ac:dyDescent="0.25">
      <c r="A2945" s="204">
        <v>42968</v>
      </c>
      <c r="B2945" s="26" t="s">
        <v>57</v>
      </c>
      <c r="C2945" s="87" t="s">
        <v>2280</v>
      </c>
      <c r="D2945" s="8">
        <v>1500</v>
      </c>
      <c r="E2945" s="8"/>
      <c r="F2945" s="91">
        <f t="shared" si="43"/>
        <v>138840</v>
      </c>
      <c r="G2945" s="26"/>
    </row>
    <row r="2946" spans="1:7" x14ac:dyDescent="0.25">
      <c r="A2946" s="204">
        <v>42968</v>
      </c>
      <c r="B2946" s="26" t="s">
        <v>85</v>
      </c>
      <c r="C2946" s="87" t="s">
        <v>2272</v>
      </c>
      <c r="D2946" s="8">
        <v>3000</v>
      </c>
      <c r="E2946" s="8"/>
      <c r="F2946" s="91">
        <f t="shared" si="43"/>
        <v>135840</v>
      </c>
      <c r="G2946" s="26"/>
    </row>
    <row r="2947" spans="1:7" x14ac:dyDescent="0.25">
      <c r="A2947" s="204">
        <v>42968</v>
      </c>
      <c r="B2947" s="26" t="s">
        <v>121</v>
      </c>
      <c r="C2947" s="87" t="s">
        <v>32</v>
      </c>
      <c r="D2947" s="8">
        <v>2000</v>
      </c>
      <c r="E2947" s="8"/>
      <c r="F2947" s="91">
        <f t="shared" si="43"/>
        <v>133840</v>
      </c>
      <c r="G2947" s="26"/>
    </row>
    <row r="2948" spans="1:7" x14ac:dyDescent="0.25">
      <c r="A2948" s="204">
        <v>42968</v>
      </c>
      <c r="B2948" s="26" t="s">
        <v>17</v>
      </c>
      <c r="C2948" s="87" t="s">
        <v>32</v>
      </c>
      <c r="D2948" s="8">
        <v>5000</v>
      </c>
      <c r="E2948" s="8"/>
      <c r="F2948" s="91">
        <f t="shared" si="43"/>
        <v>128840</v>
      </c>
      <c r="G2948" s="26"/>
    </row>
    <row r="2949" spans="1:7" x14ac:dyDescent="0.25">
      <c r="A2949" s="204">
        <v>42968</v>
      </c>
      <c r="B2949" s="26" t="s">
        <v>26</v>
      </c>
      <c r="C2949" s="87" t="s">
        <v>2287</v>
      </c>
      <c r="D2949" s="8">
        <v>1600</v>
      </c>
      <c r="E2949" s="8"/>
      <c r="F2949" s="91">
        <f t="shared" si="43"/>
        <v>127240</v>
      </c>
      <c r="G2949" s="26"/>
    </row>
    <row r="2950" spans="1:7" x14ac:dyDescent="0.25">
      <c r="A2950" s="204">
        <v>42968</v>
      </c>
      <c r="B2950" s="26" t="s">
        <v>1636</v>
      </c>
      <c r="C2950" s="87" t="s">
        <v>2273</v>
      </c>
      <c r="D2950" s="8">
        <v>1000</v>
      </c>
      <c r="E2950" s="8"/>
      <c r="F2950" s="91">
        <f t="shared" si="43"/>
        <v>126240</v>
      </c>
      <c r="G2950" s="26"/>
    </row>
    <row r="2951" spans="1:7" ht="30" x14ac:dyDescent="0.25">
      <c r="A2951" s="204">
        <v>42968</v>
      </c>
      <c r="B2951" s="26" t="s">
        <v>26</v>
      </c>
      <c r="C2951" s="87" t="s">
        <v>2274</v>
      </c>
      <c r="D2951" s="8">
        <v>100</v>
      </c>
      <c r="E2951" s="8"/>
      <c r="F2951" s="91">
        <f t="shared" si="43"/>
        <v>126140</v>
      </c>
      <c r="G2951" s="26"/>
    </row>
    <row r="2952" spans="1:7" x14ac:dyDescent="0.25">
      <c r="A2952" s="204">
        <v>42968</v>
      </c>
      <c r="B2952" s="26" t="s">
        <v>2099</v>
      </c>
      <c r="C2952" s="87" t="s">
        <v>2275</v>
      </c>
      <c r="D2952" s="8">
        <v>10000</v>
      </c>
      <c r="E2952" s="8"/>
      <c r="F2952" s="91">
        <f t="shared" si="43"/>
        <v>116140</v>
      </c>
      <c r="G2952" s="26"/>
    </row>
    <row r="2953" spans="1:7" x14ac:dyDescent="0.25">
      <c r="A2953" s="204">
        <v>42968</v>
      </c>
      <c r="B2953" s="26" t="s">
        <v>2276</v>
      </c>
      <c r="C2953" s="87" t="s">
        <v>2277</v>
      </c>
      <c r="D2953" s="8">
        <v>9600</v>
      </c>
      <c r="E2953" s="8"/>
      <c r="F2953" s="91">
        <f t="shared" si="43"/>
        <v>106540</v>
      </c>
      <c r="G2953" s="26"/>
    </row>
    <row r="2954" spans="1:7" x14ac:dyDescent="0.25">
      <c r="A2954" s="204">
        <v>42968</v>
      </c>
      <c r="B2954" s="26" t="s">
        <v>26</v>
      </c>
      <c r="C2954" s="87" t="s">
        <v>2278</v>
      </c>
      <c r="D2954" s="8">
        <v>450</v>
      </c>
      <c r="E2954" s="8"/>
      <c r="F2954" s="91">
        <f t="shared" si="43"/>
        <v>106090</v>
      </c>
      <c r="G2954" s="26"/>
    </row>
    <row r="2955" spans="1:7" x14ac:dyDescent="0.25">
      <c r="A2955" s="204">
        <v>42968</v>
      </c>
      <c r="B2955" s="26" t="s">
        <v>85</v>
      </c>
      <c r="C2955" s="87" t="s">
        <v>2279</v>
      </c>
      <c r="D2955" s="8">
        <v>3000</v>
      </c>
      <c r="E2955" s="8"/>
      <c r="F2955" s="91">
        <f t="shared" si="43"/>
        <v>103090</v>
      </c>
      <c r="G2955" s="26"/>
    </row>
    <row r="2956" spans="1:7" x14ac:dyDescent="0.25">
      <c r="A2956" s="204">
        <v>42969</v>
      </c>
      <c r="B2956" s="29" t="s">
        <v>57</v>
      </c>
      <c r="C2956" s="89" t="s">
        <v>2284</v>
      </c>
      <c r="D2956" s="14">
        <v>100</v>
      </c>
      <c r="E2956" s="14"/>
      <c r="F2956" s="91">
        <f t="shared" si="43"/>
        <v>102990</v>
      </c>
      <c r="G2956" s="29"/>
    </row>
    <row r="2957" spans="1:7" x14ac:dyDescent="0.25">
      <c r="A2957" s="204">
        <v>42969</v>
      </c>
      <c r="B2957" s="26" t="s">
        <v>108</v>
      </c>
      <c r="C2957" s="87" t="s">
        <v>2281</v>
      </c>
      <c r="D2957" s="8">
        <v>200</v>
      </c>
      <c r="E2957" s="8"/>
      <c r="F2957" s="91">
        <f t="shared" si="43"/>
        <v>102790</v>
      </c>
      <c r="G2957" s="26"/>
    </row>
    <row r="2958" spans="1:7" x14ac:dyDescent="0.25">
      <c r="A2958" s="204">
        <v>42969</v>
      </c>
      <c r="B2958" s="26" t="s">
        <v>1619</v>
      </c>
      <c r="C2958" s="87" t="s">
        <v>2282</v>
      </c>
      <c r="D2958" s="8">
        <v>12000</v>
      </c>
      <c r="E2958" s="8"/>
      <c r="F2958" s="91">
        <f t="shared" si="43"/>
        <v>90790</v>
      </c>
      <c r="G2958" s="26"/>
    </row>
    <row r="2959" spans="1:7" x14ac:dyDescent="0.25">
      <c r="A2959" s="204">
        <v>42969</v>
      </c>
      <c r="B2959" s="26" t="s">
        <v>1196</v>
      </c>
      <c r="C2959" s="87" t="s">
        <v>2283</v>
      </c>
      <c r="D2959" s="8">
        <v>2000</v>
      </c>
      <c r="E2959" s="8"/>
      <c r="F2959" s="91">
        <f t="shared" si="43"/>
        <v>88790</v>
      </c>
      <c r="G2959" s="26"/>
    </row>
    <row r="2960" spans="1:7" x14ac:dyDescent="0.25">
      <c r="A2960" s="204">
        <v>42969</v>
      </c>
      <c r="B2960" s="209" t="s">
        <v>248</v>
      </c>
      <c r="C2960" s="210" t="s">
        <v>32</v>
      </c>
      <c r="D2960" s="93">
        <v>100</v>
      </c>
      <c r="E2960" s="8"/>
      <c r="F2960" s="91">
        <f t="shared" si="43"/>
        <v>88690</v>
      </c>
      <c r="G2960" s="26"/>
    </row>
    <row r="2961" spans="1:7" x14ac:dyDescent="0.25">
      <c r="A2961" s="204">
        <v>42969</v>
      </c>
      <c r="B2961" s="26" t="s">
        <v>121</v>
      </c>
      <c r="C2961" s="87" t="s">
        <v>2285</v>
      </c>
      <c r="D2961" s="8">
        <v>100</v>
      </c>
      <c r="E2961" s="8"/>
      <c r="F2961" s="91">
        <f t="shared" si="43"/>
        <v>88590</v>
      </c>
      <c r="G2961" s="26"/>
    </row>
    <row r="2962" spans="1:7" x14ac:dyDescent="0.25">
      <c r="A2962" s="204">
        <v>42970</v>
      </c>
      <c r="B2962" s="26" t="s">
        <v>1636</v>
      </c>
      <c r="C2962" s="87" t="s">
        <v>2286</v>
      </c>
      <c r="D2962" s="8">
        <v>120</v>
      </c>
      <c r="E2962" s="8"/>
      <c r="F2962" s="91">
        <f t="shared" si="43"/>
        <v>88470</v>
      </c>
      <c r="G2962" s="26"/>
    </row>
    <row r="2963" spans="1:7" x14ac:dyDescent="0.25">
      <c r="A2963" s="204">
        <v>42970</v>
      </c>
      <c r="B2963" s="26" t="s">
        <v>1346</v>
      </c>
      <c r="C2963" s="87" t="s">
        <v>672</v>
      </c>
      <c r="D2963" s="8">
        <v>3500</v>
      </c>
      <c r="E2963" s="8"/>
      <c r="F2963" s="91">
        <f t="shared" si="43"/>
        <v>84970</v>
      </c>
      <c r="G2963" s="26"/>
    </row>
    <row r="2964" spans="1:7" x14ac:dyDescent="0.25">
      <c r="A2964" s="204">
        <v>42970</v>
      </c>
      <c r="B2964" s="26" t="s">
        <v>59</v>
      </c>
      <c r="C2964" s="87" t="s">
        <v>32</v>
      </c>
      <c r="D2964" s="8">
        <v>100</v>
      </c>
      <c r="E2964" s="8"/>
      <c r="F2964" s="91">
        <f t="shared" si="43"/>
        <v>84870</v>
      </c>
      <c r="G2964" s="26"/>
    </row>
    <row r="2965" spans="1:7" x14ac:dyDescent="0.25">
      <c r="A2965" s="204">
        <v>42970</v>
      </c>
      <c r="B2965" s="26" t="s">
        <v>2099</v>
      </c>
      <c r="C2965" s="87" t="s">
        <v>1659</v>
      </c>
      <c r="D2965" s="8">
        <v>20000</v>
      </c>
      <c r="E2965" s="8"/>
      <c r="F2965" s="91">
        <f t="shared" si="43"/>
        <v>64870</v>
      </c>
      <c r="G2965" s="26"/>
    </row>
    <row r="2966" spans="1:7" x14ac:dyDescent="0.25">
      <c r="A2966" s="204">
        <v>42970</v>
      </c>
      <c r="B2966" s="26" t="s">
        <v>121</v>
      </c>
      <c r="C2966" s="87" t="s">
        <v>32</v>
      </c>
      <c r="D2966" s="8">
        <v>5000</v>
      </c>
      <c r="E2966" s="8"/>
      <c r="F2966" s="91">
        <f t="shared" si="43"/>
        <v>59870</v>
      </c>
      <c r="G2966" s="26"/>
    </row>
    <row r="2967" spans="1:7" x14ac:dyDescent="0.25">
      <c r="A2967" s="204">
        <v>42970</v>
      </c>
      <c r="B2967" s="26" t="s">
        <v>121</v>
      </c>
      <c r="C2967" s="87" t="s">
        <v>32</v>
      </c>
      <c r="D2967" s="8">
        <v>29000</v>
      </c>
      <c r="E2967" s="8"/>
      <c r="F2967" s="91">
        <f t="shared" si="43"/>
        <v>30870</v>
      </c>
      <c r="G2967" s="26"/>
    </row>
    <row r="2968" spans="1:7" x14ac:dyDescent="0.25">
      <c r="A2968" s="204">
        <v>42970</v>
      </c>
      <c r="B2968" s="26" t="s">
        <v>2288</v>
      </c>
      <c r="C2968" s="87" t="s">
        <v>2289</v>
      </c>
      <c r="D2968" s="8">
        <v>20000</v>
      </c>
      <c r="E2968" s="8"/>
      <c r="F2968" s="91">
        <f t="shared" si="43"/>
        <v>10870</v>
      </c>
      <c r="G2968" s="26"/>
    </row>
    <row r="2969" spans="1:7" x14ac:dyDescent="0.25">
      <c r="A2969" s="204">
        <v>42970</v>
      </c>
      <c r="B2969" s="26" t="s">
        <v>69</v>
      </c>
      <c r="C2969" s="87" t="s">
        <v>2290</v>
      </c>
      <c r="D2969" s="8">
        <v>400</v>
      </c>
      <c r="E2969" s="8"/>
      <c r="F2969" s="91">
        <f t="shared" si="43"/>
        <v>10470</v>
      </c>
      <c r="G2969" s="26"/>
    </row>
    <row r="2970" spans="1:7" ht="45" x14ac:dyDescent="0.25">
      <c r="A2970" s="204">
        <v>42970</v>
      </c>
      <c r="B2970" s="199" t="s">
        <v>1636</v>
      </c>
      <c r="C2970" s="207" t="s">
        <v>2291</v>
      </c>
      <c r="D2970" s="91">
        <v>1580</v>
      </c>
      <c r="E2970" s="91"/>
      <c r="F2970" s="91">
        <f t="shared" si="43"/>
        <v>8890</v>
      </c>
      <c r="G2970" s="199"/>
    </row>
    <row r="2971" spans="1:7" x14ac:dyDescent="0.25">
      <c r="A2971" s="204">
        <v>42971</v>
      </c>
      <c r="B2971" s="199" t="s">
        <v>1636</v>
      </c>
      <c r="C2971" s="87" t="s">
        <v>2292</v>
      </c>
      <c r="D2971" s="8">
        <v>350</v>
      </c>
      <c r="E2971" s="8"/>
      <c r="F2971" s="91">
        <f t="shared" si="43"/>
        <v>8540</v>
      </c>
      <c r="G2971" s="26"/>
    </row>
    <row r="2972" spans="1:7" x14ac:dyDescent="0.25">
      <c r="A2972" s="204">
        <v>42965</v>
      </c>
      <c r="B2972" s="460" t="s">
        <v>2195</v>
      </c>
      <c r="C2972" s="460"/>
      <c r="D2972" s="71"/>
      <c r="E2972" s="58">
        <v>200000</v>
      </c>
      <c r="F2972" s="91">
        <f t="shared" si="43"/>
        <v>208540</v>
      </c>
      <c r="G2972" s="26"/>
    </row>
    <row r="2973" spans="1:7" x14ac:dyDescent="0.25">
      <c r="A2973" s="204">
        <v>42971</v>
      </c>
      <c r="B2973" s="209" t="s">
        <v>446</v>
      </c>
      <c r="C2973" s="210" t="s">
        <v>1584</v>
      </c>
      <c r="D2973" s="93">
        <v>5000</v>
      </c>
      <c r="E2973" s="8"/>
      <c r="F2973" s="91">
        <f t="shared" si="43"/>
        <v>203540</v>
      </c>
      <c r="G2973" s="26"/>
    </row>
    <row r="2974" spans="1:7" x14ac:dyDescent="0.25">
      <c r="A2974" s="204">
        <v>42971</v>
      </c>
      <c r="B2974" s="209" t="s">
        <v>59</v>
      </c>
      <c r="C2974" s="210" t="s">
        <v>32</v>
      </c>
      <c r="D2974" s="93">
        <v>1000</v>
      </c>
      <c r="E2974" s="8"/>
      <c r="F2974" s="91">
        <f t="shared" si="43"/>
        <v>202540</v>
      </c>
      <c r="G2974" s="26"/>
    </row>
    <row r="2975" spans="1:7" x14ac:dyDescent="0.25">
      <c r="A2975" s="204">
        <v>42971</v>
      </c>
      <c r="B2975" s="26" t="s">
        <v>85</v>
      </c>
      <c r="C2975" s="87" t="s">
        <v>2293</v>
      </c>
      <c r="D2975" s="8">
        <v>20000</v>
      </c>
      <c r="E2975" s="8"/>
      <c r="F2975" s="91">
        <f t="shared" si="43"/>
        <v>182540</v>
      </c>
      <c r="G2975" s="26"/>
    </row>
    <row r="2976" spans="1:7" x14ac:dyDescent="0.25">
      <c r="A2976" s="204">
        <v>42972</v>
      </c>
      <c r="B2976" s="26" t="s">
        <v>2207</v>
      </c>
      <c r="C2976" s="87" t="s">
        <v>2294</v>
      </c>
      <c r="D2976" s="8">
        <v>140</v>
      </c>
      <c r="E2976" s="8"/>
      <c r="F2976" s="91">
        <f t="shared" si="43"/>
        <v>182400</v>
      </c>
      <c r="G2976" s="26"/>
    </row>
    <row r="2977" spans="1:7" x14ac:dyDescent="0.25">
      <c r="A2977" s="204">
        <v>42972</v>
      </c>
      <c r="B2977" s="26" t="s">
        <v>17</v>
      </c>
      <c r="C2977" s="87" t="s">
        <v>32</v>
      </c>
      <c r="D2977" s="8">
        <v>2000</v>
      </c>
      <c r="E2977" s="8"/>
      <c r="F2977" s="91">
        <f t="shared" si="43"/>
        <v>180400</v>
      </c>
      <c r="G2977" s="26"/>
    </row>
    <row r="2978" spans="1:7" x14ac:dyDescent="0.25">
      <c r="A2978" s="204">
        <v>42972</v>
      </c>
      <c r="B2978" s="26" t="s">
        <v>2295</v>
      </c>
      <c r="C2978" s="87" t="s">
        <v>2296</v>
      </c>
      <c r="D2978" s="8">
        <v>22200</v>
      </c>
      <c r="E2978" s="8"/>
      <c r="F2978" s="91">
        <f t="shared" si="43"/>
        <v>158200</v>
      </c>
      <c r="G2978" s="26"/>
    </row>
    <row r="2979" spans="1:7" x14ac:dyDescent="0.25">
      <c r="A2979" s="204">
        <v>42972</v>
      </c>
      <c r="B2979" s="26" t="s">
        <v>26</v>
      </c>
      <c r="C2979" s="87" t="s">
        <v>2297</v>
      </c>
      <c r="D2979" s="8">
        <v>27500</v>
      </c>
      <c r="E2979" s="8"/>
      <c r="F2979" s="91">
        <f t="shared" si="43"/>
        <v>130700</v>
      </c>
      <c r="G2979" s="26"/>
    </row>
    <row r="2980" spans="1:7" x14ac:dyDescent="0.25">
      <c r="A2980" s="204">
        <v>42973</v>
      </c>
      <c r="B2980" s="26" t="s">
        <v>26</v>
      </c>
      <c r="C2980" s="87" t="s">
        <v>2298</v>
      </c>
      <c r="D2980" s="8">
        <v>180</v>
      </c>
      <c r="E2980" s="8"/>
      <c r="F2980" s="91">
        <f t="shared" si="43"/>
        <v>130520</v>
      </c>
      <c r="G2980" s="26"/>
    </row>
    <row r="2981" spans="1:7" ht="30" x14ac:dyDescent="0.25">
      <c r="A2981" s="204">
        <v>42973</v>
      </c>
      <c r="B2981" s="26" t="s">
        <v>2089</v>
      </c>
      <c r="C2981" s="87" t="s">
        <v>2300</v>
      </c>
      <c r="D2981" s="8">
        <v>4143</v>
      </c>
      <c r="E2981" s="8"/>
      <c r="F2981" s="91">
        <f t="shared" si="43"/>
        <v>126377</v>
      </c>
      <c r="G2981" s="26"/>
    </row>
    <row r="2982" spans="1:7" x14ac:dyDescent="0.25">
      <c r="A2982" s="204">
        <v>42973</v>
      </c>
      <c r="B2982" s="26" t="s">
        <v>446</v>
      </c>
      <c r="C2982" s="87" t="s">
        <v>2299</v>
      </c>
      <c r="D2982" s="8">
        <v>1000</v>
      </c>
      <c r="E2982" s="8"/>
      <c r="F2982" s="91">
        <f t="shared" si="43"/>
        <v>125377</v>
      </c>
      <c r="G2982" s="26"/>
    </row>
    <row r="2983" spans="1:7" x14ac:dyDescent="0.25">
      <c r="A2983" s="204">
        <v>42973</v>
      </c>
      <c r="B2983" s="26" t="s">
        <v>446</v>
      </c>
      <c r="C2983" s="87" t="s">
        <v>2299</v>
      </c>
      <c r="D2983" s="8">
        <v>4000</v>
      </c>
      <c r="E2983" s="8"/>
      <c r="F2983" s="91">
        <f t="shared" si="43"/>
        <v>121377</v>
      </c>
      <c r="G2983" s="26"/>
    </row>
    <row r="2984" spans="1:7" ht="30" x14ac:dyDescent="0.25">
      <c r="A2984" s="204">
        <v>42973</v>
      </c>
      <c r="B2984" s="26" t="s">
        <v>26</v>
      </c>
      <c r="C2984" s="87" t="s">
        <v>2301</v>
      </c>
      <c r="D2984" s="8">
        <v>990</v>
      </c>
      <c r="E2984" s="8"/>
      <c r="F2984" s="91">
        <f t="shared" si="43"/>
        <v>120387</v>
      </c>
      <c r="G2984" s="26"/>
    </row>
    <row r="2985" spans="1:7" ht="30" x14ac:dyDescent="0.25">
      <c r="A2985" s="204">
        <v>42973</v>
      </c>
      <c r="B2985" s="26" t="s">
        <v>59</v>
      </c>
      <c r="C2985" s="87" t="s">
        <v>2302</v>
      </c>
      <c r="D2985" s="8">
        <v>2170</v>
      </c>
      <c r="E2985" s="8"/>
      <c r="F2985" s="91">
        <f t="shared" si="43"/>
        <v>118217</v>
      </c>
      <c r="G2985" s="26"/>
    </row>
    <row r="2986" spans="1:7" x14ac:dyDescent="0.25">
      <c r="A2986" s="204">
        <v>42973</v>
      </c>
      <c r="B2986" s="26" t="s">
        <v>2089</v>
      </c>
      <c r="C2986" s="87" t="s">
        <v>2303</v>
      </c>
      <c r="D2986" s="8">
        <v>5010</v>
      </c>
      <c r="E2986" s="8"/>
      <c r="F2986" s="91">
        <f t="shared" si="43"/>
        <v>113207</v>
      </c>
      <c r="G2986" s="26"/>
    </row>
    <row r="2987" spans="1:7" x14ac:dyDescent="0.25">
      <c r="A2987" s="204">
        <v>42973</v>
      </c>
      <c r="B2987" s="26" t="s">
        <v>85</v>
      </c>
      <c r="C2987" s="87" t="s">
        <v>2304</v>
      </c>
      <c r="D2987" s="8">
        <v>1000</v>
      </c>
      <c r="E2987" s="8"/>
      <c r="F2987" s="91">
        <f t="shared" si="43"/>
        <v>112207</v>
      </c>
      <c r="G2987" s="26"/>
    </row>
    <row r="2988" spans="1:7" x14ac:dyDescent="0.25">
      <c r="A2988" s="204">
        <v>42975</v>
      </c>
      <c r="B2988" s="26" t="s">
        <v>446</v>
      </c>
      <c r="C2988" s="87" t="s">
        <v>32</v>
      </c>
      <c r="D2988" s="8">
        <v>1000</v>
      </c>
      <c r="E2988" s="8"/>
      <c r="F2988" s="91">
        <f t="shared" si="43"/>
        <v>111207</v>
      </c>
      <c r="G2988" s="26"/>
    </row>
    <row r="2989" spans="1:7" x14ac:dyDescent="0.25">
      <c r="A2989" s="204">
        <v>42975</v>
      </c>
      <c r="B2989" s="26" t="s">
        <v>105</v>
      </c>
      <c r="C2989" s="87" t="s">
        <v>32</v>
      </c>
      <c r="D2989" s="8">
        <v>300</v>
      </c>
      <c r="E2989" s="8"/>
      <c r="F2989" s="91">
        <f t="shared" si="43"/>
        <v>110907</v>
      </c>
      <c r="G2989" s="26"/>
    </row>
    <row r="2990" spans="1:7" x14ac:dyDescent="0.25">
      <c r="A2990" s="204">
        <v>42975</v>
      </c>
      <c r="B2990" s="26" t="s">
        <v>59</v>
      </c>
      <c r="C2990" s="87" t="s">
        <v>78</v>
      </c>
      <c r="D2990" s="8">
        <v>1000</v>
      </c>
      <c r="E2990" s="8"/>
      <c r="F2990" s="91">
        <f t="shared" si="43"/>
        <v>109907</v>
      </c>
      <c r="G2990" s="26"/>
    </row>
    <row r="2991" spans="1:7" x14ac:dyDescent="0.25">
      <c r="A2991" s="204">
        <v>42975</v>
      </c>
      <c r="B2991" s="26" t="s">
        <v>121</v>
      </c>
      <c r="C2991" s="87" t="s">
        <v>32</v>
      </c>
      <c r="D2991" s="8">
        <v>5000</v>
      </c>
      <c r="E2991" s="8"/>
      <c r="F2991" s="91">
        <f t="shared" si="43"/>
        <v>104907</v>
      </c>
      <c r="G2991" s="26"/>
    </row>
    <row r="2992" spans="1:7" ht="30" x14ac:dyDescent="0.25">
      <c r="A2992" s="204">
        <v>42975</v>
      </c>
      <c r="B2992" s="26" t="s">
        <v>26</v>
      </c>
      <c r="C2992" s="87" t="s">
        <v>2305</v>
      </c>
      <c r="D2992" s="8">
        <v>25000</v>
      </c>
      <c r="E2992" s="8"/>
      <c r="F2992" s="91">
        <f t="shared" si="43"/>
        <v>79907</v>
      </c>
      <c r="G2992" s="26"/>
    </row>
    <row r="2993" spans="1:7" ht="30" x14ac:dyDescent="0.25">
      <c r="A2993" s="204">
        <v>42975</v>
      </c>
      <c r="B2993" s="26" t="s">
        <v>26</v>
      </c>
      <c r="C2993" s="87" t="s">
        <v>2306</v>
      </c>
      <c r="D2993" s="8">
        <v>630</v>
      </c>
      <c r="E2993" s="8"/>
      <c r="F2993" s="91">
        <f t="shared" si="43"/>
        <v>79277</v>
      </c>
      <c r="G2993" s="26"/>
    </row>
    <row r="2994" spans="1:7" x14ac:dyDescent="0.25">
      <c r="A2994" s="204">
        <v>42975</v>
      </c>
      <c r="B2994" s="26" t="s">
        <v>2250</v>
      </c>
      <c r="C2994" s="87" t="s">
        <v>2307</v>
      </c>
      <c r="D2994" s="8">
        <v>18585</v>
      </c>
      <c r="E2994" s="8"/>
      <c r="F2994" s="91">
        <f t="shared" si="43"/>
        <v>60692</v>
      </c>
      <c r="G2994" s="26"/>
    </row>
    <row r="2995" spans="1:7" x14ac:dyDescent="0.25">
      <c r="A2995" s="204">
        <v>42975</v>
      </c>
      <c r="B2995" s="26" t="s">
        <v>2207</v>
      </c>
      <c r="C2995" s="87" t="s">
        <v>2308</v>
      </c>
      <c r="D2995" s="8">
        <v>60</v>
      </c>
      <c r="E2995" s="8"/>
      <c r="F2995" s="91">
        <f t="shared" si="43"/>
        <v>60632</v>
      </c>
      <c r="G2995" s="26"/>
    </row>
    <row r="2996" spans="1:7" x14ac:dyDescent="0.25">
      <c r="A2996" s="204">
        <v>42975</v>
      </c>
      <c r="B2996" s="26" t="s">
        <v>2207</v>
      </c>
      <c r="C2996" s="87" t="s">
        <v>1957</v>
      </c>
      <c r="D2996" s="8">
        <v>240</v>
      </c>
      <c r="E2996" s="8"/>
      <c r="F2996" s="91">
        <f t="shared" si="43"/>
        <v>60392</v>
      </c>
      <c r="G2996" s="26"/>
    </row>
    <row r="2997" spans="1:7" x14ac:dyDescent="0.25">
      <c r="A2997" s="204">
        <v>42976</v>
      </c>
      <c r="B2997" s="26" t="s">
        <v>26</v>
      </c>
      <c r="C2997" s="87" t="s">
        <v>2309</v>
      </c>
      <c r="D2997" s="8">
        <v>100</v>
      </c>
      <c r="E2997" s="8"/>
      <c r="F2997" s="91">
        <f t="shared" si="43"/>
        <v>60292</v>
      </c>
      <c r="G2997" s="26"/>
    </row>
    <row r="2998" spans="1:7" x14ac:dyDescent="0.25">
      <c r="A2998" s="204">
        <v>42976</v>
      </c>
      <c r="B2998" s="26" t="s">
        <v>26</v>
      </c>
      <c r="C2998" s="87" t="s">
        <v>1518</v>
      </c>
      <c r="D2998" s="8">
        <v>100</v>
      </c>
      <c r="E2998" s="8"/>
      <c r="F2998" s="91">
        <f t="shared" si="43"/>
        <v>60192</v>
      </c>
      <c r="G2998" s="26"/>
    </row>
    <row r="2999" spans="1:7" ht="30" x14ac:dyDescent="0.25">
      <c r="A2999" s="204">
        <v>42976</v>
      </c>
      <c r="B2999" s="26" t="s">
        <v>26</v>
      </c>
      <c r="C2999" s="87" t="s">
        <v>2310</v>
      </c>
      <c r="D2999" s="8">
        <v>177</v>
      </c>
      <c r="E2999" s="8"/>
      <c r="F2999" s="91">
        <f t="shared" si="43"/>
        <v>60015</v>
      </c>
      <c r="G2999" s="26"/>
    </row>
    <row r="3000" spans="1:7" ht="30" x14ac:dyDescent="0.25">
      <c r="A3000" s="204">
        <v>42976</v>
      </c>
      <c r="B3000" s="26" t="s">
        <v>26</v>
      </c>
      <c r="C3000" s="87" t="s">
        <v>2312</v>
      </c>
      <c r="D3000" s="8">
        <v>620</v>
      </c>
      <c r="E3000" s="8"/>
      <c r="F3000" s="91">
        <f t="shared" si="43"/>
        <v>59395</v>
      </c>
      <c r="G3000" s="26"/>
    </row>
    <row r="3001" spans="1:7" x14ac:dyDescent="0.25">
      <c r="A3001" s="204">
        <v>42976</v>
      </c>
      <c r="B3001" s="26" t="s">
        <v>57</v>
      </c>
      <c r="C3001" s="87" t="s">
        <v>2311</v>
      </c>
      <c r="D3001" s="8">
        <v>100</v>
      </c>
      <c r="E3001" s="8"/>
      <c r="F3001" s="91">
        <f t="shared" si="43"/>
        <v>59295</v>
      </c>
      <c r="G3001" s="26"/>
    </row>
    <row r="3002" spans="1:7" x14ac:dyDescent="0.25">
      <c r="A3002" s="204">
        <v>42976</v>
      </c>
      <c r="B3002" s="180" t="s">
        <v>248</v>
      </c>
      <c r="C3002" s="213" t="s">
        <v>32</v>
      </c>
      <c r="D3002" s="57">
        <v>1000</v>
      </c>
      <c r="E3002" s="8"/>
      <c r="F3002" s="91">
        <f t="shared" si="43"/>
        <v>58295</v>
      </c>
      <c r="G3002" s="26"/>
    </row>
    <row r="3003" spans="1:7" x14ac:dyDescent="0.25">
      <c r="A3003" s="204">
        <v>42977</v>
      </c>
      <c r="B3003" s="26" t="s">
        <v>105</v>
      </c>
      <c r="C3003" s="87" t="s">
        <v>32</v>
      </c>
      <c r="D3003" s="8">
        <v>3000</v>
      </c>
      <c r="E3003" s="8"/>
      <c r="F3003" s="91">
        <f t="shared" si="43"/>
        <v>55295</v>
      </c>
      <c r="G3003" s="26"/>
    </row>
    <row r="3004" spans="1:7" x14ac:dyDescent="0.25">
      <c r="A3004" s="204">
        <v>42977</v>
      </c>
      <c r="B3004" s="26" t="s">
        <v>19</v>
      </c>
      <c r="C3004" s="87" t="s">
        <v>32</v>
      </c>
      <c r="D3004" s="8">
        <v>500</v>
      </c>
      <c r="E3004" s="8"/>
      <c r="F3004" s="91">
        <f t="shared" si="43"/>
        <v>54795</v>
      </c>
      <c r="G3004" s="26"/>
    </row>
    <row r="3005" spans="1:7" x14ac:dyDescent="0.25">
      <c r="A3005" s="204">
        <v>42977</v>
      </c>
      <c r="B3005" s="26" t="s">
        <v>2207</v>
      </c>
      <c r="C3005" s="87" t="s">
        <v>2313</v>
      </c>
      <c r="D3005" s="8">
        <v>200</v>
      </c>
      <c r="E3005" s="8"/>
      <c r="F3005" s="91">
        <f t="shared" si="43"/>
        <v>54595</v>
      </c>
      <c r="G3005" s="26"/>
    </row>
    <row r="3006" spans="1:7" x14ac:dyDescent="0.25">
      <c r="A3006" s="204">
        <v>42977</v>
      </c>
      <c r="B3006" s="26" t="s">
        <v>1619</v>
      </c>
      <c r="C3006" s="87" t="s">
        <v>2315</v>
      </c>
      <c r="D3006" s="8">
        <v>17730</v>
      </c>
      <c r="E3006" s="8"/>
      <c r="F3006" s="91">
        <f t="shared" si="43"/>
        <v>36865</v>
      </c>
      <c r="G3006" s="26"/>
    </row>
    <row r="3007" spans="1:7" x14ac:dyDescent="0.25">
      <c r="A3007" s="204">
        <v>42977</v>
      </c>
      <c r="B3007" s="26" t="s">
        <v>1196</v>
      </c>
      <c r="C3007" s="87" t="s">
        <v>2016</v>
      </c>
      <c r="D3007" s="8">
        <v>2000</v>
      </c>
      <c r="E3007" s="8"/>
      <c r="F3007" s="91">
        <f t="shared" si="43"/>
        <v>34865</v>
      </c>
      <c r="G3007" s="26"/>
    </row>
    <row r="3008" spans="1:7" x14ac:dyDescent="0.25">
      <c r="A3008" s="204">
        <v>42977</v>
      </c>
      <c r="B3008" s="26" t="s">
        <v>26</v>
      </c>
      <c r="C3008" s="87" t="s">
        <v>2316</v>
      </c>
      <c r="D3008" s="8">
        <v>360</v>
      </c>
      <c r="E3008" s="8"/>
      <c r="F3008" s="91">
        <f t="shared" si="43"/>
        <v>34505</v>
      </c>
      <c r="G3008" s="26"/>
    </row>
    <row r="3009" spans="1:8" x14ac:dyDescent="0.25">
      <c r="A3009" s="204">
        <v>42977</v>
      </c>
      <c r="B3009" s="26" t="s">
        <v>2317</v>
      </c>
      <c r="C3009" s="87" t="s">
        <v>2318</v>
      </c>
      <c r="D3009" s="8">
        <v>5950</v>
      </c>
      <c r="E3009" s="8"/>
      <c r="F3009" s="91">
        <f t="shared" si="43"/>
        <v>28555</v>
      </c>
      <c r="G3009" s="26"/>
    </row>
    <row r="3010" spans="1:8" x14ac:dyDescent="0.25">
      <c r="A3010" s="204">
        <v>42977</v>
      </c>
      <c r="B3010" s="26" t="s">
        <v>121</v>
      </c>
      <c r="C3010" s="87" t="s">
        <v>32</v>
      </c>
      <c r="D3010" s="8">
        <v>1000</v>
      </c>
      <c r="E3010" s="8"/>
      <c r="F3010" s="91">
        <f t="shared" si="43"/>
        <v>27555</v>
      </c>
      <c r="G3010" s="26"/>
    </row>
    <row r="3011" spans="1:8" ht="15.75" thickBot="1" x14ac:dyDescent="0.3">
      <c r="A3011" s="219">
        <v>42977</v>
      </c>
      <c r="B3011" s="226" t="s">
        <v>85</v>
      </c>
      <c r="C3011" s="227" t="s">
        <v>2319</v>
      </c>
      <c r="D3011" s="107">
        <v>1000</v>
      </c>
      <c r="E3011" s="107"/>
      <c r="F3011" s="103">
        <f t="shared" si="43"/>
        <v>26555</v>
      </c>
      <c r="G3011" s="226"/>
      <c r="H3011" s="118"/>
    </row>
    <row r="3012" spans="1:8" ht="15.75" thickTop="1" x14ac:dyDescent="0.25">
      <c r="A3012" s="222"/>
      <c r="B3012" s="185"/>
      <c r="C3012" s="228"/>
      <c r="D3012" s="13"/>
      <c r="E3012" s="13">
        <v>73000</v>
      </c>
      <c r="F3012" s="102">
        <f>E3012</f>
        <v>73000</v>
      </c>
      <c r="G3012" s="185"/>
    </row>
    <row r="3013" spans="1:8" x14ac:dyDescent="0.25">
      <c r="A3013" s="204">
        <v>42996</v>
      </c>
      <c r="B3013" s="26" t="s">
        <v>61</v>
      </c>
      <c r="C3013" s="87" t="s">
        <v>2320</v>
      </c>
      <c r="D3013" s="8">
        <v>5000</v>
      </c>
      <c r="E3013" s="8"/>
      <c r="F3013" s="91">
        <f t="shared" ref="F3013:F3152" si="44">F3012-D3013+E3013</f>
        <v>68000</v>
      </c>
      <c r="G3013" s="26"/>
    </row>
    <row r="3014" spans="1:8" x14ac:dyDescent="0.25">
      <c r="A3014" s="204">
        <v>42996</v>
      </c>
      <c r="B3014" s="26" t="s">
        <v>2321</v>
      </c>
      <c r="C3014" s="87" t="s">
        <v>2322</v>
      </c>
      <c r="D3014" s="8">
        <v>26600</v>
      </c>
      <c r="E3014" s="8"/>
      <c r="F3014" s="91">
        <f t="shared" si="44"/>
        <v>41400</v>
      </c>
      <c r="G3014" s="26"/>
    </row>
    <row r="3015" spans="1:8" x14ac:dyDescent="0.25">
      <c r="A3015" s="204">
        <v>42996</v>
      </c>
      <c r="B3015" s="26" t="s">
        <v>26</v>
      </c>
      <c r="C3015" s="87" t="s">
        <v>2323</v>
      </c>
      <c r="D3015" s="8">
        <v>520</v>
      </c>
      <c r="E3015" s="8"/>
      <c r="F3015" s="91">
        <f t="shared" si="44"/>
        <v>40880</v>
      </c>
      <c r="G3015" s="26"/>
    </row>
    <row r="3016" spans="1:8" x14ac:dyDescent="0.25">
      <c r="A3016" s="204">
        <v>42996</v>
      </c>
      <c r="B3016" s="26" t="s">
        <v>19</v>
      </c>
      <c r="C3016" s="87" t="s">
        <v>2324</v>
      </c>
      <c r="D3016" s="8">
        <v>10000</v>
      </c>
      <c r="E3016" s="8"/>
      <c r="F3016" s="91">
        <f t="shared" si="44"/>
        <v>30880</v>
      </c>
      <c r="G3016" s="26"/>
    </row>
    <row r="3017" spans="1:8" x14ac:dyDescent="0.25">
      <c r="A3017" s="204">
        <v>42996</v>
      </c>
      <c r="B3017" s="26" t="s">
        <v>2099</v>
      </c>
      <c r="C3017" s="26" t="s">
        <v>78</v>
      </c>
      <c r="D3017" s="8">
        <v>12000</v>
      </c>
      <c r="E3017" s="8"/>
      <c r="F3017" s="91">
        <f t="shared" si="44"/>
        <v>18880</v>
      </c>
      <c r="G3017" s="26"/>
    </row>
    <row r="3018" spans="1:8" x14ac:dyDescent="0.25">
      <c r="A3018" s="204">
        <v>42996</v>
      </c>
      <c r="B3018" s="26" t="s">
        <v>26</v>
      </c>
      <c r="C3018" s="26" t="s">
        <v>51</v>
      </c>
      <c r="D3018" s="8">
        <v>1600</v>
      </c>
      <c r="E3018" s="8"/>
      <c r="F3018" s="91">
        <f t="shared" si="44"/>
        <v>17280</v>
      </c>
      <c r="G3018" s="26"/>
    </row>
    <row r="3019" spans="1:8" x14ac:dyDescent="0.25">
      <c r="A3019" s="204">
        <v>42996</v>
      </c>
      <c r="B3019" s="26" t="s">
        <v>85</v>
      </c>
      <c r="C3019" s="26" t="s">
        <v>2325</v>
      </c>
      <c r="D3019" s="8">
        <v>3000</v>
      </c>
      <c r="E3019" s="8"/>
      <c r="F3019" s="91">
        <f t="shared" si="44"/>
        <v>14280</v>
      </c>
      <c r="G3019" s="26"/>
    </row>
    <row r="3020" spans="1:8" x14ac:dyDescent="0.25">
      <c r="A3020" s="204">
        <v>42996</v>
      </c>
      <c r="B3020" s="26" t="s">
        <v>61</v>
      </c>
      <c r="C3020" s="26" t="s">
        <v>32</v>
      </c>
      <c r="D3020" s="8">
        <v>2500</v>
      </c>
      <c r="E3020" s="8"/>
      <c r="F3020" s="91">
        <f t="shared" si="44"/>
        <v>11780</v>
      </c>
      <c r="G3020" s="26"/>
    </row>
    <row r="3021" spans="1:8" x14ac:dyDescent="0.25">
      <c r="A3021" s="204">
        <v>42996</v>
      </c>
      <c r="B3021" s="26" t="s">
        <v>0</v>
      </c>
      <c r="C3021" s="26" t="s">
        <v>79</v>
      </c>
      <c r="D3021" s="8">
        <v>100</v>
      </c>
      <c r="E3021" s="8"/>
      <c r="F3021" s="91">
        <f t="shared" si="44"/>
        <v>11680</v>
      </c>
      <c r="G3021" s="26"/>
    </row>
    <row r="3022" spans="1:8" x14ac:dyDescent="0.25">
      <c r="A3022" s="204">
        <v>42996</v>
      </c>
      <c r="B3022" s="26" t="s">
        <v>26</v>
      </c>
      <c r="C3022" s="26" t="s">
        <v>2332</v>
      </c>
      <c r="D3022" s="8">
        <v>277</v>
      </c>
      <c r="E3022" s="8"/>
      <c r="F3022" s="91">
        <f t="shared" si="44"/>
        <v>11403</v>
      </c>
      <c r="G3022" s="26"/>
    </row>
    <row r="3023" spans="1:8" ht="30" x14ac:dyDescent="0.25">
      <c r="A3023" s="204">
        <v>42997</v>
      </c>
      <c r="B3023" s="26" t="s">
        <v>26</v>
      </c>
      <c r="C3023" s="87" t="s">
        <v>2326</v>
      </c>
      <c r="D3023" s="8">
        <v>1000</v>
      </c>
      <c r="E3023" s="8"/>
      <c r="F3023" s="91">
        <f t="shared" si="44"/>
        <v>10403</v>
      </c>
      <c r="G3023" s="26"/>
    </row>
    <row r="3024" spans="1:8" x14ac:dyDescent="0.25">
      <c r="A3024" s="204">
        <v>42997</v>
      </c>
      <c r="B3024" s="26" t="s">
        <v>26</v>
      </c>
      <c r="C3024" s="26" t="s">
        <v>2328</v>
      </c>
      <c r="D3024" s="8">
        <f>370+57</f>
        <v>427</v>
      </c>
      <c r="E3024" s="8"/>
      <c r="F3024" s="91">
        <f t="shared" si="44"/>
        <v>9976</v>
      </c>
      <c r="G3024" s="26"/>
    </row>
    <row r="3025" spans="1:7" x14ac:dyDescent="0.25">
      <c r="A3025" s="204">
        <v>42997</v>
      </c>
      <c r="B3025" s="26" t="s">
        <v>26</v>
      </c>
      <c r="C3025" s="26" t="s">
        <v>2327</v>
      </c>
      <c r="D3025" s="8">
        <v>270</v>
      </c>
      <c r="E3025" s="8"/>
      <c r="F3025" s="91">
        <f t="shared" si="44"/>
        <v>9706</v>
      </c>
      <c r="G3025" s="26"/>
    </row>
    <row r="3026" spans="1:7" x14ac:dyDescent="0.25">
      <c r="A3026" s="204">
        <v>42997</v>
      </c>
      <c r="B3026" s="26" t="s">
        <v>26</v>
      </c>
      <c r="C3026" s="26" t="s">
        <v>2329</v>
      </c>
      <c r="D3026" s="8">
        <v>150</v>
      </c>
      <c r="E3026" s="8"/>
      <c r="F3026" s="91">
        <f t="shared" si="44"/>
        <v>9556</v>
      </c>
      <c r="G3026" s="26"/>
    </row>
    <row r="3027" spans="1:7" x14ac:dyDescent="0.25">
      <c r="A3027" s="204">
        <v>42999</v>
      </c>
      <c r="B3027" s="460" t="s">
        <v>2330</v>
      </c>
      <c r="C3027" s="460"/>
      <c r="D3027" s="71"/>
      <c r="E3027" s="58">
        <v>10000</v>
      </c>
      <c r="F3027" s="91">
        <f t="shared" si="44"/>
        <v>19556</v>
      </c>
      <c r="G3027" s="26"/>
    </row>
    <row r="3028" spans="1:7" x14ac:dyDescent="0.25">
      <c r="A3028" s="204">
        <v>42999</v>
      </c>
      <c r="B3028" s="26" t="s">
        <v>26</v>
      </c>
      <c r="C3028" s="26" t="s">
        <v>88</v>
      </c>
      <c r="D3028" s="8">
        <v>290</v>
      </c>
      <c r="E3028" s="8"/>
      <c r="F3028" s="91">
        <f t="shared" si="44"/>
        <v>19266</v>
      </c>
      <c r="G3028" s="26"/>
    </row>
    <row r="3029" spans="1:7" x14ac:dyDescent="0.25">
      <c r="A3029" s="204">
        <v>42999</v>
      </c>
      <c r="B3029" s="26" t="s">
        <v>61</v>
      </c>
      <c r="C3029" s="26" t="s">
        <v>32</v>
      </c>
      <c r="D3029" s="8">
        <v>2000</v>
      </c>
      <c r="E3029" s="8"/>
      <c r="F3029" s="91">
        <f t="shared" si="44"/>
        <v>17266</v>
      </c>
      <c r="G3029" s="26"/>
    </row>
    <row r="3030" spans="1:7" x14ac:dyDescent="0.25">
      <c r="A3030" s="204">
        <v>42999</v>
      </c>
      <c r="B3030" s="26" t="s">
        <v>26</v>
      </c>
      <c r="C3030" s="26" t="s">
        <v>2331</v>
      </c>
      <c r="D3030" s="8">
        <v>240</v>
      </c>
      <c r="E3030" s="8"/>
      <c r="F3030" s="91">
        <f t="shared" si="44"/>
        <v>17026</v>
      </c>
      <c r="G3030" s="26"/>
    </row>
    <row r="3031" spans="1:7" x14ac:dyDescent="0.25">
      <c r="A3031" s="204">
        <v>43000</v>
      </c>
      <c r="B3031" s="26" t="s">
        <v>2333</v>
      </c>
      <c r="C3031" s="26" t="s">
        <v>2334</v>
      </c>
      <c r="D3031" s="8">
        <v>1000</v>
      </c>
      <c r="E3031" s="8"/>
      <c r="F3031" s="91">
        <f t="shared" si="44"/>
        <v>16026</v>
      </c>
      <c r="G3031" s="26"/>
    </row>
    <row r="3032" spans="1:7" x14ac:dyDescent="0.25">
      <c r="A3032" s="204">
        <v>43000</v>
      </c>
      <c r="B3032" s="26" t="s">
        <v>61</v>
      </c>
      <c r="C3032" s="26" t="s">
        <v>2334</v>
      </c>
      <c r="D3032" s="8">
        <v>100</v>
      </c>
      <c r="E3032" s="8"/>
      <c r="F3032" s="91">
        <f t="shared" si="44"/>
        <v>15926</v>
      </c>
      <c r="G3032" s="26"/>
    </row>
    <row r="3033" spans="1:7" x14ac:dyDescent="0.25">
      <c r="A3033" s="204">
        <v>43000</v>
      </c>
      <c r="B3033" s="26" t="s">
        <v>2106</v>
      </c>
      <c r="C3033" s="26" t="s">
        <v>2335</v>
      </c>
      <c r="D3033" s="8">
        <v>1000</v>
      </c>
      <c r="E3033" s="8"/>
      <c r="F3033" s="91">
        <f t="shared" si="44"/>
        <v>14926</v>
      </c>
      <c r="G3033" s="26"/>
    </row>
    <row r="3034" spans="1:7" x14ac:dyDescent="0.25">
      <c r="A3034" s="204">
        <v>43000</v>
      </c>
      <c r="B3034" s="29" t="s">
        <v>59</v>
      </c>
      <c r="C3034" s="29" t="s">
        <v>2337</v>
      </c>
      <c r="D3034" s="14">
        <v>100</v>
      </c>
      <c r="E3034" s="8"/>
      <c r="F3034" s="91">
        <f t="shared" si="44"/>
        <v>14826</v>
      </c>
      <c r="G3034" s="26"/>
    </row>
    <row r="3035" spans="1:7" x14ac:dyDescent="0.25">
      <c r="A3035" s="204">
        <v>43000</v>
      </c>
      <c r="B3035" s="26" t="s">
        <v>61</v>
      </c>
      <c r="C3035" s="26" t="s">
        <v>32</v>
      </c>
      <c r="D3035" s="8">
        <v>2000</v>
      </c>
      <c r="E3035" s="8"/>
      <c r="F3035" s="91">
        <f t="shared" si="44"/>
        <v>12826</v>
      </c>
      <c r="G3035" s="26"/>
    </row>
    <row r="3036" spans="1:7" x14ac:dyDescent="0.25">
      <c r="A3036" s="204">
        <v>43000</v>
      </c>
      <c r="B3036" s="26" t="s">
        <v>2207</v>
      </c>
      <c r="C3036" s="26" t="s">
        <v>2336</v>
      </c>
      <c r="D3036" s="8">
        <v>180</v>
      </c>
      <c r="E3036" s="8"/>
      <c r="F3036" s="91">
        <f t="shared" si="44"/>
        <v>12646</v>
      </c>
      <c r="G3036" s="26"/>
    </row>
    <row r="3037" spans="1:7" x14ac:dyDescent="0.25">
      <c r="A3037" s="204">
        <v>43000</v>
      </c>
      <c r="B3037" s="26" t="s">
        <v>85</v>
      </c>
      <c r="C3037" s="26" t="s">
        <v>2338</v>
      </c>
      <c r="D3037" s="8">
        <v>1000</v>
      </c>
      <c r="E3037" s="8"/>
      <c r="F3037" s="91">
        <f t="shared" si="44"/>
        <v>11646</v>
      </c>
      <c r="G3037" s="26"/>
    </row>
    <row r="3038" spans="1:7" x14ac:dyDescent="0.25">
      <c r="A3038" s="204">
        <v>43000</v>
      </c>
      <c r="B3038" s="26" t="s">
        <v>89</v>
      </c>
      <c r="C3038" s="26" t="s">
        <v>2339</v>
      </c>
      <c r="D3038" s="8">
        <v>100</v>
      </c>
      <c r="E3038" s="8"/>
      <c r="F3038" s="91">
        <f t="shared" si="44"/>
        <v>11546</v>
      </c>
      <c r="G3038" s="26"/>
    </row>
    <row r="3039" spans="1:7" ht="30" x14ac:dyDescent="0.25">
      <c r="A3039" s="204">
        <v>43001</v>
      </c>
      <c r="B3039" s="26" t="s">
        <v>26</v>
      </c>
      <c r="C3039" s="87" t="s">
        <v>2340</v>
      </c>
      <c r="D3039" s="8">
        <v>1398</v>
      </c>
      <c r="E3039" s="8"/>
      <c r="F3039" s="91">
        <f t="shared" si="44"/>
        <v>10148</v>
      </c>
      <c r="G3039" s="26"/>
    </row>
    <row r="3040" spans="1:7" x14ac:dyDescent="0.25">
      <c r="A3040" s="204">
        <v>43001</v>
      </c>
      <c r="B3040" s="26" t="s">
        <v>0</v>
      </c>
      <c r="C3040" s="26" t="s">
        <v>2016</v>
      </c>
      <c r="D3040" s="8">
        <v>100</v>
      </c>
      <c r="E3040" s="8"/>
      <c r="F3040" s="91">
        <f t="shared" si="44"/>
        <v>10048</v>
      </c>
      <c r="G3040" s="26"/>
    </row>
    <row r="3041" spans="1:10" x14ac:dyDescent="0.25">
      <c r="A3041" s="204">
        <v>43003</v>
      </c>
      <c r="B3041" s="460" t="s">
        <v>2088</v>
      </c>
      <c r="C3041" s="460"/>
      <c r="D3041" s="71"/>
      <c r="E3041" s="58">
        <v>50000</v>
      </c>
      <c r="F3041" s="91">
        <f t="shared" si="44"/>
        <v>60048</v>
      </c>
      <c r="G3041" s="26"/>
    </row>
    <row r="3042" spans="1:10" x14ac:dyDescent="0.25">
      <c r="A3042" s="204">
        <v>43003</v>
      </c>
      <c r="B3042" s="26" t="s">
        <v>19</v>
      </c>
      <c r="C3042" s="26" t="s">
        <v>2341</v>
      </c>
      <c r="D3042" s="8">
        <v>10000</v>
      </c>
      <c r="E3042" s="8"/>
      <c r="F3042" s="91">
        <f t="shared" si="44"/>
        <v>50048</v>
      </c>
      <c r="G3042" s="26"/>
    </row>
    <row r="3043" spans="1:10" x14ac:dyDescent="0.25">
      <c r="A3043" s="204">
        <v>43003</v>
      </c>
      <c r="B3043" s="26" t="s">
        <v>1840</v>
      </c>
      <c r="C3043" s="26" t="s">
        <v>2342</v>
      </c>
      <c r="D3043" s="8">
        <v>2350</v>
      </c>
      <c r="E3043" s="8"/>
      <c r="F3043" s="91">
        <f t="shared" si="44"/>
        <v>47698</v>
      </c>
      <c r="G3043" s="26"/>
    </row>
    <row r="3044" spans="1:10" x14ac:dyDescent="0.25">
      <c r="A3044" s="204">
        <v>43003</v>
      </c>
      <c r="B3044" s="26" t="s">
        <v>57</v>
      </c>
      <c r="C3044" s="26" t="s">
        <v>2343</v>
      </c>
      <c r="D3044" s="8">
        <v>16000</v>
      </c>
      <c r="E3044" s="8"/>
      <c r="F3044" s="91">
        <f t="shared" si="44"/>
        <v>31698</v>
      </c>
      <c r="G3044" s="26"/>
    </row>
    <row r="3045" spans="1:10" x14ac:dyDescent="0.25">
      <c r="A3045" s="204">
        <v>43003</v>
      </c>
      <c r="B3045" s="26" t="s">
        <v>89</v>
      </c>
      <c r="C3045" s="26" t="s">
        <v>2344</v>
      </c>
      <c r="D3045" s="8">
        <v>11000</v>
      </c>
      <c r="E3045" s="8"/>
      <c r="F3045" s="91">
        <f t="shared" si="44"/>
        <v>20698</v>
      </c>
      <c r="G3045" s="26"/>
    </row>
    <row r="3046" spans="1:10" x14ac:dyDescent="0.25">
      <c r="A3046" s="204">
        <v>43003</v>
      </c>
      <c r="B3046" s="26" t="s">
        <v>14</v>
      </c>
      <c r="C3046" s="26" t="s">
        <v>32</v>
      </c>
      <c r="D3046" s="8">
        <v>2000</v>
      </c>
      <c r="E3046" s="8"/>
      <c r="F3046" s="91">
        <f t="shared" si="44"/>
        <v>18698</v>
      </c>
      <c r="G3046" s="26"/>
    </row>
    <row r="3047" spans="1:10" s="20" customFormat="1" x14ac:dyDescent="0.25">
      <c r="A3047" s="204">
        <v>43003</v>
      </c>
      <c r="B3047" s="29" t="s">
        <v>89</v>
      </c>
      <c r="C3047" s="29" t="s">
        <v>2362</v>
      </c>
      <c r="D3047" s="14">
        <v>3800</v>
      </c>
      <c r="E3047" s="14"/>
      <c r="F3047" s="92">
        <f t="shared" si="44"/>
        <v>14898</v>
      </c>
      <c r="G3047" s="29"/>
      <c r="H3047" s="24"/>
      <c r="I3047" s="24"/>
      <c r="J3047" s="24"/>
    </row>
    <row r="3048" spans="1:10" s="20" customFormat="1" x14ac:dyDescent="0.25">
      <c r="A3048" s="204">
        <v>43003</v>
      </c>
      <c r="B3048" s="29" t="s">
        <v>89</v>
      </c>
      <c r="C3048" s="29" t="s">
        <v>32</v>
      </c>
      <c r="D3048" s="14">
        <v>200</v>
      </c>
      <c r="E3048" s="14"/>
      <c r="F3048" s="92">
        <f t="shared" si="44"/>
        <v>14698</v>
      </c>
      <c r="G3048" s="29"/>
      <c r="H3048" s="24"/>
      <c r="I3048" s="24"/>
      <c r="J3048" s="24"/>
    </row>
    <row r="3049" spans="1:10" x14ac:dyDescent="0.25">
      <c r="A3049" s="204">
        <v>43003</v>
      </c>
      <c r="B3049" s="29" t="s">
        <v>105</v>
      </c>
      <c r="C3049" s="29" t="s">
        <v>2347</v>
      </c>
      <c r="D3049" s="14">
        <v>3711</v>
      </c>
      <c r="E3049" s="8"/>
      <c r="F3049" s="92">
        <f t="shared" si="44"/>
        <v>10987</v>
      </c>
      <c r="G3049" s="26"/>
    </row>
    <row r="3050" spans="1:10" x14ac:dyDescent="0.25">
      <c r="A3050" s="204">
        <v>43003</v>
      </c>
      <c r="B3050" s="460" t="s">
        <v>2088</v>
      </c>
      <c r="C3050" s="460"/>
      <c r="D3050" s="71"/>
      <c r="E3050" s="58">
        <v>50000</v>
      </c>
      <c r="F3050" s="92">
        <f t="shared" si="44"/>
        <v>60987</v>
      </c>
      <c r="G3050" s="26"/>
    </row>
    <row r="3051" spans="1:10" x14ac:dyDescent="0.25">
      <c r="A3051" s="204">
        <v>43003</v>
      </c>
      <c r="B3051" s="26" t="s">
        <v>2207</v>
      </c>
      <c r="C3051" s="26" t="s">
        <v>32</v>
      </c>
      <c r="D3051" s="8">
        <v>250</v>
      </c>
      <c r="E3051" s="8"/>
      <c r="F3051" s="91">
        <f t="shared" si="44"/>
        <v>60737</v>
      </c>
      <c r="G3051" s="26"/>
    </row>
    <row r="3052" spans="1:10" x14ac:dyDescent="0.25">
      <c r="A3052" s="204">
        <v>43003</v>
      </c>
      <c r="B3052" s="26" t="s">
        <v>98</v>
      </c>
      <c r="C3052" s="26" t="s">
        <v>32</v>
      </c>
      <c r="D3052" s="8">
        <v>5325</v>
      </c>
      <c r="E3052" s="8"/>
      <c r="F3052" s="91">
        <f t="shared" si="44"/>
        <v>55412</v>
      </c>
      <c r="G3052" s="26"/>
    </row>
    <row r="3053" spans="1:10" x14ac:dyDescent="0.25">
      <c r="A3053" s="204">
        <v>43003</v>
      </c>
      <c r="B3053" s="29" t="s">
        <v>85</v>
      </c>
      <c r="C3053" s="29" t="s">
        <v>2345</v>
      </c>
      <c r="D3053" s="14">
        <v>3000</v>
      </c>
      <c r="E3053" s="8"/>
      <c r="F3053" s="91">
        <f t="shared" si="44"/>
        <v>52412</v>
      </c>
      <c r="G3053" s="26"/>
    </row>
    <row r="3054" spans="1:10" x14ac:dyDescent="0.25">
      <c r="A3054" s="204">
        <v>43003</v>
      </c>
      <c r="B3054" s="29" t="s">
        <v>26</v>
      </c>
      <c r="C3054" s="26" t="s">
        <v>2346</v>
      </c>
      <c r="D3054" s="14">
        <v>1500</v>
      </c>
      <c r="E3054" s="8"/>
      <c r="F3054" s="91">
        <f t="shared" si="44"/>
        <v>50912</v>
      </c>
      <c r="G3054" s="26"/>
    </row>
    <row r="3055" spans="1:10" x14ac:dyDescent="0.25">
      <c r="A3055" s="204">
        <v>43003</v>
      </c>
      <c r="B3055" s="26" t="s">
        <v>542</v>
      </c>
      <c r="C3055" s="26" t="s">
        <v>2131</v>
      </c>
      <c r="D3055" s="14">
        <v>8000</v>
      </c>
      <c r="E3055" s="8"/>
      <c r="F3055" s="91">
        <f t="shared" si="44"/>
        <v>42912</v>
      </c>
      <c r="G3055" s="26"/>
    </row>
    <row r="3056" spans="1:10" x14ac:dyDescent="0.25">
      <c r="A3056" s="204">
        <v>43003</v>
      </c>
      <c r="B3056" s="26" t="s">
        <v>0</v>
      </c>
      <c r="C3056" s="26" t="s">
        <v>32</v>
      </c>
      <c r="D3056" s="14">
        <v>3500</v>
      </c>
      <c r="E3056" s="8"/>
      <c r="F3056" s="91">
        <f t="shared" si="44"/>
        <v>39412</v>
      </c>
      <c r="G3056" s="26"/>
    </row>
    <row r="3057" spans="1:7" x14ac:dyDescent="0.25">
      <c r="A3057" s="204">
        <v>43003</v>
      </c>
      <c r="B3057" s="26" t="s">
        <v>21</v>
      </c>
      <c r="C3057" s="26" t="s">
        <v>32</v>
      </c>
      <c r="D3057" s="14">
        <v>5000</v>
      </c>
      <c r="E3057" s="8"/>
      <c r="F3057" s="91">
        <f t="shared" si="44"/>
        <v>34412</v>
      </c>
      <c r="G3057" s="26"/>
    </row>
    <row r="3058" spans="1:7" x14ac:dyDescent="0.25">
      <c r="A3058" s="204">
        <v>43003</v>
      </c>
      <c r="B3058" s="26" t="s">
        <v>55</v>
      </c>
      <c r="C3058" s="26" t="s">
        <v>2348</v>
      </c>
      <c r="D3058" s="8">
        <v>10200</v>
      </c>
      <c r="E3058" s="8"/>
      <c r="F3058" s="91">
        <f t="shared" si="44"/>
        <v>24212</v>
      </c>
      <c r="G3058" s="26"/>
    </row>
    <row r="3059" spans="1:7" x14ac:dyDescent="0.25">
      <c r="A3059" s="204">
        <v>43004</v>
      </c>
      <c r="B3059" s="26" t="s">
        <v>19</v>
      </c>
      <c r="C3059" s="26" t="s">
        <v>32</v>
      </c>
      <c r="D3059" s="8">
        <v>1000</v>
      </c>
      <c r="E3059" s="8"/>
      <c r="F3059" s="91">
        <f t="shared" si="44"/>
        <v>23212</v>
      </c>
      <c r="G3059" s="26"/>
    </row>
    <row r="3060" spans="1:7" x14ac:dyDescent="0.25">
      <c r="A3060" s="204">
        <v>43004</v>
      </c>
      <c r="B3060" s="26" t="s">
        <v>2349</v>
      </c>
      <c r="C3060" s="26" t="s">
        <v>2350</v>
      </c>
      <c r="D3060" s="8">
        <v>2000</v>
      </c>
      <c r="E3060" s="8"/>
      <c r="F3060" s="91">
        <f t="shared" si="44"/>
        <v>21212</v>
      </c>
      <c r="G3060" s="26"/>
    </row>
    <row r="3061" spans="1:7" x14ac:dyDescent="0.25">
      <c r="A3061" s="204">
        <v>43005</v>
      </c>
      <c r="B3061" s="26" t="s">
        <v>1840</v>
      </c>
      <c r="C3061" s="26" t="s">
        <v>295</v>
      </c>
      <c r="D3061" s="8">
        <v>1170</v>
      </c>
      <c r="E3061" s="8"/>
      <c r="F3061" s="91">
        <f t="shared" si="44"/>
        <v>20042</v>
      </c>
      <c r="G3061" s="26"/>
    </row>
    <row r="3062" spans="1:7" x14ac:dyDescent="0.25">
      <c r="A3062" s="204">
        <v>43005</v>
      </c>
      <c r="B3062" s="26" t="s">
        <v>61</v>
      </c>
      <c r="C3062" s="26" t="s">
        <v>2371</v>
      </c>
      <c r="D3062" s="8">
        <v>550</v>
      </c>
      <c r="E3062" s="8"/>
      <c r="F3062" s="91">
        <f t="shared" si="44"/>
        <v>19492</v>
      </c>
      <c r="G3062" s="26"/>
    </row>
    <row r="3063" spans="1:7" ht="30" x14ac:dyDescent="0.25">
      <c r="A3063" s="204">
        <v>43005</v>
      </c>
      <c r="B3063" s="26" t="s">
        <v>2353</v>
      </c>
      <c r="C3063" s="87" t="s">
        <v>2354</v>
      </c>
      <c r="D3063" s="8">
        <v>3250</v>
      </c>
      <c r="E3063" s="8"/>
      <c r="F3063" s="91">
        <f t="shared" si="44"/>
        <v>16242</v>
      </c>
      <c r="G3063" s="26"/>
    </row>
    <row r="3064" spans="1:7" x14ac:dyDescent="0.25">
      <c r="A3064" s="204">
        <v>43005</v>
      </c>
      <c r="B3064" s="26" t="s">
        <v>2351</v>
      </c>
      <c r="C3064" s="26" t="s">
        <v>2352</v>
      </c>
      <c r="D3064" s="8">
        <v>1000</v>
      </c>
      <c r="E3064" s="8"/>
      <c r="F3064" s="91">
        <f t="shared" si="44"/>
        <v>15242</v>
      </c>
      <c r="G3064" s="26"/>
    </row>
    <row r="3065" spans="1:7" ht="30" x14ac:dyDescent="0.25">
      <c r="A3065" s="204">
        <v>43005</v>
      </c>
      <c r="B3065" s="26" t="s">
        <v>59</v>
      </c>
      <c r="C3065" s="87" t="s">
        <v>2361</v>
      </c>
      <c r="D3065" s="8">
        <v>100</v>
      </c>
      <c r="E3065" s="8"/>
      <c r="F3065" s="91">
        <f t="shared" si="44"/>
        <v>15142</v>
      </c>
      <c r="G3065" s="26"/>
    </row>
    <row r="3066" spans="1:7" x14ac:dyDescent="0.25">
      <c r="A3066" s="204">
        <v>43005</v>
      </c>
      <c r="B3066" s="26" t="s">
        <v>26</v>
      </c>
      <c r="C3066" s="26" t="s">
        <v>2355</v>
      </c>
      <c r="D3066" s="8">
        <v>635</v>
      </c>
      <c r="E3066" s="8"/>
      <c r="F3066" s="91">
        <f t="shared" si="44"/>
        <v>14507</v>
      </c>
      <c r="G3066" s="26"/>
    </row>
    <row r="3067" spans="1:7" x14ac:dyDescent="0.25">
      <c r="A3067" s="204">
        <v>43005</v>
      </c>
      <c r="B3067" s="460" t="s">
        <v>2357</v>
      </c>
      <c r="C3067" s="460"/>
      <c r="D3067" s="71"/>
      <c r="E3067" s="58">
        <v>10000</v>
      </c>
      <c r="F3067" s="91">
        <f t="shared" si="44"/>
        <v>24507</v>
      </c>
      <c r="G3067" s="26"/>
    </row>
    <row r="3068" spans="1:7" x14ac:dyDescent="0.25">
      <c r="A3068" s="204">
        <v>43005</v>
      </c>
      <c r="B3068" s="460" t="s">
        <v>2358</v>
      </c>
      <c r="C3068" s="460"/>
      <c r="D3068" s="71"/>
      <c r="E3068" s="58">
        <v>10000</v>
      </c>
      <c r="F3068" s="91">
        <f t="shared" si="44"/>
        <v>34507</v>
      </c>
      <c r="G3068" s="26"/>
    </row>
    <row r="3069" spans="1:7" x14ac:dyDescent="0.25">
      <c r="A3069" s="204">
        <v>43005</v>
      </c>
      <c r="B3069" s="26" t="s">
        <v>58</v>
      </c>
      <c r="C3069" s="26" t="s">
        <v>2365</v>
      </c>
      <c r="D3069" s="8">
        <v>10000</v>
      </c>
      <c r="E3069" s="8"/>
      <c r="F3069" s="91">
        <f t="shared" si="44"/>
        <v>24507</v>
      </c>
      <c r="G3069" s="26"/>
    </row>
    <row r="3070" spans="1:7" x14ac:dyDescent="0.25">
      <c r="A3070" s="204">
        <v>43005</v>
      </c>
      <c r="B3070" s="26" t="s">
        <v>14</v>
      </c>
      <c r="C3070" s="26" t="s">
        <v>32</v>
      </c>
      <c r="D3070" s="8">
        <v>2000</v>
      </c>
      <c r="E3070" s="8"/>
      <c r="F3070" s="91">
        <f t="shared" si="44"/>
        <v>22507</v>
      </c>
      <c r="G3070" s="26"/>
    </row>
    <row r="3071" spans="1:7" x14ac:dyDescent="0.25">
      <c r="A3071" s="204">
        <v>43005</v>
      </c>
      <c r="B3071" s="26" t="s">
        <v>21</v>
      </c>
      <c r="C3071" s="26" t="s">
        <v>2356</v>
      </c>
      <c r="D3071" s="8">
        <v>15000</v>
      </c>
      <c r="E3071" s="8"/>
      <c r="F3071" s="91">
        <f t="shared" si="44"/>
        <v>7507</v>
      </c>
      <c r="G3071" s="26"/>
    </row>
    <row r="3072" spans="1:7" x14ac:dyDescent="0.25">
      <c r="A3072" s="204">
        <v>43005</v>
      </c>
      <c r="B3072" s="26" t="s">
        <v>85</v>
      </c>
      <c r="C3072" s="26" t="s">
        <v>2366</v>
      </c>
      <c r="D3072" s="8">
        <v>1500</v>
      </c>
      <c r="E3072" s="8"/>
      <c r="F3072" s="91">
        <f t="shared" si="44"/>
        <v>6007</v>
      </c>
      <c r="G3072" s="26"/>
    </row>
    <row r="3073" spans="1:7" x14ac:dyDescent="0.25">
      <c r="A3073" s="204">
        <v>43006</v>
      </c>
      <c r="B3073" s="26" t="s">
        <v>57</v>
      </c>
      <c r="C3073" s="26" t="s">
        <v>2016</v>
      </c>
      <c r="D3073" s="8">
        <v>150</v>
      </c>
      <c r="E3073" s="8"/>
      <c r="F3073" s="91">
        <f t="shared" si="44"/>
        <v>5857</v>
      </c>
      <c r="G3073" s="26"/>
    </row>
    <row r="3074" spans="1:7" x14ac:dyDescent="0.25">
      <c r="A3074" s="204">
        <v>43006</v>
      </c>
      <c r="B3074" s="460" t="s">
        <v>2088</v>
      </c>
      <c r="C3074" s="460"/>
      <c r="D3074" s="71"/>
      <c r="E3074" s="58">
        <v>100000</v>
      </c>
      <c r="F3074" s="91">
        <f t="shared" si="44"/>
        <v>105857</v>
      </c>
      <c r="G3074" s="26"/>
    </row>
    <row r="3075" spans="1:7" x14ac:dyDescent="0.25">
      <c r="A3075" s="204">
        <v>43006</v>
      </c>
      <c r="B3075" s="26" t="s">
        <v>2207</v>
      </c>
      <c r="C3075" s="26" t="s">
        <v>2359</v>
      </c>
      <c r="D3075" s="8">
        <v>120</v>
      </c>
      <c r="E3075" s="8"/>
      <c r="F3075" s="91">
        <f t="shared" si="44"/>
        <v>105737</v>
      </c>
      <c r="G3075" s="26"/>
    </row>
    <row r="3076" spans="1:7" x14ac:dyDescent="0.25">
      <c r="A3076" s="204">
        <v>43006</v>
      </c>
      <c r="B3076" s="26" t="s">
        <v>1077</v>
      </c>
      <c r="C3076" s="26" t="s">
        <v>2360</v>
      </c>
      <c r="D3076" s="8">
        <v>49342</v>
      </c>
      <c r="E3076" s="8"/>
      <c r="F3076" s="91">
        <f t="shared" si="44"/>
        <v>56395</v>
      </c>
      <c r="G3076" s="26"/>
    </row>
    <row r="3077" spans="1:7" x14ac:dyDescent="0.25">
      <c r="A3077" s="204">
        <v>43006</v>
      </c>
      <c r="B3077" s="26" t="s">
        <v>2321</v>
      </c>
      <c r="C3077" s="26" t="s">
        <v>2376</v>
      </c>
      <c r="D3077" s="8">
        <v>2190</v>
      </c>
      <c r="E3077" s="8"/>
      <c r="F3077" s="91">
        <f t="shared" si="44"/>
        <v>54205</v>
      </c>
      <c r="G3077" s="26"/>
    </row>
    <row r="3078" spans="1:7" ht="30" x14ac:dyDescent="0.25">
      <c r="A3078" s="204">
        <v>43006</v>
      </c>
      <c r="B3078" s="199" t="s">
        <v>21</v>
      </c>
      <c r="C3078" s="207" t="s">
        <v>2363</v>
      </c>
      <c r="D3078" s="91">
        <v>300</v>
      </c>
      <c r="E3078" s="91"/>
      <c r="F3078" s="91">
        <f t="shared" si="44"/>
        <v>53905</v>
      </c>
      <c r="G3078" s="199"/>
    </row>
    <row r="3079" spans="1:7" x14ac:dyDescent="0.25">
      <c r="A3079" s="204">
        <v>43006</v>
      </c>
      <c r="B3079" s="26" t="s">
        <v>2333</v>
      </c>
      <c r="C3079" s="87" t="s">
        <v>2364</v>
      </c>
      <c r="D3079" s="8">
        <v>1630</v>
      </c>
      <c r="E3079" s="8"/>
      <c r="F3079" s="91">
        <f t="shared" si="44"/>
        <v>52275</v>
      </c>
      <c r="G3079" s="26"/>
    </row>
    <row r="3080" spans="1:7" ht="30" x14ac:dyDescent="0.25">
      <c r="A3080" s="204">
        <v>43006</v>
      </c>
      <c r="B3080" s="199" t="s">
        <v>98</v>
      </c>
      <c r="C3080" s="87" t="s">
        <v>2367</v>
      </c>
      <c r="D3080" s="8">
        <v>1000</v>
      </c>
      <c r="E3080" s="8"/>
      <c r="F3080" s="91">
        <f t="shared" si="44"/>
        <v>51275</v>
      </c>
      <c r="G3080" s="199"/>
    </row>
    <row r="3081" spans="1:7" x14ac:dyDescent="0.25">
      <c r="A3081" s="204">
        <v>43006</v>
      </c>
      <c r="B3081" s="26" t="s">
        <v>0</v>
      </c>
      <c r="C3081" s="87" t="s">
        <v>2368</v>
      </c>
      <c r="D3081" s="8">
        <v>1500</v>
      </c>
      <c r="E3081" s="8"/>
      <c r="F3081" s="91">
        <f t="shared" si="44"/>
        <v>49775</v>
      </c>
      <c r="G3081" s="26"/>
    </row>
    <row r="3082" spans="1:7" x14ac:dyDescent="0.25">
      <c r="A3082" s="204">
        <v>43006</v>
      </c>
      <c r="B3082" s="26" t="s">
        <v>2369</v>
      </c>
      <c r="C3082" s="87" t="s">
        <v>2370</v>
      </c>
      <c r="D3082" s="8">
        <v>8500</v>
      </c>
      <c r="E3082" s="8"/>
      <c r="F3082" s="91">
        <f t="shared" si="44"/>
        <v>41275</v>
      </c>
      <c r="G3082" s="26"/>
    </row>
    <row r="3083" spans="1:7" x14ac:dyDescent="0.25">
      <c r="A3083" s="204">
        <v>43006</v>
      </c>
      <c r="B3083" s="26" t="s">
        <v>89</v>
      </c>
      <c r="C3083" s="87" t="s">
        <v>295</v>
      </c>
      <c r="D3083" s="8">
        <v>2000</v>
      </c>
      <c r="E3083" s="8"/>
      <c r="F3083" s="91">
        <f t="shared" si="44"/>
        <v>39275</v>
      </c>
      <c r="G3083" s="26"/>
    </row>
    <row r="3084" spans="1:7" x14ac:dyDescent="0.25">
      <c r="A3084" s="204">
        <v>43007</v>
      </c>
      <c r="B3084" s="26" t="s">
        <v>61</v>
      </c>
      <c r="C3084" s="87" t="s">
        <v>2372</v>
      </c>
      <c r="D3084" s="8">
        <v>6050</v>
      </c>
      <c r="E3084" s="8"/>
      <c r="F3084" s="91">
        <f t="shared" si="44"/>
        <v>33225</v>
      </c>
      <c r="G3084" s="26"/>
    </row>
    <row r="3085" spans="1:7" x14ac:dyDescent="0.25">
      <c r="A3085" s="204">
        <v>43007</v>
      </c>
      <c r="B3085" s="26" t="s">
        <v>55</v>
      </c>
      <c r="C3085" s="87" t="s">
        <v>2374</v>
      </c>
      <c r="D3085" s="8">
        <v>30500</v>
      </c>
      <c r="E3085" s="8"/>
      <c r="F3085" s="91">
        <f t="shared" si="44"/>
        <v>2725</v>
      </c>
      <c r="G3085" s="26"/>
    </row>
    <row r="3086" spans="1:7" x14ac:dyDescent="0.25">
      <c r="A3086" s="204">
        <v>43007</v>
      </c>
      <c r="B3086" s="26" t="s">
        <v>26</v>
      </c>
      <c r="C3086" s="87" t="s">
        <v>2373</v>
      </c>
      <c r="D3086" s="8">
        <v>100</v>
      </c>
      <c r="E3086" s="8"/>
      <c r="F3086" s="91">
        <f t="shared" si="44"/>
        <v>2625</v>
      </c>
      <c r="G3086" s="26"/>
    </row>
    <row r="3087" spans="1:7" x14ac:dyDescent="0.25">
      <c r="A3087" s="204">
        <v>43007</v>
      </c>
      <c r="B3087" s="26" t="s">
        <v>85</v>
      </c>
      <c r="C3087" s="87" t="s">
        <v>2375</v>
      </c>
      <c r="D3087" s="8">
        <v>1000</v>
      </c>
      <c r="E3087" s="8"/>
      <c r="F3087" s="91">
        <f t="shared" si="44"/>
        <v>1625</v>
      </c>
      <c r="G3087" s="26"/>
    </row>
    <row r="3088" spans="1:7" x14ac:dyDescent="0.25">
      <c r="A3088" s="204">
        <v>43007</v>
      </c>
      <c r="B3088" s="26" t="s">
        <v>85</v>
      </c>
      <c r="C3088" s="87" t="s">
        <v>2377</v>
      </c>
      <c r="D3088" s="8">
        <v>3000</v>
      </c>
      <c r="E3088" s="8"/>
      <c r="F3088" s="91">
        <f t="shared" si="44"/>
        <v>-1375</v>
      </c>
      <c r="G3088" s="26"/>
    </row>
    <row r="3089" spans="1:10" x14ac:dyDescent="0.25">
      <c r="A3089" s="204">
        <v>43007</v>
      </c>
      <c r="B3089" s="26" t="s">
        <v>17</v>
      </c>
      <c r="C3089" s="87" t="s">
        <v>2016</v>
      </c>
      <c r="D3089" s="8">
        <v>100</v>
      </c>
      <c r="E3089" s="8"/>
      <c r="F3089" s="91">
        <f t="shared" si="44"/>
        <v>-1475</v>
      </c>
      <c r="G3089" s="26"/>
    </row>
    <row r="3090" spans="1:10" x14ac:dyDescent="0.25">
      <c r="A3090" s="204">
        <v>43007</v>
      </c>
      <c r="B3090" s="26" t="s">
        <v>2378</v>
      </c>
      <c r="C3090" s="87" t="s">
        <v>2016</v>
      </c>
      <c r="D3090" s="8">
        <v>50</v>
      </c>
      <c r="E3090" s="8"/>
      <c r="F3090" s="91">
        <f t="shared" si="44"/>
        <v>-1525</v>
      </c>
      <c r="G3090" s="26"/>
    </row>
    <row r="3091" spans="1:10" x14ac:dyDescent="0.25">
      <c r="A3091" s="204">
        <v>43007</v>
      </c>
      <c r="B3091" s="26" t="s">
        <v>26</v>
      </c>
      <c r="C3091" s="87" t="s">
        <v>2379</v>
      </c>
      <c r="D3091" s="8">
        <v>810</v>
      </c>
      <c r="E3091" s="8"/>
      <c r="F3091" s="91">
        <f t="shared" si="44"/>
        <v>-2335</v>
      </c>
      <c r="G3091" s="26"/>
    </row>
    <row r="3092" spans="1:10" x14ac:dyDescent="0.25">
      <c r="A3092" s="204">
        <v>43010</v>
      </c>
      <c r="B3092" s="460" t="s">
        <v>2383</v>
      </c>
      <c r="C3092" s="460"/>
      <c r="D3092" s="71"/>
      <c r="E3092" s="58">
        <v>100000</v>
      </c>
      <c r="F3092" s="91">
        <f t="shared" si="44"/>
        <v>97665</v>
      </c>
      <c r="G3092" s="26"/>
    </row>
    <row r="3093" spans="1:10" x14ac:dyDescent="0.25">
      <c r="A3093" s="204">
        <v>43010</v>
      </c>
      <c r="B3093" s="26" t="s">
        <v>14</v>
      </c>
      <c r="C3093" s="87" t="s">
        <v>32</v>
      </c>
      <c r="D3093" s="8">
        <v>20000</v>
      </c>
      <c r="E3093" s="8"/>
      <c r="F3093" s="91">
        <f t="shared" si="44"/>
        <v>77665</v>
      </c>
      <c r="G3093" s="26"/>
    </row>
    <row r="3094" spans="1:10" x14ac:dyDescent="0.25">
      <c r="A3094" s="204">
        <v>43010</v>
      </c>
      <c r="B3094" s="26" t="s">
        <v>85</v>
      </c>
      <c r="C3094" s="87" t="s">
        <v>2380</v>
      </c>
      <c r="D3094" s="8">
        <v>10000</v>
      </c>
      <c r="E3094" s="8"/>
      <c r="F3094" s="91">
        <f t="shared" si="44"/>
        <v>67665</v>
      </c>
      <c r="G3094" s="26"/>
    </row>
    <row r="3095" spans="1:10" x14ac:dyDescent="0.25">
      <c r="A3095" s="204">
        <v>43010</v>
      </c>
      <c r="B3095" s="26" t="s">
        <v>10</v>
      </c>
      <c r="C3095" s="87" t="s">
        <v>2381</v>
      </c>
      <c r="D3095" s="8">
        <v>2000</v>
      </c>
      <c r="E3095" s="8"/>
      <c r="F3095" s="91">
        <f t="shared" si="44"/>
        <v>65665</v>
      </c>
      <c r="G3095" s="26"/>
    </row>
    <row r="3096" spans="1:10" x14ac:dyDescent="0.25">
      <c r="A3096" s="204">
        <v>43010</v>
      </c>
      <c r="B3096" s="26" t="s">
        <v>121</v>
      </c>
      <c r="C3096" s="87" t="s">
        <v>2386</v>
      </c>
      <c r="D3096" s="8">
        <v>1000</v>
      </c>
      <c r="E3096" s="8"/>
      <c r="F3096" s="91">
        <f t="shared" si="44"/>
        <v>64665</v>
      </c>
      <c r="G3096" s="26"/>
    </row>
    <row r="3097" spans="1:10" x14ac:dyDescent="0.25">
      <c r="A3097" s="204">
        <v>43011</v>
      </c>
      <c r="B3097" s="26" t="s">
        <v>1840</v>
      </c>
      <c r="C3097" s="87" t="s">
        <v>2382</v>
      </c>
      <c r="D3097" s="8">
        <v>1100</v>
      </c>
      <c r="E3097" s="8"/>
      <c r="F3097" s="91">
        <f t="shared" si="44"/>
        <v>63565</v>
      </c>
      <c r="G3097" s="26"/>
    </row>
    <row r="3098" spans="1:10" x14ac:dyDescent="0.25">
      <c r="A3098" s="204">
        <v>43011</v>
      </c>
      <c r="B3098" s="26" t="s">
        <v>26</v>
      </c>
      <c r="C3098" s="87" t="s">
        <v>2384</v>
      </c>
      <c r="D3098" s="8">
        <v>168</v>
      </c>
      <c r="E3098" s="8"/>
      <c r="F3098" s="91">
        <f t="shared" si="44"/>
        <v>63397</v>
      </c>
      <c r="G3098" s="26"/>
    </row>
    <row r="3099" spans="1:10" x14ac:dyDescent="0.25">
      <c r="A3099" s="204">
        <v>43011</v>
      </c>
      <c r="B3099" s="26" t="s">
        <v>2321</v>
      </c>
      <c r="C3099" s="87" t="s">
        <v>2385</v>
      </c>
      <c r="D3099" s="8">
        <v>590</v>
      </c>
      <c r="E3099" s="8"/>
      <c r="F3099" s="91">
        <f t="shared" si="44"/>
        <v>62807</v>
      </c>
      <c r="G3099" s="26"/>
    </row>
    <row r="3100" spans="1:10" x14ac:dyDescent="0.25">
      <c r="A3100" s="204">
        <v>43011</v>
      </c>
      <c r="B3100" s="26" t="s">
        <v>2333</v>
      </c>
      <c r="C3100" s="87" t="s">
        <v>2387</v>
      </c>
      <c r="D3100" s="8">
        <v>3935</v>
      </c>
      <c r="E3100" s="8"/>
      <c r="F3100" s="91">
        <f t="shared" si="44"/>
        <v>58872</v>
      </c>
      <c r="G3100" s="26"/>
    </row>
    <row r="3101" spans="1:10" x14ac:dyDescent="0.25">
      <c r="A3101" s="204">
        <v>43011</v>
      </c>
      <c r="B3101" s="26" t="s">
        <v>2057</v>
      </c>
      <c r="C3101" s="87" t="s">
        <v>2388</v>
      </c>
      <c r="D3101" s="8">
        <v>630</v>
      </c>
      <c r="E3101" s="8"/>
      <c r="F3101" s="91">
        <f t="shared" si="44"/>
        <v>58242</v>
      </c>
      <c r="G3101" s="26"/>
    </row>
    <row r="3102" spans="1:10" x14ac:dyDescent="0.25">
      <c r="A3102" s="204">
        <v>43011</v>
      </c>
      <c r="B3102" s="26" t="s">
        <v>1346</v>
      </c>
      <c r="C3102" s="87" t="s">
        <v>2389</v>
      </c>
      <c r="D3102" s="8">
        <v>5000</v>
      </c>
      <c r="E3102" s="8"/>
      <c r="F3102" s="91">
        <f t="shared" si="44"/>
        <v>53242</v>
      </c>
      <c r="G3102" s="26"/>
    </row>
    <row r="3103" spans="1:10" x14ac:dyDescent="0.25">
      <c r="A3103" s="204">
        <v>43011</v>
      </c>
      <c r="B3103" s="180" t="s">
        <v>2321</v>
      </c>
      <c r="C3103" s="213" t="s">
        <v>2390</v>
      </c>
      <c r="D3103" s="57">
        <v>1000</v>
      </c>
      <c r="E3103" s="8"/>
      <c r="F3103" s="91">
        <f t="shared" si="44"/>
        <v>52242</v>
      </c>
      <c r="G3103" s="26"/>
    </row>
    <row r="3104" spans="1:10" s="20" customFormat="1" x14ac:dyDescent="0.25">
      <c r="A3104" s="204">
        <v>43011</v>
      </c>
      <c r="B3104" s="29" t="s">
        <v>2106</v>
      </c>
      <c r="C3104" s="89" t="s">
        <v>2391</v>
      </c>
      <c r="D3104" s="14">
        <v>1800</v>
      </c>
      <c r="E3104" s="14"/>
      <c r="F3104" s="91">
        <f t="shared" si="44"/>
        <v>50442</v>
      </c>
      <c r="G3104" s="29"/>
      <c r="H3104" s="24"/>
      <c r="I3104" s="24"/>
      <c r="J3104" s="24"/>
    </row>
    <row r="3105" spans="1:7" x14ac:dyDescent="0.25">
      <c r="A3105" s="204">
        <v>43011</v>
      </c>
      <c r="B3105" s="29" t="s">
        <v>58</v>
      </c>
      <c r="C3105" s="89" t="s">
        <v>2412</v>
      </c>
      <c r="D3105" s="14">
        <v>1000</v>
      </c>
      <c r="E3105" s="8"/>
      <c r="F3105" s="91">
        <f t="shared" si="44"/>
        <v>49442</v>
      </c>
      <c r="G3105" s="26"/>
    </row>
    <row r="3106" spans="1:7" x14ac:dyDescent="0.25">
      <c r="A3106" s="204">
        <v>43012</v>
      </c>
      <c r="B3106" s="26" t="s">
        <v>1970</v>
      </c>
      <c r="C3106" s="87" t="s">
        <v>2392</v>
      </c>
      <c r="D3106" s="8">
        <v>920</v>
      </c>
      <c r="E3106" s="8"/>
      <c r="F3106" s="91">
        <f t="shared" si="44"/>
        <v>48522</v>
      </c>
      <c r="G3106" s="26"/>
    </row>
    <row r="3107" spans="1:7" x14ac:dyDescent="0.25">
      <c r="A3107" s="204">
        <v>43012</v>
      </c>
      <c r="B3107" s="26" t="s">
        <v>85</v>
      </c>
      <c r="C3107" s="87" t="s">
        <v>2393</v>
      </c>
      <c r="D3107" s="8">
        <v>1000</v>
      </c>
      <c r="E3107" s="8"/>
      <c r="F3107" s="91">
        <f t="shared" si="44"/>
        <v>47522</v>
      </c>
      <c r="G3107" s="26"/>
    </row>
    <row r="3108" spans="1:7" x14ac:dyDescent="0.25">
      <c r="A3108" s="204">
        <v>43012</v>
      </c>
      <c r="B3108" s="26" t="s">
        <v>85</v>
      </c>
      <c r="C3108" s="87" t="s">
        <v>2394</v>
      </c>
      <c r="D3108" s="8">
        <v>1000</v>
      </c>
      <c r="E3108" s="8"/>
      <c r="F3108" s="91">
        <f t="shared" si="44"/>
        <v>46522</v>
      </c>
      <c r="G3108" s="26"/>
    </row>
    <row r="3109" spans="1:7" x14ac:dyDescent="0.25">
      <c r="A3109" s="204">
        <v>43012</v>
      </c>
      <c r="B3109" s="26" t="s">
        <v>59</v>
      </c>
      <c r="C3109" s="87" t="s">
        <v>2395</v>
      </c>
      <c r="D3109" s="8">
        <v>8200</v>
      </c>
      <c r="E3109" s="8"/>
      <c r="F3109" s="91">
        <f t="shared" si="44"/>
        <v>38322</v>
      </c>
      <c r="G3109" s="26"/>
    </row>
    <row r="3110" spans="1:7" x14ac:dyDescent="0.25">
      <c r="A3110" s="204">
        <v>43012</v>
      </c>
      <c r="B3110" s="26" t="s">
        <v>85</v>
      </c>
      <c r="C3110" s="87" t="s">
        <v>2396</v>
      </c>
      <c r="D3110" s="8">
        <v>5000</v>
      </c>
      <c r="E3110" s="8"/>
      <c r="F3110" s="91">
        <f t="shared" si="44"/>
        <v>33322</v>
      </c>
      <c r="G3110" s="26"/>
    </row>
    <row r="3111" spans="1:7" ht="30" x14ac:dyDescent="0.25">
      <c r="A3111" s="204">
        <v>43012</v>
      </c>
      <c r="B3111" s="199" t="s">
        <v>26</v>
      </c>
      <c r="C3111" s="207" t="s">
        <v>2397</v>
      </c>
      <c r="D3111" s="8">
        <v>1435</v>
      </c>
      <c r="E3111" s="8"/>
      <c r="F3111" s="91">
        <f t="shared" si="44"/>
        <v>31887</v>
      </c>
      <c r="G3111" s="26"/>
    </row>
    <row r="3112" spans="1:7" x14ac:dyDescent="0.25">
      <c r="A3112" s="204">
        <v>43012</v>
      </c>
      <c r="B3112" s="26" t="s">
        <v>85</v>
      </c>
      <c r="C3112" s="87" t="s">
        <v>2398</v>
      </c>
      <c r="D3112" s="8">
        <v>500</v>
      </c>
      <c r="E3112" s="8"/>
      <c r="F3112" s="91">
        <f t="shared" si="44"/>
        <v>31387</v>
      </c>
      <c r="G3112" s="26"/>
    </row>
    <row r="3113" spans="1:7" x14ac:dyDescent="0.25">
      <c r="A3113" s="204">
        <v>43013</v>
      </c>
      <c r="B3113" s="26" t="s">
        <v>89</v>
      </c>
      <c r="C3113" s="87" t="s">
        <v>2400</v>
      </c>
      <c r="D3113" s="8">
        <v>25000</v>
      </c>
      <c r="E3113" s="8"/>
      <c r="F3113" s="91">
        <f t="shared" si="44"/>
        <v>6387</v>
      </c>
      <c r="G3113" s="26"/>
    </row>
    <row r="3114" spans="1:7" x14ac:dyDescent="0.25">
      <c r="A3114" s="204">
        <v>43012</v>
      </c>
      <c r="B3114" s="460" t="s">
        <v>2088</v>
      </c>
      <c r="C3114" s="460"/>
      <c r="D3114" s="71"/>
      <c r="E3114" s="58">
        <v>50000</v>
      </c>
      <c r="F3114" s="91">
        <f t="shared" si="44"/>
        <v>56387</v>
      </c>
      <c r="G3114" s="26"/>
    </row>
    <row r="3115" spans="1:7" x14ac:dyDescent="0.25">
      <c r="A3115" s="204">
        <v>43013</v>
      </c>
      <c r="B3115" s="26" t="s">
        <v>17</v>
      </c>
      <c r="C3115" s="87" t="s">
        <v>32</v>
      </c>
      <c r="D3115" s="8">
        <v>500</v>
      </c>
      <c r="E3115" s="8"/>
      <c r="F3115" s="91">
        <f t="shared" si="44"/>
        <v>55887</v>
      </c>
      <c r="G3115" s="26"/>
    </row>
    <row r="3116" spans="1:7" x14ac:dyDescent="0.25">
      <c r="A3116" s="204">
        <v>43013</v>
      </c>
      <c r="B3116" s="26" t="s">
        <v>2106</v>
      </c>
      <c r="C3116" s="87" t="s">
        <v>843</v>
      </c>
      <c r="D3116" s="8">
        <v>15000</v>
      </c>
      <c r="E3116" s="8"/>
      <c r="F3116" s="91">
        <f t="shared" si="44"/>
        <v>40887</v>
      </c>
      <c r="G3116" s="26"/>
    </row>
    <row r="3117" spans="1:7" x14ac:dyDescent="0.25">
      <c r="A3117" s="204">
        <v>43013</v>
      </c>
      <c r="B3117" s="26" t="s">
        <v>85</v>
      </c>
      <c r="C3117" s="87" t="s">
        <v>2399</v>
      </c>
      <c r="D3117" s="8">
        <v>2000</v>
      </c>
      <c r="E3117" s="8"/>
      <c r="F3117" s="91">
        <f t="shared" si="44"/>
        <v>38887</v>
      </c>
      <c r="G3117" s="26"/>
    </row>
    <row r="3118" spans="1:7" x14ac:dyDescent="0.25">
      <c r="A3118" s="204">
        <v>43013</v>
      </c>
      <c r="B3118" s="26" t="s">
        <v>14</v>
      </c>
      <c r="C3118" s="87" t="s">
        <v>2401</v>
      </c>
      <c r="D3118" s="8">
        <v>1620</v>
      </c>
      <c r="E3118" s="8"/>
      <c r="F3118" s="91">
        <f t="shared" si="44"/>
        <v>37267</v>
      </c>
      <c r="G3118" s="26"/>
    </row>
    <row r="3119" spans="1:7" x14ac:dyDescent="0.25">
      <c r="A3119" s="204">
        <v>43013</v>
      </c>
      <c r="B3119" s="26" t="s">
        <v>1619</v>
      </c>
      <c r="C3119" s="87" t="s">
        <v>1661</v>
      </c>
      <c r="D3119" s="51">
        <v>2000</v>
      </c>
      <c r="E3119" s="8"/>
      <c r="F3119" s="91">
        <f t="shared" si="44"/>
        <v>35267</v>
      </c>
      <c r="G3119" s="26"/>
    </row>
    <row r="3120" spans="1:7" x14ac:dyDescent="0.25">
      <c r="A3120" s="204">
        <v>43013</v>
      </c>
      <c r="B3120" s="26" t="s">
        <v>26</v>
      </c>
      <c r="C3120" s="87" t="s">
        <v>2402</v>
      </c>
      <c r="D3120" s="8">
        <v>3300</v>
      </c>
      <c r="E3120" s="8"/>
      <c r="F3120" s="91">
        <f t="shared" si="44"/>
        <v>31967</v>
      </c>
      <c r="G3120" s="26"/>
    </row>
    <row r="3121" spans="1:7" ht="30" x14ac:dyDescent="0.25">
      <c r="A3121" s="204">
        <v>43013</v>
      </c>
      <c r="B3121" s="26" t="s">
        <v>2162</v>
      </c>
      <c r="C3121" s="87" t="s">
        <v>2403</v>
      </c>
      <c r="D3121" s="8">
        <v>9500</v>
      </c>
      <c r="E3121" s="8"/>
      <c r="F3121" s="91">
        <f t="shared" si="44"/>
        <v>22467</v>
      </c>
      <c r="G3121" s="26"/>
    </row>
    <row r="3122" spans="1:7" x14ac:dyDescent="0.25">
      <c r="A3122" s="204">
        <v>43013</v>
      </c>
      <c r="B3122" s="26" t="s">
        <v>2162</v>
      </c>
      <c r="C3122" s="87" t="s">
        <v>2404</v>
      </c>
      <c r="D3122" s="8">
        <v>600</v>
      </c>
      <c r="E3122" s="8"/>
      <c r="F3122" s="91">
        <f t="shared" si="44"/>
        <v>21867</v>
      </c>
      <c r="G3122" s="26"/>
    </row>
    <row r="3123" spans="1:7" x14ac:dyDescent="0.25">
      <c r="A3123" s="204">
        <v>43013</v>
      </c>
      <c r="B3123" s="26" t="s">
        <v>26</v>
      </c>
      <c r="C3123" s="87" t="s">
        <v>2405</v>
      </c>
      <c r="D3123" s="8">
        <v>85</v>
      </c>
      <c r="E3123" s="8"/>
      <c r="F3123" s="91">
        <f t="shared" si="44"/>
        <v>21782</v>
      </c>
      <c r="G3123" s="26"/>
    </row>
    <row r="3124" spans="1:7" x14ac:dyDescent="0.25">
      <c r="A3124" s="204">
        <v>43013</v>
      </c>
      <c r="B3124" s="26" t="s">
        <v>26</v>
      </c>
      <c r="C3124" s="87" t="s">
        <v>2406</v>
      </c>
      <c r="D3124" s="8">
        <v>10000</v>
      </c>
      <c r="E3124" s="8"/>
      <c r="F3124" s="91">
        <f t="shared" si="44"/>
        <v>11782</v>
      </c>
      <c r="G3124" s="26"/>
    </row>
    <row r="3125" spans="1:7" ht="30" x14ac:dyDescent="0.25">
      <c r="A3125" s="204">
        <v>43013</v>
      </c>
      <c r="B3125" s="199" t="s">
        <v>26</v>
      </c>
      <c r="C3125" s="87" t="s">
        <v>2407</v>
      </c>
      <c r="D3125" s="8">
        <v>4900</v>
      </c>
      <c r="E3125" s="8"/>
      <c r="F3125" s="91">
        <f t="shared" si="44"/>
        <v>6882</v>
      </c>
      <c r="G3125" s="199"/>
    </row>
    <row r="3126" spans="1:7" x14ac:dyDescent="0.25">
      <c r="A3126" s="204">
        <v>43013</v>
      </c>
      <c r="B3126" s="199" t="s">
        <v>2207</v>
      </c>
      <c r="C3126" s="87" t="s">
        <v>2408</v>
      </c>
      <c r="D3126" s="8">
        <v>200</v>
      </c>
      <c r="E3126" s="8"/>
      <c r="F3126" s="91">
        <f t="shared" si="44"/>
        <v>6682</v>
      </c>
      <c r="G3126" s="26"/>
    </row>
    <row r="3127" spans="1:7" x14ac:dyDescent="0.25">
      <c r="A3127" s="204">
        <v>43014</v>
      </c>
      <c r="B3127" s="26" t="s">
        <v>26</v>
      </c>
      <c r="C3127" s="87" t="s">
        <v>2410</v>
      </c>
      <c r="D3127" s="8">
        <v>1000</v>
      </c>
      <c r="E3127" s="8"/>
      <c r="F3127" s="91">
        <f t="shared" si="44"/>
        <v>5682</v>
      </c>
      <c r="G3127" s="26"/>
    </row>
    <row r="3128" spans="1:7" x14ac:dyDescent="0.25">
      <c r="A3128" s="204">
        <v>43014</v>
      </c>
      <c r="B3128" s="460" t="s">
        <v>2420</v>
      </c>
      <c r="C3128" s="460"/>
      <c r="D3128" s="71"/>
      <c r="E3128" s="58">
        <v>141</v>
      </c>
      <c r="F3128" s="91">
        <f t="shared" si="44"/>
        <v>5823</v>
      </c>
      <c r="G3128" s="26"/>
    </row>
    <row r="3129" spans="1:7" x14ac:dyDescent="0.25">
      <c r="A3129" s="204">
        <v>43014</v>
      </c>
      <c r="B3129" s="26" t="s">
        <v>2207</v>
      </c>
      <c r="C3129" s="87" t="s">
        <v>2409</v>
      </c>
      <c r="D3129" s="8">
        <v>260</v>
      </c>
      <c r="E3129" s="8"/>
      <c r="F3129" s="91">
        <f t="shared" si="44"/>
        <v>5563</v>
      </c>
      <c r="G3129" s="26"/>
    </row>
    <row r="3130" spans="1:7" x14ac:dyDescent="0.25">
      <c r="A3130" s="204">
        <v>43014</v>
      </c>
      <c r="B3130" s="26" t="s">
        <v>59</v>
      </c>
      <c r="C3130" s="87" t="s">
        <v>2411</v>
      </c>
      <c r="D3130" s="8">
        <v>75</v>
      </c>
      <c r="E3130" s="8"/>
      <c r="F3130" s="91">
        <f t="shared" si="44"/>
        <v>5488</v>
      </c>
      <c r="G3130" s="26"/>
    </row>
    <row r="3131" spans="1:7" x14ac:dyDescent="0.25">
      <c r="A3131" s="204">
        <v>43014</v>
      </c>
      <c r="B3131" s="26" t="s">
        <v>61</v>
      </c>
      <c r="C3131" s="87" t="s">
        <v>32</v>
      </c>
      <c r="D3131" s="8">
        <v>1500</v>
      </c>
      <c r="E3131" s="8"/>
      <c r="F3131" s="91">
        <f t="shared" si="44"/>
        <v>3988</v>
      </c>
      <c r="G3131" s="26"/>
    </row>
    <row r="3132" spans="1:7" ht="30" x14ac:dyDescent="0.25">
      <c r="A3132" s="204">
        <v>43014</v>
      </c>
      <c r="B3132" s="29" t="s">
        <v>59</v>
      </c>
      <c r="C3132" s="89" t="s">
        <v>2426</v>
      </c>
      <c r="D3132" s="14">
        <v>1220</v>
      </c>
      <c r="E3132" s="8"/>
      <c r="F3132" s="91">
        <f t="shared" si="44"/>
        <v>2768</v>
      </c>
      <c r="G3132" s="26"/>
    </row>
    <row r="3133" spans="1:7" x14ac:dyDescent="0.25">
      <c r="A3133" s="204">
        <v>43014</v>
      </c>
      <c r="B3133" s="26" t="s">
        <v>26</v>
      </c>
      <c r="C3133" s="87" t="s">
        <v>2417</v>
      </c>
      <c r="D3133" s="8">
        <v>220</v>
      </c>
      <c r="E3133" s="8"/>
      <c r="F3133" s="91">
        <f t="shared" si="44"/>
        <v>2548</v>
      </c>
      <c r="G3133" s="26"/>
    </row>
    <row r="3134" spans="1:7" x14ac:dyDescent="0.25">
      <c r="A3134" s="204">
        <v>43014</v>
      </c>
      <c r="B3134" s="26" t="s">
        <v>26</v>
      </c>
      <c r="C3134" s="87" t="s">
        <v>2418</v>
      </c>
      <c r="D3134" s="8">
        <v>50</v>
      </c>
      <c r="E3134" s="8"/>
      <c r="F3134" s="91">
        <f t="shared" si="44"/>
        <v>2498</v>
      </c>
      <c r="G3134" s="26"/>
    </row>
    <row r="3135" spans="1:7" x14ac:dyDescent="0.25">
      <c r="A3135" s="204">
        <v>43014</v>
      </c>
      <c r="B3135" s="460" t="s">
        <v>2421</v>
      </c>
      <c r="C3135" s="460"/>
      <c r="D3135" s="71"/>
      <c r="E3135" s="58">
        <v>20000</v>
      </c>
      <c r="F3135" s="91">
        <f t="shared" si="44"/>
        <v>22498</v>
      </c>
      <c r="G3135" s="26"/>
    </row>
    <row r="3136" spans="1:7" x14ac:dyDescent="0.25">
      <c r="A3136" s="204">
        <v>43015</v>
      </c>
      <c r="B3136" s="26" t="s">
        <v>17</v>
      </c>
      <c r="C3136" s="87" t="s">
        <v>2413</v>
      </c>
      <c r="D3136" s="8">
        <v>480</v>
      </c>
      <c r="E3136" s="8"/>
      <c r="F3136" s="91">
        <f t="shared" si="44"/>
        <v>22018</v>
      </c>
      <c r="G3136" s="26"/>
    </row>
    <row r="3137" spans="1:7" x14ac:dyDescent="0.25">
      <c r="A3137" s="204">
        <v>43015</v>
      </c>
      <c r="B3137" s="26" t="s">
        <v>17</v>
      </c>
      <c r="C3137" s="87" t="s">
        <v>1533</v>
      </c>
      <c r="D3137" s="8">
        <v>10000</v>
      </c>
      <c r="E3137" s="8"/>
      <c r="F3137" s="91">
        <f t="shared" si="44"/>
        <v>12018</v>
      </c>
      <c r="G3137" s="26"/>
    </row>
    <row r="3138" spans="1:7" x14ac:dyDescent="0.25">
      <c r="A3138" s="204">
        <v>43015</v>
      </c>
      <c r="B3138" s="26" t="s">
        <v>17</v>
      </c>
      <c r="C3138" s="87" t="s">
        <v>2414</v>
      </c>
      <c r="D3138" s="8">
        <v>4000</v>
      </c>
      <c r="E3138" s="8"/>
      <c r="F3138" s="91">
        <f t="shared" si="44"/>
        <v>8018</v>
      </c>
      <c r="G3138" s="26"/>
    </row>
    <row r="3139" spans="1:7" ht="30" x14ac:dyDescent="0.25">
      <c r="A3139" s="204">
        <v>43015</v>
      </c>
      <c r="B3139" s="26" t="s">
        <v>2423</v>
      </c>
      <c r="C3139" s="87" t="s">
        <v>2424</v>
      </c>
      <c r="D3139" s="8">
        <v>5000</v>
      </c>
      <c r="E3139" s="8"/>
      <c r="F3139" s="91">
        <f t="shared" si="44"/>
        <v>3018</v>
      </c>
      <c r="G3139" s="26"/>
    </row>
    <row r="3140" spans="1:7" x14ac:dyDescent="0.25">
      <c r="A3140" s="204">
        <v>43015</v>
      </c>
      <c r="B3140" s="26" t="s">
        <v>85</v>
      </c>
      <c r="C3140" s="87" t="s">
        <v>2425</v>
      </c>
      <c r="D3140" s="8">
        <v>5000</v>
      </c>
      <c r="E3140" s="8"/>
      <c r="F3140" s="91">
        <f t="shared" si="44"/>
        <v>-1982</v>
      </c>
      <c r="G3140" s="26"/>
    </row>
    <row r="3141" spans="1:7" x14ac:dyDescent="0.25">
      <c r="A3141" s="204">
        <v>43015</v>
      </c>
      <c r="B3141" s="26" t="s">
        <v>105</v>
      </c>
      <c r="C3141" s="87" t="s">
        <v>2415</v>
      </c>
      <c r="D3141" s="8">
        <v>300</v>
      </c>
      <c r="E3141" s="8"/>
      <c r="F3141" s="91">
        <f t="shared" si="44"/>
        <v>-2282</v>
      </c>
      <c r="G3141" s="26"/>
    </row>
    <row r="3142" spans="1:7" ht="30" x14ac:dyDescent="0.25">
      <c r="A3142" s="204">
        <v>43015</v>
      </c>
      <c r="B3142" s="199" t="s">
        <v>26</v>
      </c>
      <c r="C3142" s="87" t="s">
        <v>2416</v>
      </c>
      <c r="D3142" s="91">
        <v>1540</v>
      </c>
      <c r="E3142" s="8"/>
      <c r="F3142" s="91">
        <f t="shared" si="44"/>
        <v>-3822</v>
      </c>
      <c r="G3142" s="199"/>
    </row>
    <row r="3143" spans="1:7" x14ac:dyDescent="0.25">
      <c r="A3143" s="204">
        <v>43015</v>
      </c>
      <c r="B3143" s="199" t="s">
        <v>26</v>
      </c>
      <c r="C3143" s="87" t="s">
        <v>2419</v>
      </c>
      <c r="D3143" s="8">
        <v>280</v>
      </c>
      <c r="E3143" s="8"/>
      <c r="F3143" s="91">
        <f t="shared" si="44"/>
        <v>-4102</v>
      </c>
      <c r="G3143" s="26"/>
    </row>
    <row r="3144" spans="1:7" x14ac:dyDescent="0.25">
      <c r="A3144" s="204">
        <v>43015</v>
      </c>
      <c r="B3144" s="26" t="s">
        <v>21</v>
      </c>
      <c r="C3144" s="87" t="s">
        <v>2422</v>
      </c>
      <c r="D3144" s="8">
        <v>3760</v>
      </c>
      <c r="E3144" s="8"/>
      <c r="F3144" s="91">
        <f t="shared" si="44"/>
        <v>-7862</v>
      </c>
      <c r="G3144" s="26"/>
    </row>
    <row r="3145" spans="1:7" x14ac:dyDescent="0.25">
      <c r="A3145" s="204">
        <v>43015</v>
      </c>
      <c r="B3145" s="460" t="s">
        <v>2436</v>
      </c>
      <c r="C3145" s="460"/>
      <c r="D3145" s="71"/>
      <c r="E3145" s="58">
        <v>50000</v>
      </c>
      <c r="F3145" s="91">
        <f t="shared" si="44"/>
        <v>42138</v>
      </c>
      <c r="G3145" s="26"/>
    </row>
    <row r="3146" spans="1:7" x14ac:dyDescent="0.25">
      <c r="A3146" s="204">
        <v>43017</v>
      </c>
      <c r="B3146" s="26" t="s">
        <v>2162</v>
      </c>
      <c r="C3146" s="87" t="s">
        <v>2427</v>
      </c>
      <c r="D3146" s="8">
        <v>90</v>
      </c>
      <c r="E3146" s="8"/>
      <c r="F3146" s="91">
        <f t="shared" si="44"/>
        <v>42048</v>
      </c>
      <c r="G3146" s="26"/>
    </row>
    <row r="3147" spans="1:7" x14ac:dyDescent="0.25">
      <c r="A3147" s="204">
        <v>43017</v>
      </c>
      <c r="B3147" s="26" t="s">
        <v>17</v>
      </c>
      <c r="C3147" s="87" t="s">
        <v>2428</v>
      </c>
      <c r="D3147" s="8">
        <v>170</v>
      </c>
      <c r="E3147" s="8"/>
      <c r="F3147" s="91">
        <f t="shared" si="44"/>
        <v>41878</v>
      </c>
      <c r="G3147" s="26"/>
    </row>
    <row r="3148" spans="1:7" x14ac:dyDescent="0.25">
      <c r="A3148" s="204">
        <v>43017</v>
      </c>
      <c r="B3148" s="26" t="s">
        <v>1619</v>
      </c>
      <c r="C3148" s="87" t="s">
        <v>2438</v>
      </c>
      <c r="D3148" s="8">
        <v>600</v>
      </c>
      <c r="E3148" s="8"/>
      <c r="F3148" s="91">
        <f t="shared" si="44"/>
        <v>41278</v>
      </c>
      <c r="G3148" s="26"/>
    </row>
    <row r="3149" spans="1:7" x14ac:dyDescent="0.25">
      <c r="A3149" s="204">
        <v>43017</v>
      </c>
      <c r="B3149" s="26" t="s">
        <v>14</v>
      </c>
      <c r="C3149" s="87" t="s">
        <v>32</v>
      </c>
      <c r="D3149" s="8">
        <v>5000</v>
      </c>
      <c r="E3149" s="8"/>
      <c r="F3149" s="91">
        <f t="shared" si="44"/>
        <v>36278</v>
      </c>
      <c r="G3149" s="26"/>
    </row>
    <row r="3150" spans="1:7" x14ac:dyDescent="0.25">
      <c r="A3150" s="204">
        <v>43018</v>
      </c>
      <c r="B3150" s="29" t="s">
        <v>105</v>
      </c>
      <c r="C3150" s="89" t="s">
        <v>1533</v>
      </c>
      <c r="D3150" s="14">
        <v>6000</v>
      </c>
      <c r="E3150" s="8"/>
      <c r="F3150" s="91">
        <f t="shared" si="44"/>
        <v>30278</v>
      </c>
      <c r="G3150" s="26"/>
    </row>
    <row r="3151" spans="1:7" x14ac:dyDescent="0.25">
      <c r="A3151" s="204">
        <v>43018</v>
      </c>
      <c r="B3151" s="29" t="s">
        <v>19</v>
      </c>
      <c r="C3151" s="89" t="s">
        <v>2431</v>
      </c>
      <c r="D3151" s="14">
        <v>2500</v>
      </c>
      <c r="E3151" s="8"/>
      <c r="F3151" s="91">
        <f t="shared" si="44"/>
        <v>27778</v>
      </c>
      <c r="G3151" s="26"/>
    </row>
    <row r="3152" spans="1:7" x14ac:dyDescent="0.25">
      <c r="A3152" s="204">
        <v>43018</v>
      </c>
      <c r="B3152" s="29" t="s">
        <v>19</v>
      </c>
      <c r="C3152" s="89" t="s">
        <v>1533</v>
      </c>
      <c r="D3152" s="14">
        <v>500</v>
      </c>
      <c r="E3152" s="8"/>
      <c r="F3152" s="91">
        <f t="shared" si="44"/>
        <v>27278</v>
      </c>
      <c r="G3152" s="26"/>
    </row>
    <row r="3153" spans="1:7" x14ac:dyDescent="0.25">
      <c r="A3153" s="204">
        <v>43018</v>
      </c>
      <c r="B3153" s="26" t="s">
        <v>2207</v>
      </c>
      <c r="C3153" s="87" t="s">
        <v>2429</v>
      </c>
      <c r="D3153" s="8">
        <v>200</v>
      </c>
      <c r="E3153" s="8"/>
      <c r="F3153" s="91">
        <f t="shared" ref="F3153:F3255" si="45">F3152-D3153+E3153</f>
        <v>27078</v>
      </c>
      <c r="G3153" s="26"/>
    </row>
    <row r="3154" spans="1:7" ht="30" x14ac:dyDescent="0.25">
      <c r="A3154" s="204">
        <v>43018</v>
      </c>
      <c r="B3154" s="199" t="s">
        <v>26</v>
      </c>
      <c r="C3154" s="207" t="s">
        <v>2430</v>
      </c>
      <c r="D3154" s="91">
        <v>1080</v>
      </c>
      <c r="E3154" s="91"/>
      <c r="F3154" s="91">
        <f t="shared" si="45"/>
        <v>25998</v>
      </c>
      <c r="G3154" s="199"/>
    </row>
    <row r="3155" spans="1:7" x14ac:dyDescent="0.25">
      <c r="A3155" s="204">
        <v>43018</v>
      </c>
      <c r="B3155" s="26" t="s">
        <v>0</v>
      </c>
      <c r="C3155" s="87" t="s">
        <v>32</v>
      </c>
      <c r="D3155" s="8">
        <v>2000</v>
      </c>
      <c r="E3155" s="8"/>
      <c r="F3155" s="91">
        <f t="shared" si="45"/>
        <v>23998</v>
      </c>
      <c r="G3155" s="26"/>
    </row>
    <row r="3156" spans="1:7" x14ac:dyDescent="0.25">
      <c r="A3156" s="204">
        <v>43018</v>
      </c>
      <c r="B3156" s="26" t="s">
        <v>2207</v>
      </c>
      <c r="C3156" s="87" t="s">
        <v>1790</v>
      </c>
      <c r="D3156" s="8">
        <v>1800</v>
      </c>
      <c r="E3156" s="8"/>
      <c r="F3156" s="91">
        <f t="shared" si="45"/>
        <v>22198</v>
      </c>
      <c r="G3156" s="26"/>
    </row>
    <row r="3157" spans="1:7" x14ac:dyDescent="0.25">
      <c r="A3157" s="204">
        <v>43018</v>
      </c>
      <c r="B3157" s="26" t="s">
        <v>85</v>
      </c>
      <c r="C3157" s="87" t="s">
        <v>2432</v>
      </c>
      <c r="D3157" s="8">
        <v>2000</v>
      </c>
      <c r="E3157" s="8"/>
      <c r="F3157" s="91">
        <f t="shared" si="45"/>
        <v>20198</v>
      </c>
      <c r="G3157" s="26"/>
    </row>
    <row r="3158" spans="1:7" x14ac:dyDescent="0.25">
      <c r="A3158" s="204">
        <v>43019</v>
      </c>
      <c r="B3158" s="26" t="s">
        <v>61</v>
      </c>
      <c r="C3158" s="87" t="s">
        <v>2433</v>
      </c>
      <c r="D3158" s="8">
        <v>17500</v>
      </c>
      <c r="E3158" s="8"/>
      <c r="F3158" s="91">
        <f t="shared" si="45"/>
        <v>2698</v>
      </c>
      <c r="G3158" s="26"/>
    </row>
    <row r="3159" spans="1:7" x14ac:dyDescent="0.25">
      <c r="A3159" s="204">
        <v>43019</v>
      </c>
      <c r="B3159" s="180" t="s">
        <v>1840</v>
      </c>
      <c r="C3159" s="213" t="s">
        <v>2434</v>
      </c>
      <c r="D3159" s="57">
        <v>2000</v>
      </c>
      <c r="E3159" s="8"/>
      <c r="F3159" s="91">
        <f t="shared" si="45"/>
        <v>698</v>
      </c>
      <c r="G3159" s="26"/>
    </row>
    <row r="3160" spans="1:7" x14ac:dyDescent="0.25">
      <c r="A3160" s="204">
        <v>43019</v>
      </c>
      <c r="B3160" s="460" t="s">
        <v>2435</v>
      </c>
      <c r="C3160" s="460"/>
      <c r="D3160" s="71"/>
      <c r="E3160" s="58">
        <v>50000</v>
      </c>
      <c r="F3160" s="91">
        <f t="shared" si="45"/>
        <v>50698</v>
      </c>
      <c r="G3160" s="26"/>
    </row>
    <row r="3161" spans="1:7" ht="30" x14ac:dyDescent="0.25">
      <c r="A3161" s="204">
        <v>43019</v>
      </c>
      <c r="B3161" s="180" t="s">
        <v>2207</v>
      </c>
      <c r="C3161" s="213" t="s">
        <v>2437</v>
      </c>
      <c r="D3161" s="57">
        <v>15000</v>
      </c>
      <c r="E3161" s="8"/>
      <c r="F3161" s="91">
        <f t="shared" si="45"/>
        <v>35698</v>
      </c>
      <c r="G3161" s="26"/>
    </row>
    <row r="3162" spans="1:7" x14ac:dyDescent="0.25">
      <c r="A3162" s="204">
        <v>43019</v>
      </c>
      <c r="B3162" s="26" t="s">
        <v>17</v>
      </c>
      <c r="C3162" s="87" t="s">
        <v>1533</v>
      </c>
      <c r="D3162" s="8">
        <v>3400</v>
      </c>
      <c r="E3162" s="8"/>
      <c r="F3162" s="91">
        <f t="shared" si="45"/>
        <v>32298</v>
      </c>
      <c r="G3162" s="26"/>
    </row>
    <row r="3163" spans="1:7" x14ac:dyDescent="0.25">
      <c r="A3163" s="204">
        <v>43019</v>
      </c>
      <c r="B3163" s="26" t="s">
        <v>105</v>
      </c>
      <c r="C3163" s="87" t="s">
        <v>2439</v>
      </c>
      <c r="D3163" s="8">
        <v>500</v>
      </c>
      <c r="E3163" s="8"/>
      <c r="F3163" s="91">
        <f t="shared" si="45"/>
        <v>31798</v>
      </c>
      <c r="G3163" s="26"/>
    </row>
    <row r="3164" spans="1:7" x14ac:dyDescent="0.25">
      <c r="A3164" s="204">
        <v>43019</v>
      </c>
      <c r="B3164" s="26" t="s">
        <v>26</v>
      </c>
      <c r="C3164" s="87" t="s">
        <v>2440</v>
      </c>
      <c r="D3164" s="8">
        <v>1050</v>
      </c>
      <c r="E3164" s="8"/>
      <c r="F3164" s="91">
        <f t="shared" si="45"/>
        <v>30748</v>
      </c>
      <c r="G3164" s="26"/>
    </row>
    <row r="3165" spans="1:7" x14ac:dyDescent="0.25">
      <c r="A3165" s="204">
        <v>43019</v>
      </c>
      <c r="B3165" s="180" t="s">
        <v>2321</v>
      </c>
      <c r="C3165" s="213" t="s">
        <v>2016</v>
      </c>
      <c r="D3165" s="57">
        <v>100</v>
      </c>
      <c r="E3165" s="8"/>
      <c r="F3165" s="91">
        <f t="shared" si="45"/>
        <v>30648</v>
      </c>
      <c r="G3165" s="26"/>
    </row>
    <row r="3166" spans="1:7" x14ac:dyDescent="0.25">
      <c r="A3166" s="204">
        <v>43019</v>
      </c>
      <c r="B3166" s="26" t="s">
        <v>2441</v>
      </c>
      <c r="C3166" s="87" t="s">
        <v>2442</v>
      </c>
      <c r="D3166" s="8">
        <v>2000</v>
      </c>
      <c r="E3166" s="8"/>
      <c r="F3166" s="91">
        <f t="shared" si="45"/>
        <v>28648</v>
      </c>
      <c r="G3166" s="26"/>
    </row>
    <row r="3167" spans="1:7" x14ac:dyDescent="0.25">
      <c r="A3167" s="204">
        <v>43019</v>
      </c>
      <c r="B3167" s="26" t="s">
        <v>2106</v>
      </c>
      <c r="C3167" s="87" t="s">
        <v>41</v>
      </c>
      <c r="D3167" s="8">
        <v>500</v>
      </c>
      <c r="E3167" s="8"/>
      <c r="F3167" s="91">
        <f t="shared" si="45"/>
        <v>28148</v>
      </c>
      <c r="G3167" s="26"/>
    </row>
    <row r="3168" spans="1:7" x14ac:dyDescent="0.25">
      <c r="A3168" s="204">
        <v>43019</v>
      </c>
      <c r="B3168" s="26" t="s">
        <v>542</v>
      </c>
      <c r="C3168" s="87" t="s">
        <v>2443</v>
      </c>
      <c r="D3168" s="8">
        <v>500</v>
      </c>
      <c r="E3168" s="8"/>
      <c r="F3168" s="91">
        <f t="shared" si="45"/>
        <v>27648</v>
      </c>
      <c r="G3168" s="26"/>
    </row>
    <row r="3169" spans="1:7" x14ac:dyDescent="0.25">
      <c r="A3169" s="204">
        <v>43019</v>
      </c>
      <c r="B3169" s="26" t="s">
        <v>85</v>
      </c>
      <c r="C3169" s="87" t="s">
        <v>2444</v>
      </c>
      <c r="D3169" s="8">
        <v>7000</v>
      </c>
      <c r="E3169" s="8"/>
      <c r="F3169" s="91">
        <f t="shared" si="45"/>
        <v>20648</v>
      </c>
      <c r="G3169" s="26"/>
    </row>
    <row r="3170" spans="1:7" x14ac:dyDescent="0.25">
      <c r="A3170" s="204">
        <v>43019</v>
      </c>
      <c r="B3170" s="461" t="s">
        <v>2446</v>
      </c>
      <c r="C3170" s="461"/>
      <c r="D3170" s="108"/>
      <c r="E3170" s="109">
        <v>18150</v>
      </c>
      <c r="F3170" s="91">
        <f t="shared" si="45"/>
        <v>38798</v>
      </c>
      <c r="G3170" s="26"/>
    </row>
    <row r="3171" spans="1:7" x14ac:dyDescent="0.25">
      <c r="A3171" s="204">
        <v>43019</v>
      </c>
      <c r="B3171" s="180" t="s">
        <v>58</v>
      </c>
      <c r="C3171" s="213" t="s">
        <v>41</v>
      </c>
      <c r="D3171" s="57">
        <v>22500</v>
      </c>
      <c r="E3171" s="8"/>
      <c r="F3171" s="91">
        <f t="shared" si="45"/>
        <v>16298</v>
      </c>
      <c r="G3171" s="26"/>
    </row>
    <row r="3172" spans="1:7" ht="30" x14ac:dyDescent="0.25">
      <c r="A3172" s="204">
        <v>43020</v>
      </c>
      <c r="B3172" s="29" t="s">
        <v>248</v>
      </c>
      <c r="C3172" s="89" t="s">
        <v>2449</v>
      </c>
      <c r="D3172" s="14">
        <v>4000</v>
      </c>
      <c r="E3172" s="8"/>
      <c r="F3172" s="91">
        <f t="shared" si="45"/>
        <v>12298</v>
      </c>
      <c r="G3172" s="26"/>
    </row>
    <row r="3173" spans="1:7" x14ac:dyDescent="0.25">
      <c r="A3173" s="204">
        <v>43020</v>
      </c>
      <c r="B3173" s="26" t="s">
        <v>61</v>
      </c>
      <c r="C3173" s="87" t="s">
        <v>605</v>
      </c>
      <c r="D3173" s="8">
        <v>2000</v>
      </c>
      <c r="E3173" s="8"/>
      <c r="F3173" s="91">
        <f t="shared" si="45"/>
        <v>10298</v>
      </c>
      <c r="G3173" s="26"/>
    </row>
    <row r="3174" spans="1:7" x14ac:dyDescent="0.25">
      <c r="A3174" s="204">
        <v>43020</v>
      </c>
      <c r="B3174" s="460" t="s">
        <v>2448</v>
      </c>
      <c r="C3174" s="460"/>
      <c r="D3174" s="71"/>
      <c r="E3174" s="58">
        <v>3000</v>
      </c>
      <c r="F3174" s="91">
        <f t="shared" si="45"/>
        <v>13298</v>
      </c>
      <c r="G3174" s="26"/>
    </row>
    <row r="3175" spans="1:7" x14ac:dyDescent="0.25">
      <c r="A3175" s="204">
        <v>43020</v>
      </c>
      <c r="B3175" s="26" t="s">
        <v>59</v>
      </c>
      <c r="C3175" s="87" t="s">
        <v>2445</v>
      </c>
      <c r="D3175" s="8">
        <v>2000</v>
      </c>
      <c r="E3175" s="8"/>
      <c r="F3175" s="91">
        <f t="shared" si="45"/>
        <v>11298</v>
      </c>
      <c r="G3175" s="26"/>
    </row>
    <row r="3176" spans="1:7" x14ac:dyDescent="0.25">
      <c r="A3176" s="204">
        <v>43020</v>
      </c>
      <c r="B3176" s="26" t="s">
        <v>2333</v>
      </c>
      <c r="C3176" s="87" t="s">
        <v>2447</v>
      </c>
      <c r="D3176" s="8">
        <v>7160</v>
      </c>
      <c r="E3176" s="8"/>
      <c r="F3176" s="91">
        <f t="shared" si="45"/>
        <v>4138</v>
      </c>
      <c r="G3176" s="26"/>
    </row>
    <row r="3177" spans="1:7" ht="30" x14ac:dyDescent="0.25">
      <c r="A3177" s="204">
        <v>43020</v>
      </c>
      <c r="B3177" s="199" t="s">
        <v>26</v>
      </c>
      <c r="C3177" s="207" t="s">
        <v>2450</v>
      </c>
      <c r="D3177" s="91">
        <v>1970</v>
      </c>
      <c r="E3177" s="91"/>
      <c r="F3177" s="91">
        <f t="shared" si="45"/>
        <v>2168</v>
      </c>
      <c r="G3177" s="199"/>
    </row>
    <row r="3178" spans="1:7" x14ac:dyDescent="0.25">
      <c r="A3178" s="204">
        <v>43020</v>
      </c>
      <c r="B3178" s="26" t="s">
        <v>105</v>
      </c>
      <c r="C3178" s="87" t="s">
        <v>32</v>
      </c>
      <c r="D3178" s="8">
        <v>500</v>
      </c>
      <c r="E3178" s="8"/>
      <c r="F3178" s="91">
        <f t="shared" si="45"/>
        <v>1668</v>
      </c>
      <c r="G3178" s="26"/>
    </row>
    <row r="3179" spans="1:7" x14ac:dyDescent="0.25">
      <c r="A3179" s="204">
        <v>43020</v>
      </c>
      <c r="B3179" s="29" t="s">
        <v>59</v>
      </c>
      <c r="C3179" s="29" t="s">
        <v>2452</v>
      </c>
      <c r="D3179" s="14">
        <v>3550</v>
      </c>
      <c r="E3179" s="8"/>
      <c r="F3179" s="91">
        <f>F3178-D3179+E3179</f>
        <v>-1882</v>
      </c>
      <c r="G3179" s="26"/>
    </row>
    <row r="3180" spans="1:7" x14ac:dyDescent="0.25">
      <c r="A3180" s="204">
        <v>43020</v>
      </c>
      <c r="B3180" s="29" t="s">
        <v>2207</v>
      </c>
      <c r="C3180" s="29" t="s">
        <v>2453</v>
      </c>
      <c r="D3180" s="14">
        <v>1000</v>
      </c>
      <c r="E3180" s="8"/>
      <c r="F3180" s="91">
        <f t="shared" si="45"/>
        <v>-2882</v>
      </c>
      <c r="G3180" s="26"/>
    </row>
    <row r="3181" spans="1:7" x14ac:dyDescent="0.25">
      <c r="A3181" s="204">
        <v>43021</v>
      </c>
      <c r="B3181" s="26" t="s">
        <v>2353</v>
      </c>
      <c r="C3181" s="26" t="s">
        <v>2016</v>
      </c>
      <c r="D3181" s="8">
        <v>50</v>
      </c>
      <c r="E3181" s="8"/>
      <c r="F3181" s="91">
        <f t="shared" si="45"/>
        <v>-2932</v>
      </c>
      <c r="G3181" s="26"/>
    </row>
    <row r="3182" spans="1:7" x14ac:dyDescent="0.25">
      <c r="A3182" s="204">
        <v>43021</v>
      </c>
      <c r="B3182" s="26" t="s">
        <v>14</v>
      </c>
      <c r="C3182" s="26" t="s">
        <v>641</v>
      </c>
      <c r="D3182" s="8">
        <v>1000</v>
      </c>
      <c r="E3182" s="8"/>
      <c r="F3182" s="91">
        <f t="shared" si="45"/>
        <v>-3932</v>
      </c>
      <c r="G3182" s="26"/>
    </row>
    <row r="3183" spans="1:7" x14ac:dyDescent="0.25">
      <c r="A3183" s="204">
        <v>43021</v>
      </c>
      <c r="B3183" s="26" t="s">
        <v>2207</v>
      </c>
      <c r="C3183" s="26" t="s">
        <v>2454</v>
      </c>
      <c r="D3183" s="8">
        <v>3060</v>
      </c>
      <c r="E3183" s="8"/>
      <c r="F3183" s="91">
        <f t="shared" si="45"/>
        <v>-6992</v>
      </c>
      <c r="G3183" s="26"/>
    </row>
    <row r="3184" spans="1:7" x14ac:dyDescent="0.25">
      <c r="A3184" s="204">
        <v>43021</v>
      </c>
      <c r="B3184" s="26" t="s">
        <v>85</v>
      </c>
      <c r="C3184" s="26" t="s">
        <v>2455</v>
      </c>
      <c r="D3184" s="8">
        <v>5000</v>
      </c>
      <c r="E3184" s="8"/>
      <c r="F3184" s="91">
        <f t="shared" si="45"/>
        <v>-11992</v>
      </c>
      <c r="G3184" s="26"/>
    </row>
    <row r="3185" spans="1:8" x14ac:dyDescent="0.25">
      <c r="A3185" s="204">
        <v>43022</v>
      </c>
      <c r="B3185" s="26" t="s">
        <v>61</v>
      </c>
      <c r="C3185" s="26" t="s">
        <v>2456</v>
      </c>
      <c r="D3185" s="8">
        <v>1000</v>
      </c>
      <c r="E3185" s="8"/>
      <c r="F3185" s="91">
        <f t="shared" si="45"/>
        <v>-12992</v>
      </c>
      <c r="G3185" s="26"/>
    </row>
    <row r="3186" spans="1:8" x14ac:dyDescent="0.25">
      <c r="A3186" s="204">
        <v>43022</v>
      </c>
      <c r="B3186" s="460" t="s">
        <v>2448</v>
      </c>
      <c r="C3186" s="460"/>
      <c r="D3186" s="71"/>
      <c r="E3186" s="58">
        <v>8000</v>
      </c>
      <c r="F3186" s="91">
        <f t="shared" si="45"/>
        <v>-4992</v>
      </c>
      <c r="G3186" s="26"/>
    </row>
    <row r="3187" spans="1:8" x14ac:dyDescent="0.25">
      <c r="A3187" s="204">
        <v>43022</v>
      </c>
      <c r="B3187" s="26" t="s">
        <v>2451</v>
      </c>
      <c r="C3187" s="26" t="s">
        <v>41</v>
      </c>
      <c r="D3187" s="8">
        <v>18000</v>
      </c>
      <c r="E3187" s="8"/>
      <c r="F3187" s="91">
        <f t="shared" si="45"/>
        <v>-22992</v>
      </c>
      <c r="G3187" s="26"/>
    </row>
    <row r="3188" spans="1:8" ht="30" x14ac:dyDescent="0.25">
      <c r="A3188" s="204">
        <v>43022</v>
      </c>
      <c r="B3188" s="26" t="s">
        <v>26</v>
      </c>
      <c r="C3188" s="87" t="s">
        <v>2457</v>
      </c>
      <c r="D3188" s="8">
        <v>1315</v>
      </c>
      <c r="E3188" s="8"/>
      <c r="F3188" s="91">
        <f t="shared" si="45"/>
        <v>-24307</v>
      </c>
      <c r="G3188" s="26"/>
    </row>
    <row r="3189" spans="1:8" x14ac:dyDescent="0.25">
      <c r="A3189" s="204">
        <v>43024</v>
      </c>
      <c r="B3189" s="26" t="s">
        <v>61</v>
      </c>
      <c r="C3189" s="26" t="s">
        <v>295</v>
      </c>
      <c r="D3189" s="8">
        <v>500</v>
      </c>
      <c r="E3189" s="8"/>
      <c r="F3189" s="91">
        <f t="shared" si="45"/>
        <v>-24807</v>
      </c>
      <c r="G3189" s="26"/>
      <c r="H3189" s="229"/>
    </row>
    <row r="3190" spans="1:8" x14ac:dyDescent="0.25">
      <c r="A3190" s="204">
        <v>43024</v>
      </c>
      <c r="B3190" s="460" t="s">
        <v>2435</v>
      </c>
      <c r="C3190" s="460"/>
      <c r="D3190" s="71"/>
      <c r="E3190" s="58">
        <v>50000</v>
      </c>
      <c r="F3190" s="91">
        <f t="shared" si="45"/>
        <v>25193</v>
      </c>
      <c r="G3190" s="26"/>
    </row>
    <row r="3191" spans="1:8" x14ac:dyDescent="0.25">
      <c r="A3191" s="204">
        <v>43024</v>
      </c>
      <c r="B3191" s="26" t="s">
        <v>1840</v>
      </c>
      <c r="C3191" s="26" t="s">
        <v>2458</v>
      </c>
      <c r="D3191" s="8">
        <v>2000</v>
      </c>
      <c r="E3191" s="8"/>
      <c r="F3191" s="91">
        <f t="shared" si="45"/>
        <v>23193</v>
      </c>
      <c r="G3191" s="26"/>
    </row>
    <row r="3192" spans="1:8" x14ac:dyDescent="0.25">
      <c r="A3192" s="204">
        <v>43024</v>
      </c>
      <c r="B3192" s="26" t="s">
        <v>61</v>
      </c>
      <c r="C3192" s="26" t="s">
        <v>32</v>
      </c>
      <c r="D3192" s="8">
        <v>1000</v>
      </c>
      <c r="E3192" s="8"/>
      <c r="F3192" s="91">
        <f t="shared" si="45"/>
        <v>22193</v>
      </c>
      <c r="G3192" s="199"/>
    </row>
    <row r="3193" spans="1:8" ht="45" x14ac:dyDescent="0.25">
      <c r="A3193" s="204">
        <v>43024</v>
      </c>
      <c r="B3193" s="199" t="s">
        <v>59</v>
      </c>
      <c r="C3193" s="207" t="s">
        <v>2459</v>
      </c>
      <c r="D3193" s="91">
        <v>300</v>
      </c>
      <c r="E3193" s="91"/>
      <c r="F3193" s="91">
        <f t="shared" si="45"/>
        <v>21893</v>
      </c>
      <c r="G3193" s="199"/>
    </row>
    <row r="3194" spans="1:8" x14ac:dyDescent="0.25">
      <c r="A3194" s="204">
        <v>43024</v>
      </c>
      <c r="B3194" s="205" t="s">
        <v>14</v>
      </c>
      <c r="C3194" s="205" t="s">
        <v>32</v>
      </c>
      <c r="D3194" s="92">
        <v>5000</v>
      </c>
      <c r="E3194" s="91"/>
      <c r="F3194" s="91">
        <f t="shared" si="45"/>
        <v>16893</v>
      </c>
      <c r="G3194" s="199"/>
    </row>
    <row r="3195" spans="1:8" x14ac:dyDescent="0.25">
      <c r="A3195" s="204">
        <v>43024</v>
      </c>
      <c r="B3195" s="199" t="s">
        <v>2099</v>
      </c>
      <c r="C3195" s="199" t="s">
        <v>32</v>
      </c>
      <c r="D3195" s="91">
        <v>10000</v>
      </c>
      <c r="E3195" s="91"/>
      <c r="F3195" s="91">
        <f t="shared" si="45"/>
        <v>6893</v>
      </c>
      <c r="G3195" s="199"/>
    </row>
    <row r="3196" spans="1:8" ht="30" x14ac:dyDescent="0.25">
      <c r="A3196" s="204">
        <v>43024</v>
      </c>
      <c r="B3196" s="199" t="s">
        <v>1790</v>
      </c>
      <c r="C3196" s="207" t="s">
        <v>2460</v>
      </c>
      <c r="D3196" s="91">
        <v>1200</v>
      </c>
      <c r="E3196" s="91"/>
      <c r="F3196" s="91">
        <f t="shared" si="45"/>
        <v>5693</v>
      </c>
      <c r="G3196" s="199"/>
    </row>
    <row r="3197" spans="1:8" x14ac:dyDescent="0.25">
      <c r="A3197" s="204">
        <v>43024</v>
      </c>
      <c r="B3197" s="199" t="s">
        <v>55</v>
      </c>
      <c r="C3197" s="199" t="s">
        <v>2461</v>
      </c>
      <c r="D3197" s="91">
        <v>8000</v>
      </c>
      <c r="E3197" s="91"/>
      <c r="F3197" s="91">
        <f t="shared" si="45"/>
        <v>-2307</v>
      </c>
      <c r="G3197" s="199"/>
    </row>
    <row r="3198" spans="1:8" x14ac:dyDescent="0.25">
      <c r="A3198" s="204">
        <v>43025</v>
      </c>
      <c r="B3198" s="205" t="s">
        <v>14</v>
      </c>
      <c r="C3198" s="205" t="s">
        <v>32</v>
      </c>
      <c r="D3198" s="92">
        <v>9000</v>
      </c>
      <c r="E3198" s="91"/>
      <c r="F3198" s="91">
        <f t="shared" si="45"/>
        <v>-11307</v>
      </c>
      <c r="G3198" s="199"/>
    </row>
    <row r="3199" spans="1:8" x14ac:dyDescent="0.25">
      <c r="A3199" s="204">
        <v>43025</v>
      </c>
      <c r="B3199" s="199" t="s">
        <v>2106</v>
      </c>
      <c r="C3199" s="199" t="s">
        <v>2462</v>
      </c>
      <c r="D3199" s="91">
        <v>100</v>
      </c>
      <c r="E3199" s="91"/>
      <c r="F3199" s="91">
        <f t="shared" si="45"/>
        <v>-11407</v>
      </c>
      <c r="G3199" s="199"/>
    </row>
    <row r="3200" spans="1:8" x14ac:dyDescent="0.25">
      <c r="A3200" s="204">
        <v>43025</v>
      </c>
      <c r="B3200" s="199" t="s">
        <v>85</v>
      </c>
      <c r="C3200" s="199" t="s">
        <v>2463</v>
      </c>
      <c r="D3200" s="91">
        <v>1000</v>
      </c>
      <c r="E3200" s="91"/>
      <c r="F3200" s="91">
        <f t="shared" si="45"/>
        <v>-12407</v>
      </c>
      <c r="G3200" s="199"/>
    </row>
    <row r="3201" spans="1:7" x14ac:dyDescent="0.25">
      <c r="A3201" s="204">
        <v>43026</v>
      </c>
      <c r="B3201" s="460" t="s">
        <v>2435</v>
      </c>
      <c r="C3201" s="460"/>
      <c r="D3201" s="71"/>
      <c r="E3201" s="58">
        <v>50000</v>
      </c>
      <c r="F3201" s="91">
        <f t="shared" si="45"/>
        <v>37593</v>
      </c>
      <c r="G3201" s="199"/>
    </row>
    <row r="3202" spans="1:7" x14ac:dyDescent="0.25">
      <c r="A3202" s="204">
        <v>43026</v>
      </c>
      <c r="B3202" s="199" t="s">
        <v>1790</v>
      </c>
      <c r="C3202" s="199" t="s">
        <v>2464</v>
      </c>
      <c r="D3202" s="91">
        <v>700</v>
      </c>
      <c r="E3202" s="91"/>
      <c r="F3202" s="91">
        <f t="shared" si="45"/>
        <v>36893</v>
      </c>
      <c r="G3202" s="199"/>
    </row>
    <row r="3203" spans="1:7" x14ac:dyDescent="0.25">
      <c r="A3203" s="204">
        <v>43026</v>
      </c>
      <c r="B3203" s="199" t="s">
        <v>26</v>
      </c>
      <c r="C3203" s="199" t="s">
        <v>2465</v>
      </c>
      <c r="D3203" s="91">
        <v>700</v>
      </c>
      <c r="E3203" s="91"/>
      <c r="F3203" s="91">
        <f t="shared" si="45"/>
        <v>36193</v>
      </c>
      <c r="G3203" s="199"/>
    </row>
    <row r="3204" spans="1:7" ht="30" x14ac:dyDescent="0.25">
      <c r="A3204" s="204">
        <v>43026</v>
      </c>
      <c r="B3204" s="205" t="s">
        <v>59</v>
      </c>
      <c r="C3204" s="206" t="s">
        <v>2466</v>
      </c>
      <c r="D3204" s="92">
        <v>400</v>
      </c>
      <c r="E3204" s="91"/>
      <c r="F3204" s="91">
        <f t="shared" si="45"/>
        <v>35793</v>
      </c>
      <c r="G3204" s="199"/>
    </row>
    <row r="3205" spans="1:7" ht="45" x14ac:dyDescent="0.25">
      <c r="A3205" s="204">
        <v>43026</v>
      </c>
      <c r="B3205" s="199" t="s">
        <v>26</v>
      </c>
      <c r="C3205" s="207" t="s">
        <v>2467</v>
      </c>
      <c r="D3205" s="91">
        <v>2900</v>
      </c>
      <c r="E3205" s="91"/>
      <c r="F3205" s="91">
        <f t="shared" si="45"/>
        <v>32893</v>
      </c>
      <c r="G3205" s="199"/>
    </row>
    <row r="3206" spans="1:7" ht="30" x14ac:dyDescent="0.25">
      <c r="A3206" s="204">
        <v>43026</v>
      </c>
      <c r="B3206" s="26" t="s">
        <v>2227</v>
      </c>
      <c r="C3206" s="87" t="s">
        <v>2468</v>
      </c>
      <c r="D3206" s="8">
        <v>500</v>
      </c>
      <c r="E3206" s="8"/>
      <c r="F3206" s="91">
        <f t="shared" si="45"/>
        <v>32393</v>
      </c>
      <c r="G3206" s="199"/>
    </row>
    <row r="3207" spans="1:7" x14ac:dyDescent="0.25">
      <c r="A3207" s="204">
        <v>43026</v>
      </c>
      <c r="B3207" s="26" t="s">
        <v>2128</v>
      </c>
      <c r="C3207" s="26" t="s">
        <v>2469</v>
      </c>
      <c r="D3207" s="8">
        <v>5000</v>
      </c>
      <c r="E3207" s="8"/>
      <c r="F3207" s="91">
        <f t="shared" si="45"/>
        <v>27393</v>
      </c>
      <c r="G3207" s="26"/>
    </row>
    <row r="3208" spans="1:7" x14ac:dyDescent="0.25">
      <c r="A3208" s="204">
        <v>43026</v>
      </c>
      <c r="B3208" s="180" t="s">
        <v>2162</v>
      </c>
      <c r="C3208" s="180" t="s">
        <v>2470</v>
      </c>
      <c r="D3208" s="57">
        <v>1000</v>
      </c>
      <c r="E3208" s="8"/>
      <c r="F3208" s="91">
        <f t="shared" si="45"/>
        <v>26393</v>
      </c>
      <c r="G3208" s="26"/>
    </row>
    <row r="3209" spans="1:7" x14ac:dyDescent="0.25">
      <c r="A3209" s="204">
        <v>43026</v>
      </c>
      <c r="B3209" s="26" t="s">
        <v>85</v>
      </c>
      <c r="C3209" s="26" t="s">
        <v>2471</v>
      </c>
      <c r="D3209" s="8">
        <v>10000</v>
      </c>
      <c r="E3209" s="8"/>
      <c r="F3209" s="91">
        <f t="shared" si="45"/>
        <v>16393</v>
      </c>
      <c r="G3209" s="26"/>
    </row>
    <row r="3210" spans="1:7" x14ac:dyDescent="0.25">
      <c r="A3210" s="204">
        <v>43027</v>
      </c>
      <c r="B3210" s="26" t="s">
        <v>1619</v>
      </c>
      <c r="C3210" s="26" t="s">
        <v>2473</v>
      </c>
      <c r="D3210" s="8">
        <v>18150</v>
      </c>
      <c r="E3210" s="8"/>
      <c r="F3210" s="91">
        <f t="shared" si="45"/>
        <v>-1757</v>
      </c>
      <c r="G3210" s="26"/>
    </row>
    <row r="3211" spans="1:7" x14ac:dyDescent="0.25">
      <c r="A3211" s="204">
        <v>43027</v>
      </c>
      <c r="B3211" s="26" t="s">
        <v>248</v>
      </c>
      <c r="C3211" s="26" t="s">
        <v>2472</v>
      </c>
      <c r="D3211" s="8">
        <v>1860</v>
      </c>
      <c r="E3211" s="8"/>
      <c r="F3211" s="91">
        <f t="shared" si="45"/>
        <v>-3617</v>
      </c>
      <c r="G3211" s="26"/>
    </row>
    <row r="3212" spans="1:7" x14ac:dyDescent="0.25">
      <c r="A3212" s="204">
        <v>43027</v>
      </c>
      <c r="B3212" s="26" t="s">
        <v>26</v>
      </c>
      <c r="C3212" s="26" t="s">
        <v>2286</v>
      </c>
      <c r="D3212" s="8">
        <v>140</v>
      </c>
      <c r="E3212" s="8"/>
      <c r="F3212" s="91">
        <f t="shared" si="45"/>
        <v>-3757</v>
      </c>
      <c r="G3212" s="26"/>
    </row>
    <row r="3213" spans="1:7" x14ac:dyDescent="0.25">
      <c r="A3213" s="204">
        <v>43027</v>
      </c>
      <c r="B3213" s="460" t="s">
        <v>2474</v>
      </c>
      <c r="C3213" s="460"/>
      <c r="D3213" s="71"/>
      <c r="E3213" s="58">
        <v>100000</v>
      </c>
      <c r="F3213" s="91">
        <v>100000</v>
      </c>
      <c r="G3213" s="26"/>
    </row>
    <row r="3214" spans="1:7" x14ac:dyDescent="0.25">
      <c r="A3214" s="204">
        <v>43027</v>
      </c>
      <c r="B3214" s="26" t="s">
        <v>17</v>
      </c>
      <c r="C3214" s="26" t="s">
        <v>32</v>
      </c>
      <c r="D3214" s="8">
        <v>30000</v>
      </c>
      <c r="E3214" s="8"/>
      <c r="F3214" s="91">
        <f t="shared" si="45"/>
        <v>70000</v>
      </c>
      <c r="G3214" s="26"/>
    </row>
    <row r="3215" spans="1:7" x14ac:dyDescent="0.25">
      <c r="A3215" s="204">
        <v>43027</v>
      </c>
      <c r="B3215" s="26" t="s">
        <v>2333</v>
      </c>
      <c r="C3215" s="26" t="s">
        <v>2475</v>
      </c>
      <c r="D3215" s="8">
        <v>5000</v>
      </c>
      <c r="E3215" s="8"/>
      <c r="F3215" s="91">
        <f t="shared" si="45"/>
        <v>65000</v>
      </c>
      <c r="G3215" s="26"/>
    </row>
    <row r="3216" spans="1:7" ht="30" x14ac:dyDescent="0.25">
      <c r="A3216" s="204">
        <v>43027</v>
      </c>
      <c r="B3216" s="26" t="s">
        <v>26</v>
      </c>
      <c r="C3216" s="87" t="s">
        <v>2476</v>
      </c>
      <c r="D3216" s="8">
        <v>2050</v>
      </c>
      <c r="E3216" s="8"/>
      <c r="F3216" s="91">
        <f t="shared" si="45"/>
        <v>62950</v>
      </c>
      <c r="G3216" s="26"/>
    </row>
    <row r="3217" spans="1:7" x14ac:dyDescent="0.25">
      <c r="A3217" s="204">
        <v>43027</v>
      </c>
      <c r="B3217" s="29" t="s">
        <v>57</v>
      </c>
      <c r="C3217" s="89" t="s">
        <v>2612</v>
      </c>
      <c r="D3217" s="14">
        <v>680</v>
      </c>
      <c r="E3217" s="8"/>
      <c r="F3217" s="91">
        <f t="shared" si="45"/>
        <v>62270</v>
      </c>
      <c r="G3217" s="26"/>
    </row>
    <row r="3218" spans="1:7" x14ac:dyDescent="0.25">
      <c r="A3218" s="204">
        <v>43027</v>
      </c>
      <c r="B3218" s="180" t="s">
        <v>57</v>
      </c>
      <c r="C3218" s="180" t="s">
        <v>2611</v>
      </c>
      <c r="D3218" s="57">
        <v>1000</v>
      </c>
      <c r="E3218" s="8"/>
      <c r="F3218" s="91">
        <f t="shared" si="45"/>
        <v>61270</v>
      </c>
      <c r="G3218" s="26"/>
    </row>
    <row r="3219" spans="1:7" x14ac:dyDescent="0.25">
      <c r="A3219" s="204">
        <v>43027</v>
      </c>
      <c r="B3219" s="26" t="s">
        <v>2207</v>
      </c>
      <c r="C3219" s="26" t="s">
        <v>2483</v>
      </c>
      <c r="D3219" s="8">
        <v>13000</v>
      </c>
      <c r="E3219" s="8"/>
      <c r="F3219" s="91">
        <f t="shared" si="45"/>
        <v>48270</v>
      </c>
      <c r="G3219" s="26"/>
    </row>
    <row r="3220" spans="1:7" x14ac:dyDescent="0.25">
      <c r="A3220" s="204">
        <v>43027</v>
      </c>
      <c r="B3220" s="26" t="s">
        <v>1346</v>
      </c>
      <c r="C3220" s="26" t="s">
        <v>2477</v>
      </c>
      <c r="D3220" s="8">
        <v>1000</v>
      </c>
      <c r="E3220" s="8"/>
      <c r="F3220" s="91">
        <f t="shared" si="45"/>
        <v>47270</v>
      </c>
      <c r="G3220" s="26"/>
    </row>
    <row r="3221" spans="1:7" x14ac:dyDescent="0.25">
      <c r="A3221" s="204">
        <v>43027</v>
      </c>
      <c r="B3221" s="26" t="s">
        <v>55</v>
      </c>
      <c r="C3221" s="26" t="s">
        <v>2478</v>
      </c>
      <c r="D3221" s="8">
        <v>3000</v>
      </c>
      <c r="E3221" s="8"/>
      <c r="F3221" s="91">
        <f t="shared" si="45"/>
        <v>44270</v>
      </c>
      <c r="G3221" s="26"/>
    </row>
    <row r="3222" spans="1:7" x14ac:dyDescent="0.25">
      <c r="A3222" s="204">
        <v>43027</v>
      </c>
      <c r="B3222" s="29" t="s">
        <v>14</v>
      </c>
      <c r="C3222" s="29" t="s">
        <v>2484</v>
      </c>
      <c r="D3222" s="14">
        <v>25000</v>
      </c>
      <c r="E3222" s="8"/>
      <c r="F3222" s="91">
        <f t="shared" si="45"/>
        <v>19270</v>
      </c>
      <c r="G3222" s="26"/>
    </row>
    <row r="3223" spans="1:7" x14ac:dyDescent="0.25">
      <c r="A3223" s="204">
        <v>43027</v>
      </c>
      <c r="B3223" s="26" t="s">
        <v>85</v>
      </c>
      <c r="C3223" s="26" t="s">
        <v>2479</v>
      </c>
      <c r="D3223" s="8">
        <v>500</v>
      </c>
      <c r="E3223" s="8"/>
      <c r="F3223" s="91">
        <f t="shared" si="45"/>
        <v>18770</v>
      </c>
      <c r="G3223" s="26"/>
    </row>
    <row r="3224" spans="1:7" ht="30" x14ac:dyDescent="0.25">
      <c r="A3224" s="204">
        <v>43028</v>
      </c>
      <c r="B3224" s="29" t="s">
        <v>59</v>
      </c>
      <c r="C3224" s="89" t="s">
        <v>2482</v>
      </c>
      <c r="D3224" s="14">
        <v>600</v>
      </c>
      <c r="E3224" s="8"/>
      <c r="F3224" s="91">
        <f t="shared" si="45"/>
        <v>18170</v>
      </c>
      <c r="G3224" s="26"/>
    </row>
    <row r="3225" spans="1:7" x14ac:dyDescent="0.25">
      <c r="A3225" s="204">
        <v>43028</v>
      </c>
      <c r="B3225" s="26" t="s">
        <v>26</v>
      </c>
      <c r="C3225" s="26" t="s">
        <v>2480</v>
      </c>
      <c r="D3225" s="8">
        <v>120</v>
      </c>
      <c r="E3225" s="8"/>
      <c r="F3225" s="91">
        <f t="shared" si="45"/>
        <v>18050</v>
      </c>
      <c r="G3225" s="26"/>
    </row>
    <row r="3226" spans="1:7" x14ac:dyDescent="0.25">
      <c r="A3226" s="204">
        <v>43028</v>
      </c>
      <c r="B3226" s="26" t="s">
        <v>61</v>
      </c>
      <c r="C3226" s="26" t="s">
        <v>2481</v>
      </c>
      <c r="D3226" s="8">
        <v>200</v>
      </c>
      <c r="E3226" s="8"/>
      <c r="F3226" s="91">
        <f t="shared" si="45"/>
        <v>17850</v>
      </c>
      <c r="G3226" s="26"/>
    </row>
    <row r="3227" spans="1:7" x14ac:dyDescent="0.25">
      <c r="A3227" s="204">
        <v>43028</v>
      </c>
      <c r="B3227" s="29" t="s">
        <v>89</v>
      </c>
      <c r="C3227" s="29" t="s">
        <v>2502</v>
      </c>
      <c r="D3227" s="14">
        <v>7000</v>
      </c>
      <c r="E3227" s="8"/>
      <c r="F3227" s="91">
        <f t="shared" si="45"/>
        <v>10850</v>
      </c>
      <c r="G3227" s="26"/>
    </row>
    <row r="3228" spans="1:7" x14ac:dyDescent="0.25">
      <c r="A3228" s="204">
        <v>43028</v>
      </c>
      <c r="B3228" s="29" t="s">
        <v>17</v>
      </c>
      <c r="C3228" s="29" t="s">
        <v>2502</v>
      </c>
      <c r="D3228" s="14">
        <v>6000</v>
      </c>
      <c r="E3228" s="8"/>
      <c r="F3228" s="91">
        <f t="shared" si="45"/>
        <v>4850</v>
      </c>
      <c r="G3228" s="26"/>
    </row>
    <row r="3229" spans="1:7" x14ac:dyDescent="0.25">
      <c r="A3229" s="204">
        <v>43028</v>
      </c>
      <c r="B3229" s="26" t="s">
        <v>2485</v>
      </c>
      <c r="C3229" s="26" t="s">
        <v>2486</v>
      </c>
      <c r="D3229" s="8">
        <v>2000</v>
      </c>
      <c r="E3229" s="8"/>
      <c r="F3229" s="91">
        <f t="shared" si="45"/>
        <v>2850</v>
      </c>
      <c r="G3229" s="26"/>
    </row>
    <row r="3230" spans="1:7" x14ac:dyDescent="0.25">
      <c r="A3230" s="204">
        <v>43028</v>
      </c>
      <c r="B3230" s="26" t="s">
        <v>61</v>
      </c>
      <c r="C3230" s="26" t="s">
        <v>32</v>
      </c>
      <c r="D3230" s="8">
        <v>500</v>
      </c>
      <c r="E3230" s="8"/>
      <c r="F3230" s="91">
        <f t="shared" si="45"/>
        <v>2350</v>
      </c>
      <c r="G3230" s="26"/>
    </row>
    <row r="3231" spans="1:7" x14ac:dyDescent="0.25">
      <c r="A3231" s="204">
        <v>43028</v>
      </c>
      <c r="B3231" s="26" t="s">
        <v>26</v>
      </c>
      <c r="C3231" s="26" t="s">
        <v>2487</v>
      </c>
      <c r="D3231" s="8">
        <v>100</v>
      </c>
      <c r="E3231" s="8"/>
      <c r="F3231" s="91">
        <f t="shared" si="45"/>
        <v>2250</v>
      </c>
      <c r="G3231" s="26"/>
    </row>
    <row r="3232" spans="1:7" ht="30" x14ac:dyDescent="0.25">
      <c r="A3232" s="204">
        <v>43031</v>
      </c>
      <c r="B3232" s="26" t="s">
        <v>26</v>
      </c>
      <c r="C3232" s="87" t="s">
        <v>2488</v>
      </c>
      <c r="D3232" s="8">
        <v>2460</v>
      </c>
      <c r="E3232" s="8"/>
      <c r="F3232" s="91">
        <f t="shared" si="45"/>
        <v>-210</v>
      </c>
      <c r="G3232" s="26"/>
    </row>
    <row r="3233" spans="1:7" x14ac:dyDescent="0.25">
      <c r="A3233" s="204"/>
      <c r="B3233" s="460" t="s">
        <v>2492</v>
      </c>
      <c r="C3233" s="460"/>
      <c r="D3233" s="71"/>
      <c r="E3233" s="58">
        <v>100000</v>
      </c>
      <c r="F3233" s="91">
        <f t="shared" si="45"/>
        <v>99790</v>
      </c>
      <c r="G3233" s="26"/>
    </row>
    <row r="3234" spans="1:7" x14ac:dyDescent="0.25">
      <c r="A3234" s="204">
        <v>43031</v>
      </c>
      <c r="B3234" s="26" t="s">
        <v>26</v>
      </c>
      <c r="C3234" s="26" t="s">
        <v>2489</v>
      </c>
      <c r="D3234" s="8">
        <v>220</v>
      </c>
      <c r="E3234" s="8"/>
      <c r="F3234" s="91">
        <f t="shared" si="45"/>
        <v>99570</v>
      </c>
      <c r="G3234" s="26"/>
    </row>
    <row r="3235" spans="1:7" x14ac:dyDescent="0.25">
      <c r="A3235" s="204">
        <v>43031</v>
      </c>
      <c r="B3235" s="29" t="s">
        <v>61</v>
      </c>
      <c r="C3235" s="29" t="s">
        <v>32</v>
      </c>
      <c r="D3235" s="14">
        <v>1000</v>
      </c>
      <c r="E3235" s="8"/>
      <c r="F3235" s="91">
        <f t="shared" si="45"/>
        <v>98570</v>
      </c>
      <c r="G3235" s="26"/>
    </row>
    <row r="3236" spans="1:7" x14ac:dyDescent="0.25">
      <c r="A3236" s="204">
        <v>43031</v>
      </c>
      <c r="B3236" s="26" t="s">
        <v>1077</v>
      </c>
      <c r="C3236" s="26" t="s">
        <v>2490</v>
      </c>
      <c r="D3236" s="8">
        <f>24303+16458</f>
        <v>40761</v>
      </c>
      <c r="E3236" s="8"/>
      <c r="F3236" s="91">
        <f t="shared" si="45"/>
        <v>57809</v>
      </c>
      <c r="G3236" s="26"/>
    </row>
    <row r="3237" spans="1:7" x14ac:dyDescent="0.25">
      <c r="A3237" s="204">
        <v>43031</v>
      </c>
      <c r="B3237" s="26" t="s">
        <v>542</v>
      </c>
      <c r="C3237" s="26" t="s">
        <v>2491</v>
      </c>
      <c r="D3237" s="8">
        <v>37632</v>
      </c>
      <c r="E3237" s="8"/>
      <c r="F3237" s="91">
        <f t="shared" si="45"/>
        <v>20177</v>
      </c>
      <c r="G3237" s="26"/>
    </row>
    <row r="3238" spans="1:7" x14ac:dyDescent="0.25">
      <c r="A3238" s="204">
        <v>43031</v>
      </c>
      <c r="B3238" s="29" t="s">
        <v>26</v>
      </c>
      <c r="C3238" s="29" t="s">
        <v>2493</v>
      </c>
      <c r="D3238" s="14">
        <v>88</v>
      </c>
      <c r="E3238" s="8"/>
      <c r="F3238" s="91">
        <f t="shared" si="45"/>
        <v>20089</v>
      </c>
      <c r="G3238" s="26"/>
    </row>
    <row r="3239" spans="1:7" ht="30" x14ac:dyDescent="0.25">
      <c r="A3239" s="204">
        <v>43031</v>
      </c>
      <c r="B3239" s="199" t="s">
        <v>59</v>
      </c>
      <c r="C3239" s="207" t="s">
        <v>2494</v>
      </c>
      <c r="D3239" s="91">
        <v>460</v>
      </c>
      <c r="E3239" s="91"/>
      <c r="F3239" s="91">
        <f t="shared" si="45"/>
        <v>19629</v>
      </c>
      <c r="G3239" s="199"/>
    </row>
    <row r="3240" spans="1:7" x14ac:dyDescent="0.25">
      <c r="A3240" s="204">
        <v>43031</v>
      </c>
      <c r="B3240" s="26" t="s">
        <v>1346</v>
      </c>
      <c r="C3240" s="26" t="s">
        <v>295</v>
      </c>
      <c r="D3240" s="8">
        <v>5000</v>
      </c>
      <c r="E3240" s="8"/>
      <c r="F3240" s="91">
        <f t="shared" si="45"/>
        <v>14629</v>
      </c>
      <c r="G3240" s="26"/>
    </row>
    <row r="3241" spans="1:7" x14ac:dyDescent="0.25">
      <c r="A3241" s="204">
        <v>43031</v>
      </c>
      <c r="B3241" s="26" t="s">
        <v>2349</v>
      </c>
      <c r="C3241" s="26" t="s">
        <v>2495</v>
      </c>
      <c r="D3241" s="8">
        <v>2500</v>
      </c>
      <c r="E3241" s="8"/>
      <c r="F3241" s="91">
        <f t="shared" si="45"/>
        <v>12129</v>
      </c>
      <c r="G3241" s="26"/>
    </row>
    <row r="3242" spans="1:7" x14ac:dyDescent="0.25">
      <c r="A3242" s="204">
        <v>43031</v>
      </c>
      <c r="B3242" s="26" t="s">
        <v>0</v>
      </c>
      <c r="C3242" s="26" t="s">
        <v>32</v>
      </c>
      <c r="D3242" s="8">
        <v>1000</v>
      </c>
      <c r="E3242" s="8"/>
      <c r="F3242" s="91">
        <f t="shared" si="45"/>
        <v>11129</v>
      </c>
      <c r="G3242" s="26"/>
    </row>
    <row r="3243" spans="1:7" x14ac:dyDescent="0.25">
      <c r="A3243" s="204">
        <v>43032</v>
      </c>
      <c r="B3243" s="26" t="s">
        <v>17</v>
      </c>
      <c r="C3243" s="26" t="s">
        <v>295</v>
      </c>
      <c r="D3243" s="8">
        <v>4000</v>
      </c>
      <c r="E3243" s="8"/>
      <c r="F3243" s="91">
        <f t="shared" si="45"/>
        <v>7129</v>
      </c>
      <c r="G3243" s="26"/>
    </row>
    <row r="3244" spans="1:7" x14ac:dyDescent="0.25">
      <c r="A3244" s="204">
        <v>43032</v>
      </c>
      <c r="B3244" s="26" t="s">
        <v>2106</v>
      </c>
      <c r="C3244" s="26" t="s">
        <v>2496</v>
      </c>
      <c r="D3244" s="8">
        <v>3500</v>
      </c>
      <c r="E3244" s="8"/>
      <c r="F3244" s="91">
        <f t="shared" si="45"/>
        <v>3629</v>
      </c>
      <c r="G3244" s="26"/>
    </row>
    <row r="3245" spans="1:7" x14ac:dyDescent="0.25">
      <c r="A3245" s="204">
        <v>43032</v>
      </c>
      <c r="B3245" s="26" t="s">
        <v>17</v>
      </c>
      <c r="C3245" s="26" t="s">
        <v>2500</v>
      </c>
      <c r="D3245" s="8">
        <v>3650</v>
      </c>
      <c r="E3245" s="8"/>
      <c r="F3245" s="91">
        <f t="shared" si="45"/>
        <v>-21</v>
      </c>
      <c r="G3245" s="26"/>
    </row>
    <row r="3246" spans="1:7" x14ac:dyDescent="0.25">
      <c r="A3246" s="204">
        <v>43033</v>
      </c>
      <c r="B3246" s="460" t="s">
        <v>2497</v>
      </c>
      <c r="C3246" s="460"/>
      <c r="D3246" s="71"/>
      <c r="E3246" s="58">
        <v>50000</v>
      </c>
      <c r="F3246" s="91">
        <f t="shared" si="45"/>
        <v>49979</v>
      </c>
      <c r="G3246" s="26"/>
    </row>
    <row r="3247" spans="1:7" x14ac:dyDescent="0.25">
      <c r="A3247" s="204">
        <v>43033</v>
      </c>
      <c r="B3247" s="29" t="s">
        <v>17</v>
      </c>
      <c r="C3247" s="29" t="s">
        <v>295</v>
      </c>
      <c r="D3247" s="14">
        <v>20000</v>
      </c>
      <c r="E3247" s="8"/>
      <c r="F3247" s="91">
        <f t="shared" si="45"/>
        <v>29979</v>
      </c>
      <c r="G3247" s="26"/>
    </row>
    <row r="3248" spans="1:7" x14ac:dyDescent="0.25">
      <c r="A3248" s="204">
        <v>43033</v>
      </c>
      <c r="B3248" s="26" t="s">
        <v>542</v>
      </c>
      <c r="C3248" s="26" t="s">
        <v>2498</v>
      </c>
      <c r="D3248" s="8">
        <v>300</v>
      </c>
      <c r="E3248" s="8"/>
      <c r="F3248" s="91">
        <f t="shared" si="45"/>
        <v>29679</v>
      </c>
      <c r="G3248" s="26"/>
    </row>
    <row r="3249" spans="1:7" x14ac:dyDescent="0.25">
      <c r="A3249" s="204">
        <v>43033</v>
      </c>
      <c r="B3249" s="26" t="s">
        <v>98</v>
      </c>
      <c r="C3249" s="26" t="s">
        <v>2499</v>
      </c>
      <c r="D3249" s="8">
        <v>2100</v>
      </c>
      <c r="E3249" s="8"/>
      <c r="F3249" s="91">
        <f t="shared" si="45"/>
        <v>27579</v>
      </c>
      <c r="G3249" s="26"/>
    </row>
    <row r="3250" spans="1:7" x14ac:dyDescent="0.25">
      <c r="A3250" s="204">
        <v>43032</v>
      </c>
      <c r="B3250" s="29" t="s">
        <v>2106</v>
      </c>
      <c r="C3250" s="29" t="s">
        <v>32</v>
      </c>
      <c r="D3250" s="14">
        <v>270</v>
      </c>
      <c r="E3250" s="8"/>
      <c r="F3250" s="91">
        <f t="shared" si="45"/>
        <v>27309</v>
      </c>
      <c r="G3250" s="26"/>
    </row>
    <row r="3251" spans="1:7" x14ac:dyDescent="0.25">
      <c r="A3251" s="204">
        <v>43034</v>
      </c>
      <c r="B3251" s="26" t="s">
        <v>61</v>
      </c>
      <c r="C3251" s="26" t="s">
        <v>2501</v>
      </c>
      <c r="D3251" s="8">
        <v>15000</v>
      </c>
      <c r="E3251" s="8"/>
      <c r="F3251" s="91">
        <f t="shared" si="45"/>
        <v>12309</v>
      </c>
      <c r="G3251" s="26"/>
    </row>
    <row r="3252" spans="1:7" x14ac:dyDescent="0.25">
      <c r="A3252" s="204">
        <v>43034</v>
      </c>
      <c r="B3252" s="26" t="s">
        <v>61</v>
      </c>
      <c r="C3252" s="26" t="s">
        <v>32</v>
      </c>
      <c r="D3252" s="8">
        <v>1000</v>
      </c>
      <c r="E3252" s="8"/>
      <c r="F3252" s="91">
        <f t="shared" si="45"/>
        <v>11309</v>
      </c>
      <c r="G3252" s="26"/>
    </row>
    <row r="3253" spans="1:7" x14ac:dyDescent="0.25">
      <c r="A3253" s="204">
        <v>43034</v>
      </c>
      <c r="B3253" s="26" t="s">
        <v>61</v>
      </c>
      <c r="C3253" s="26" t="s">
        <v>32</v>
      </c>
      <c r="D3253" s="8">
        <v>5300</v>
      </c>
      <c r="E3253" s="8"/>
      <c r="F3253" s="91">
        <f t="shared" si="45"/>
        <v>6009</v>
      </c>
      <c r="G3253" s="26"/>
    </row>
    <row r="3254" spans="1:7" x14ac:dyDescent="0.25">
      <c r="A3254" s="204">
        <v>43034</v>
      </c>
      <c r="B3254" s="26" t="s">
        <v>61</v>
      </c>
      <c r="C3254" s="26" t="s">
        <v>32</v>
      </c>
      <c r="D3254" s="57">
        <v>6000</v>
      </c>
      <c r="E3254" s="8"/>
      <c r="F3254" s="91">
        <f t="shared" si="45"/>
        <v>9</v>
      </c>
      <c r="G3254" s="26"/>
    </row>
    <row r="3255" spans="1:7" x14ac:dyDescent="0.25">
      <c r="A3255" s="204">
        <v>43034</v>
      </c>
      <c r="B3255" s="26" t="s">
        <v>26</v>
      </c>
      <c r="C3255" s="26" t="s">
        <v>2504</v>
      </c>
      <c r="D3255" s="8">
        <v>2860</v>
      </c>
      <c r="E3255" s="8"/>
      <c r="F3255" s="91">
        <f t="shared" si="45"/>
        <v>-2851</v>
      </c>
      <c r="G3255" s="26"/>
    </row>
    <row r="3256" spans="1:7" x14ac:dyDescent="0.25">
      <c r="A3256" s="204">
        <v>43034</v>
      </c>
      <c r="B3256" s="460" t="s">
        <v>33</v>
      </c>
      <c r="C3256" s="460"/>
      <c r="D3256" s="71"/>
      <c r="E3256" s="58">
        <v>100000</v>
      </c>
      <c r="F3256" s="91">
        <v>100000</v>
      </c>
      <c r="G3256" s="26"/>
    </row>
    <row r="3257" spans="1:7" x14ac:dyDescent="0.25">
      <c r="A3257" s="204">
        <v>43034</v>
      </c>
      <c r="B3257" s="29" t="s">
        <v>2089</v>
      </c>
      <c r="C3257" s="29" t="s">
        <v>2503</v>
      </c>
      <c r="D3257" s="14">
        <v>14000</v>
      </c>
      <c r="E3257" s="8"/>
      <c r="F3257" s="91">
        <f t="shared" ref="F3257:F3304" si="46">F3256-D3257+E3257</f>
        <v>86000</v>
      </c>
      <c r="G3257" s="26"/>
    </row>
    <row r="3258" spans="1:7" x14ac:dyDescent="0.25">
      <c r="A3258" s="204">
        <v>43034</v>
      </c>
      <c r="B3258" s="26" t="s">
        <v>29</v>
      </c>
      <c r="C3258" s="26" t="s">
        <v>295</v>
      </c>
      <c r="D3258" s="8">
        <v>35000</v>
      </c>
      <c r="E3258" s="8"/>
      <c r="F3258" s="91">
        <f t="shared" si="46"/>
        <v>51000</v>
      </c>
      <c r="G3258" s="26"/>
    </row>
    <row r="3259" spans="1:7" x14ac:dyDescent="0.25">
      <c r="A3259" s="204">
        <v>43034</v>
      </c>
      <c r="B3259" s="26" t="s">
        <v>26</v>
      </c>
      <c r="C3259" s="26" t="s">
        <v>2506</v>
      </c>
      <c r="D3259" s="8">
        <v>1000</v>
      </c>
      <c r="E3259" s="8"/>
      <c r="F3259" s="91">
        <f t="shared" si="46"/>
        <v>50000</v>
      </c>
      <c r="G3259" s="26"/>
    </row>
    <row r="3260" spans="1:7" x14ac:dyDescent="0.25">
      <c r="A3260" s="204">
        <v>43034</v>
      </c>
      <c r="B3260" s="26" t="s">
        <v>26</v>
      </c>
      <c r="C3260" s="26" t="s">
        <v>295</v>
      </c>
      <c r="D3260" s="8">
        <v>50000</v>
      </c>
      <c r="E3260" s="8"/>
      <c r="F3260" s="91">
        <f t="shared" si="46"/>
        <v>0</v>
      </c>
      <c r="G3260" s="26"/>
    </row>
    <row r="3261" spans="1:7" x14ac:dyDescent="0.25">
      <c r="A3261" s="204">
        <v>43035</v>
      </c>
      <c r="B3261" s="460" t="s">
        <v>2436</v>
      </c>
      <c r="C3261" s="460"/>
      <c r="D3261" s="71"/>
      <c r="E3261" s="58">
        <v>100000</v>
      </c>
      <c r="F3261" s="91">
        <f t="shared" si="46"/>
        <v>100000</v>
      </c>
      <c r="G3261" s="26"/>
    </row>
    <row r="3262" spans="1:7" x14ac:dyDescent="0.25">
      <c r="A3262" s="204">
        <v>43035</v>
      </c>
      <c r="B3262" s="29" t="s">
        <v>59</v>
      </c>
      <c r="C3262" s="89" t="s">
        <v>2508</v>
      </c>
      <c r="D3262" s="14">
        <v>5970</v>
      </c>
      <c r="E3262" s="8"/>
      <c r="F3262" s="91">
        <f t="shared" si="46"/>
        <v>94030</v>
      </c>
      <c r="G3262" s="26"/>
    </row>
    <row r="3263" spans="1:7" ht="45" x14ac:dyDescent="0.25">
      <c r="A3263" s="204">
        <v>43035</v>
      </c>
      <c r="B3263" s="199" t="s">
        <v>2505</v>
      </c>
      <c r="C3263" s="207" t="s">
        <v>2507</v>
      </c>
      <c r="D3263" s="91">
        <v>1200</v>
      </c>
      <c r="E3263" s="91"/>
      <c r="F3263" s="91">
        <f t="shared" si="46"/>
        <v>92830</v>
      </c>
      <c r="G3263" s="199"/>
    </row>
    <row r="3264" spans="1:7" ht="30" x14ac:dyDescent="0.25">
      <c r="A3264" s="204">
        <v>43035</v>
      </c>
      <c r="B3264" s="26" t="s">
        <v>26</v>
      </c>
      <c r="C3264" s="87" t="s">
        <v>2517</v>
      </c>
      <c r="D3264" s="8">
        <v>1000</v>
      </c>
      <c r="E3264" s="8"/>
      <c r="F3264" s="91">
        <f t="shared" si="46"/>
        <v>91830</v>
      </c>
      <c r="G3264" s="26"/>
    </row>
    <row r="3265" spans="1:7" x14ac:dyDescent="0.25">
      <c r="A3265" s="204">
        <v>43035</v>
      </c>
      <c r="B3265" s="26" t="s">
        <v>26</v>
      </c>
      <c r="C3265" s="87" t="s">
        <v>2529</v>
      </c>
      <c r="D3265" s="8">
        <v>2900</v>
      </c>
      <c r="E3265" s="8"/>
      <c r="F3265" s="91">
        <f t="shared" si="46"/>
        <v>88930</v>
      </c>
      <c r="G3265" s="26"/>
    </row>
    <row r="3266" spans="1:7" x14ac:dyDescent="0.25">
      <c r="A3266" s="204">
        <v>43035</v>
      </c>
      <c r="B3266" s="26" t="s">
        <v>0</v>
      </c>
      <c r="C3266" s="87" t="s">
        <v>2509</v>
      </c>
      <c r="D3266" s="8">
        <v>3000</v>
      </c>
      <c r="E3266" s="8"/>
      <c r="F3266" s="91">
        <f t="shared" si="46"/>
        <v>85930</v>
      </c>
      <c r="G3266" s="26"/>
    </row>
    <row r="3267" spans="1:7" ht="30" x14ac:dyDescent="0.25">
      <c r="A3267" s="204">
        <v>43035</v>
      </c>
      <c r="B3267" s="205" t="s">
        <v>59</v>
      </c>
      <c r="C3267" s="206" t="s">
        <v>2511</v>
      </c>
      <c r="D3267" s="92">
        <v>200</v>
      </c>
      <c r="E3267" s="92"/>
      <c r="F3267" s="92">
        <f t="shared" si="46"/>
        <v>85730</v>
      </c>
      <c r="G3267" s="205"/>
    </row>
    <row r="3268" spans="1:7" x14ac:dyDescent="0.25">
      <c r="A3268" s="204">
        <v>43035</v>
      </c>
      <c r="B3268" s="26" t="s">
        <v>0</v>
      </c>
      <c r="C3268" s="87" t="s">
        <v>2510</v>
      </c>
      <c r="D3268" s="8">
        <v>100</v>
      </c>
      <c r="E3268" s="8"/>
      <c r="F3268" s="92">
        <f t="shared" si="46"/>
        <v>85630</v>
      </c>
      <c r="G3268" s="26"/>
    </row>
    <row r="3269" spans="1:7" ht="45" x14ac:dyDescent="0.25">
      <c r="A3269" s="204">
        <v>43036</v>
      </c>
      <c r="B3269" s="199" t="s">
        <v>61</v>
      </c>
      <c r="C3269" s="207" t="s">
        <v>2513</v>
      </c>
      <c r="D3269" s="91">
        <v>1730</v>
      </c>
      <c r="E3269" s="91"/>
      <c r="F3269" s="92">
        <f t="shared" si="46"/>
        <v>83900</v>
      </c>
      <c r="G3269" s="199"/>
    </row>
    <row r="3270" spans="1:7" x14ac:dyDescent="0.25">
      <c r="A3270" s="204">
        <v>43036</v>
      </c>
      <c r="B3270" s="26" t="s">
        <v>85</v>
      </c>
      <c r="C3270" s="87" t="s">
        <v>2530</v>
      </c>
      <c r="D3270" s="8">
        <v>1000</v>
      </c>
      <c r="E3270" s="8"/>
      <c r="F3270" s="92">
        <f t="shared" si="46"/>
        <v>82900</v>
      </c>
      <c r="G3270" s="26"/>
    </row>
    <row r="3271" spans="1:7" x14ac:dyDescent="0.25">
      <c r="A3271" s="204">
        <v>43036</v>
      </c>
      <c r="B3271" s="26" t="s">
        <v>59</v>
      </c>
      <c r="C3271" s="87" t="s">
        <v>2519</v>
      </c>
      <c r="D3271" s="8">
        <v>3680</v>
      </c>
      <c r="E3271" s="8"/>
      <c r="F3271" s="92">
        <f t="shared" si="46"/>
        <v>79220</v>
      </c>
      <c r="G3271" s="26"/>
    </row>
    <row r="3272" spans="1:7" x14ac:dyDescent="0.25">
      <c r="A3272" s="204">
        <v>43036</v>
      </c>
      <c r="B3272" s="26" t="s">
        <v>59</v>
      </c>
      <c r="C3272" s="87" t="s">
        <v>2520</v>
      </c>
      <c r="D3272" s="8">
        <v>4230</v>
      </c>
      <c r="E3272" s="8"/>
      <c r="F3272" s="92">
        <f t="shared" si="46"/>
        <v>74990</v>
      </c>
      <c r="G3272" s="26"/>
    </row>
    <row r="3273" spans="1:7" x14ac:dyDescent="0.25">
      <c r="A3273" s="204">
        <v>43036</v>
      </c>
      <c r="B3273" s="26" t="s">
        <v>59</v>
      </c>
      <c r="C3273" s="87" t="s">
        <v>2521</v>
      </c>
      <c r="D3273" s="8">
        <v>5000</v>
      </c>
      <c r="E3273" s="8"/>
      <c r="F3273" s="92">
        <f t="shared" si="46"/>
        <v>69990</v>
      </c>
      <c r="G3273" s="26"/>
    </row>
    <row r="3274" spans="1:7" ht="30" x14ac:dyDescent="0.25">
      <c r="A3274" s="204">
        <v>43036</v>
      </c>
      <c r="B3274" s="26" t="s">
        <v>2512</v>
      </c>
      <c r="C3274" s="87" t="s">
        <v>2525</v>
      </c>
      <c r="D3274" s="8">
        <v>15000</v>
      </c>
      <c r="E3274" s="8"/>
      <c r="F3274" s="92">
        <f t="shared" si="46"/>
        <v>54990</v>
      </c>
      <c r="G3274" s="26"/>
    </row>
    <row r="3275" spans="1:7" x14ac:dyDescent="0.25">
      <c r="A3275" s="204">
        <v>43036</v>
      </c>
      <c r="B3275" s="26" t="s">
        <v>17</v>
      </c>
      <c r="C3275" s="87" t="s">
        <v>2526</v>
      </c>
      <c r="D3275" s="8">
        <v>40000</v>
      </c>
      <c r="E3275" s="8"/>
      <c r="F3275" s="92">
        <f t="shared" si="46"/>
        <v>14990</v>
      </c>
      <c r="G3275" s="26"/>
    </row>
    <row r="3276" spans="1:7" x14ac:dyDescent="0.25">
      <c r="A3276" s="204">
        <v>43036</v>
      </c>
      <c r="B3276" s="26" t="s">
        <v>48</v>
      </c>
      <c r="C3276" s="87" t="s">
        <v>2514</v>
      </c>
      <c r="D3276" s="8">
        <v>150</v>
      </c>
      <c r="E3276" s="8"/>
      <c r="F3276" s="92">
        <f t="shared" si="46"/>
        <v>14840</v>
      </c>
      <c r="G3276" s="26"/>
    </row>
    <row r="3277" spans="1:7" ht="30" x14ac:dyDescent="0.25">
      <c r="A3277" s="204">
        <v>43036</v>
      </c>
      <c r="B3277" s="26" t="s">
        <v>61</v>
      </c>
      <c r="C3277" s="87" t="s">
        <v>2527</v>
      </c>
      <c r="D3277" s="57">
        <v>6000</v>
      </c>
      <c r="E3277" s="8"/>
      <c r="F3277" s="92">
        <f t="shared" si="46"/>
        <v>8840</v>
      </c>
      <c r="G3277" s="26"/>
    </row>
    <row r="3278" spans="1:7" x14ac:dyDescent="0.25">
      <c r="A3278" s="204">
        <v>43036</v>
      </c>
      <c r="B3278" s="26" t="s">
        <v>0</v>
      </c>
      <c r="C3278" s="87" t="s">
        <v>2531</v>
      </c>
      <c r="D3278" s="8">
        <v>2000</v>
      </c>
      <c r="E3278" s="8"/>
      <c r="F3278" s="92">
        <f t="shared" si="46"/>
        <v>6840</v>
      </c>
      <c r="G3278" s="26"/>
    </row>
    <row r="3279" spans="1:7" x14ac:dyDescent="0.25">
      <c r="A3279" s="204">
        <v>43036</v>
      </c>
      <c r="B3279" s="26" t="s">
        <v>85</v>
      </c>
      <c r="C3279" s="87" t="s">
        <v>2524</v>
      </c>
      <c r="D3279" s="8">
        <v>2000</v>
      </c>
      <c r="E3279" s="8"/>
      <c r="F3279" s="92">
        <f t="shared" si="46"/>
        <v>4840</v>
      </c>
      <c r="G3279" s="26"/>
    </row>
    <row r="3280" spans="1:7" x14ac:dyDescent="0.25">
      <c r="A3280" s="204">
        <v>43036</v>
      </c>
      <c r="B3280" s="29" t="s">
        <v>1840</v>
      </c>
      <c r="C3280" s="89" t="s">
        <v>2516</v>
      </c>
      <c r="D3280" s="14">
        <v>1000</v>
      </c>
      <c r="E3280" s="8"/>
      <c r="F3280" s="92">
        <f t="shared" si="46"/>
        <v>3840</v>
      </c>
      <c r="G3280" s="26"/>
    </row>
    <row r="3281" spans="1:7" x14ac:dyDescent="0.25">
      <c r="A3281" s="204">
        <v>43036</v>
      </c>
      <c r="B3281" s="26" t="s">
        <v>14</v>
      </c>
      <c r="C3281" s="87" t="s">
        <v>2518</v>
      </c>
      <c r="D3281" s="8">
        <v>2000</v>
      </c>
      <c r="E3281" s="8"/>
      <c r="F3281" s="92">
        <f t="shared" si="46"/>
        <v>1840</v>
      </c>
      <c r="G3281" s="26"/>
    </row>
    <row r="3282" spans="1:7" x14ac:dyDescent="0.25">
      <c r="A3282" s="204">
        <v>43036</v>
      </c>
      <c r="B3282" s="460" t="s">
        <v>2515</v>
      </c>
      <c r="C3282" s="460"/>
      <c r="D3282" s="71"/>
      <c r="E3282" s="58">
        <v>50000</v>
      </c>
      <c r="F3282" s="91">
        <f>F3281-D3282+E3282</f>
        <v>51840</v>
      </c>
      <c r="G3282" s="26"/>
    </row>
    <row r="3283" spans="1:7" ht="30" x14ac:dyDescent="0.25">
      <c r="A3283" s="204">
        <v>43036</v>
      </c>
      <c r="B3283" s="199" t="s">
        <v>89</v>
      </c>
      <c r="C3283" s="207" t="s">
        <v>2522</v>
      </c>
      <c r="D3283" s="91">
        <v>15000</v>
      </c>
      <c r="E3283" s="91"/>
      <c r="F3283" s="91">
        <f t="shared" si="46"/>
        <v>36840</v>
      </c>
      <c r="G3283" s="199"/>
    </row>
    <row r="3284" spans="1:7" x14ac:dyDescent="0.25">
      <c r="A3284" s="204">
        <v>43036</v>
      </c>
      <c r="B3284" s="26" t="s">
        <v>85</v>
      </c>
      <c r="C3284" s="26" t="s">
        <v>2523</v>
      </c>
      <c r="D3284" s="8">
        <v>10000</v>
      </c>
      <c r="E3284" s="8"/>
      <c r="F3284" s="91">
        <f t="shared" si="46"/>
        <v>26840</v>
      </c>
      <c r="G3284" s="26"/>
    </row>
    <row r="3285" spans="1:7" ht="30" x14ac:dyDescent="0.25">
      <c r="A3285" s="204">
        <v>43038</v>
      </c>
      <c r="B3285" s="29" t="s">
        <v>1840</v>
      </c>
      <c r="C3285" s="89" t="s">
        <v>2528</v>
      </c>
      <c r="D3285" s="14">
        <v>2000</v>
      </c>
      <c r="E3285" s="8"/>
      <c r="F3285" s="91">
        <f t="shared" si="46"/>
        <v>24840</v>
      </c>
      <c r="G3285" s="26"/>
    </row>
    <row r="3286" spans="1:7" x14ac:dyDescent="0.25">
      <c r="A3286" s="204">
        <v>43038</v>
      </c>
      <c r="B3286" s="26" t="s">
        <v>248</v>
      </c>
      <c r="C3286" s="26" t="s">
        <v>2472</v>
      </c>
      <c r="D3286" s="8">
        <v>730</v>
      </c>
      <c r="E3286" s="8"/>
      <c r="F3286" s="91">
        <f t="shared" si="46"/>
        <v>24110</v>
      </c>
      <c r="G3286" s="26"/>
    </row>
    <row r="3287" spans="1:7" x14ac:dyDescent="0.25">
      <c r="A3287" s="204">
        <v>43038</v>
      </c>
      <c r="B3287" s="29" t="s">
        <v>48</v>
      </c>
      <c r="C3287" s="29" t="s">
        <v>2548</v>
      </c>
      <c r="D3287" s="14">
        <v>420</v>
      </c>
      <c r="E3287" s="8"/>
      <c r="F3287" s="91">
        <f t="shared" si="46"/>
        <v>23690</v>
      </c>
      <c r="G3287" s="26"/>
    </row>
    <row r="3288" spans="1:7" x14ac:dyDescent="0.25">
      <c r="A3288" s="204">
        <v>43038</v>
      </c>
      <c r="B3288" s="26" t="s">
        <v>59</v>
      </c>
      <c r="C3288" s="26" t="s">
        <v>2532</v>
      </c>
      <c r="D3288" s="8">
        <v>23470</v>
      </c>
      <c r="E3288" s="8"/>
      <c r="F3288" s="91">
        <f t="shared" si="46"/>
        <v>220</v>
      </c>
      <c r="G3288" s="26"/>
    </row>
    <row r="3289" spans="1:7" x14ac:dyDescent="0.25">
      <c r="A3289" s="204">
        <v>43039</v>
      </c>
      <c r="B3289" s="460" t="s">
        <v>2533</v>
      </c>
      <c r="C3289" s="460"/>
      <c r="D3289" s="71"/>
      <c r="E3289" s="58">
        <v>75000</v>
      </c>
      <c r="F3289" s="91">
        <f>E3289</f>
        <v>75000</v>
      </c>
      <c r="G3289" s="26"/>
    </row>
    <row r="3290" spans="1:7" x14ac:dyDescent="0.25">
      <c r="A3290" s="204">
        <v>43039</v>
      </c>
      <c r="B3290" s="26" t="s">
        <v>14</v>
      </c>
      <c r="C3290" s="26" t="s">
        <v>2546</v>
      </c>
      <c r="D3290" s="8">
        <v>25000</v>
      </c>
      <c r="E3290" s="8"/>
      <c r="F3290" s="91">
        <f t="shared" si="46"/>
        <v>50000</v>
      </c>
      <c r="G3290" s="26"/>
    </row>
    <row r="3291" spans="1:7" x14ac:dyDescent="0.25">
      <c r="A3291" s="204">
        <v>43039</v>
      </c>
      <c r="B3291" s="26" t="s">
        <v>2099</v>
      </c>
      <c r="C3291" s="26" t="s">
        <v>2534</v>
      </c>
      <c r="D3291" s="8">
        <v>25000</v>
      </c>
      <c r="E3291" s="8"/>
      <c r="F3291" s="91">
        <f t="shared" si="46"/>
        <v>25000</v>
      </c>
      <c r="G3291" s="26"/>
    </row>
    <row r="3292" spans="1:7" x14ac:dyDescent="0.25">
      <c r="A3292" s="204">
        <v>43039</v>
      </c>
      <c r="B3292" s="26" t="s">
        <v>26</v>
      </c>
      <c r="C3292" s="26" t="s">
        <v>2538</v>
      </c>
      <c r="D3292" s="8">
        <v>150</v>
      </c>
      <c r="E3292" s="8"/>
      <c r="F3292" s="91">
        <f t="shared" si="46"/>
        <v>24850</v>
      </c>
      <c r="G3292" s="26"/>
    </row>
    <row r="3293" spans="1:7" ht="30" x14ac:dyDescent="0.25">
      <c r="A3293" s="204">
        <v>43039</v>
      </c>
      <c r="B3293" s="199" t="s">
        <v>26</v>
      </c>
      <c r="C3293" s="207" t="s">
        <v>2535</v>
      </c>
      <c r="D3293" s="91">
        <v>800</v>
      </c>
      <c r="E3293" s="91"/>
      <c r="F3293" s="91">
        <f t="shared" si="46"/>
        <v>24050</v>
      </c>
      <c r="G3293" s="199"/>
    </row>
    <row r="3294" spans="1:7" x14ac:dyDescent="0.25">
      <c r="A3294" s="204">
        <v>43038</v>
      </c>
      <c r="B3294" s="26" t="s">
        <v>14</v>
      </c>
      <c r="C3294" s="26" t="s">
        <v>641</v>
      </c>
      <c r="D3294" s="8">
        <v>1000</v>
      </c>
      <c r="E3294" s="8"/>
      <c r="F3294" s="91">
        <f t="shared" si="46"/>
        <v>23050</v>
      </c>
      <c r="G3294" s="26"/>
    </row>
    <row r="3295" spans="1:7" ht="30" x14ac:dyDescent="0.25">
      <c r="A3295" s="204">
        <v>43039</v>
      </c>
      <c r="B3295" s="207" t="s">
        <v>2207</v>
      </c>
      <c r="C3295" s="230" t="s">
        <v>2536</v>
      </c>
      <c r="D3295" s="8">
        <v>500</v>
      </c>
      <c r="E3295" s="8"/>
      <c r="F3295" s="91">
        <f t="shared" si="46"/>
        <v>22550</v>
      </c>
      <c r="G3295" s="26"/>
    </row>
    <row r="3296" spans="1:7" x14ac:dyDescent="0.25">
      <c r="A3296" s="204">
        <v>43039</v>
      </c>
      <c r="B3296" s="26" t="s">
        <v>0</v>
      </c>
      <c r="C3296" s="26" t="s">
        <v>2537</v>
      </c>
      <c r="D3296" s="8">
        <v>2000</v>
      </c>
      <c r="E3296" s="8"/>
      <c r="F3296" s="91">
        <f t="shared" si="46"/>
        <v>20550</v>
      </c>
      <c r="G3296" s="26"/>
    </row>
    <row r="3297" spans="1:7" x14ac:dyDescent="0.25">
      <c r="A3297" s="204">
        <v>43039</v>
      </c>
      <c r="B3297" s="199" t="s">
        <v>1840</v>
      </c>
      <c r="C3297" s="207" t="s">
        <v>2541</v>
      </c>
      <c r="D3297" s="91">
        <v>500</v>
      </c>
      <c r="E3297" s="91"/>
      <c r="F3297" s="91">
        <f t="shared" si="46"/>
        <v>20050</v>
      </c>
      <c r="G3297" s="199"/>
    </row>
    <row r="3298" spans="1:7" x14ac:dyDescent="0.25">
      <c r="A3298" s="204">
        <v>43039</v>
      </c>
      <c r="B3298" s="26" t="s">
        <v>248</v>
      </c>
      <c r="C3298" s="26" t="s">
        <v>2539</v>
      </c>
      <c r="D3298" s="8">
        <v>840</v>
      </c>
      <c r="E3298" s="8"/>
      <c r="F3298" s="91">
        <f t="shared" si="46"/>
        <v>19210</v>
      </c>
      <c r="G3298" s="26"/>
    </row>
    <row r="3299" spans="1:7" x14ac:dyDescent="0.25">
      <c r="A3299" s="204">
        <v>43040</v>
      </c>
      <c r="B3299" s="29" t="s">
        <v>1840</v>
      </c>
      <c r="C3299" s="29" t="s">
        <v>2540</v>
      </c>
      <c r="D3299" s="14">
        <v>3000</v>
      </c>
      <c r="E3299" s="8"/>
      <c r="F3299" s="91">
        <f t="shared" si="46"/>
        <v>16210</v>
      </c>
      <c r="G3299" s="26"/>
    </row>
    <row r="3300" spans="1:7" x14ac:dyDescent="0.25">
      <c r="A3300" s="204">
        <v>43040</v>
      </c>
      <c r="B3300" s="29" t="s">
        <v>61</v>
      </c>
      <c r="C3300" s="29" t="s">
        <v>2547</v>
      </c>
      <c r="D3300" s="14">
        <v>1000</v>
      </c>
      <c r="E3300" s="8"/>
      <c r="F3300" s="91">
        <f t="shared" si="46"/>
        <v>15210</v>
      </c>
      <c r="G3300" s="26"/>
    </row>
    <row r="3301" spans="1:7" x14ac:dyDescent="0.25">
      <c r="A3301" s="204">
        <v>43040</v>
      </c>
      <c r="B3301" s="26" t="s">
        <v>2349</v>
      </c>
      <c r="C3301" s="26" t="s">
        <v>2542</v>
      </c>
      <c r="D3301" s="8">
        <v>1000</v>
      </c>
      <c r="E3301" s="8"/>
      <c r="F3301" s="91">
        <f t="shared" si="46"/>
        <v>14210</v>
      </c>
      <c r="G3301" s="26"/>
    </row>
    <row r="3302" spans="1:7" x14ac:dyDescent="0.25">
      <c r="A3302" s="204">
        <v>43040</v>
      </c>
      <c r="B3302" s="199" t="s">
        <v>26</v>
      </c>
      <c r="C3302" s="199" t="s">
        <v>2543</v>
      </c>
      <c r="D3302" s="91">
        <v>12100</v>
      </c>
      <c r="E3302" s="91"/>
      <c r="F3302" s="91">
        <f t="shared" si="46"/>
        <v>2110</v>
      </c>
      <c r="G3302" s="199"/>
    </row>
    <row r="3303" spans="1:7" ht="30" x14ac:dyDescent="0.25">
      <c r="A3303" s="204">
        <v>43040</v>
      </c>
      <c r="B3303" s="199" t="s">
        <v>26</v>
      </c>
      <c r="C3303" s="207" t="s">
        <v>2544</v>
      </c>
      <c r="D3303" s="91">
        <v>1940</v>
      </c>
      <c r="E3303" s="91"/>
      <c r="F3303" s="91">
        <f t="shared" si="46"/>
        <v>170</v>
      </c>
      <c r="G3303" s="199"/>
    </row>
    <row r="3304" spans="1:7" x14ac:dyDescent="0.25">
      <c r="A3304" s="231">
        <v>43040</v>
      </c>
      <c r="B3304" s="180" t="s">
        <v>2207</v>
      </c>
      <c r="C3304" s="180" t="s">
        <v>2545</v>
      </c>
      <c r="D3304" s="57">
        <v>350</v>
      </c>
      <c r="E3304" s="8"/>
      <c r="F3304" s="16">
        <f t="shared" si="46"/>
        <v>-180</v>
      </c>
      <c r="G3304" s="26"/>
    </row>
    <row r="3305" spans="1:7" x14ac:dyDescent="0.25">
      <c r="A3305" s="231">
        <v>43040</v>
      </c>
      <c r="B3305" s="460" t="s">
        <v>2549</v>
      </c>
      <c r="C3305" s="460"/>
      <c r="D3305" s="71"/>
      <c r="E3305" s="58">
        <v>50000</v>
      </c>
      <c r="F3305" s="8">
        <v>50000</v>
      </c>
      <c r="G3305" s="26"/>
    </row>
    <row r="3306" spans="1:7" x14ac:dyDescent="0.25">
      <c r="A3306" s="231">
        <v>43040</v>
      </c>
      <c r="B3306" s="26" t="s">
        <v>59</v>
      </c>
      <c r="C3306" s="26" t="s">
        <v>2550</v>
      </c>
      <c r="D3306" s="8">
        <v>1000</v>
      </c>
      <c r="E3306" s="86"/>
      <c r="F3306" s="8">
        <f t="shared" ref="F3306:F3370" si="47">F3305+E3306-D3306</f>
        <v>49000</v>
      </c>
      <c r="G3306" s="26"/>
    </row>
    <row r="3307" spans="1:7" x14ac:dyDescent="0.25">
      <c r="A3307" s="231">
        <v>43040</v>
      </c>
      <c r="B3307" s="26" t="s">
        <v>26</v>
      </c>
      <c r="C3307" s="26" t="s">
        <v>2551</v>
      </c>
      <c r="D3307" s="8">
        <v>1600</v>
      </c>
      <c r="E3307" s="8"/>
      <c r="F3307" s="8">
        <f t="shared" si="47"/>
        <v>47400</v>
      </c>
      <c r="G3307" s="26"/>
    </row>
    <row r="3308" spans="1:7" ht="30" x14ac:dyDescent="0.25">
      <c r="A3308" s="231">
        <v>43041</v>
      </c>
      <c r="B3308" s="26" t="s">
        <v>1840</v>
      </c>
      <c r="C3308" s="87" t="s">
        <v>2555</v>
      </c>
      <c r="D3308" s="8">
        <v>2000</v>
      </c>
      <c r="E3308" s="8"/>
      <c r="F3308" s="8">
        <f t="shared" si="47"/>
        <v>45400</v>
      </c>
      <c r="G3308" s="26"/>
    </row>
    <row r="3309" spans="1:7" x14ac:dyDescent="0.25">
      <c r="A3309" s="231">
        <v>43041</v>
      </c>
      <c r="B3309" s="26" t="s">
        <v>26</v>
      </c>
      <c r="C3309" s="26" t="s">
        <v>2552</v>
      </c>
      <c r="D3309" s="8">
        <v>270</v>
      </c>
      <c r="E3309" s="8"/>
      <c r="F3309" s="8">
        <f t="shared" si="47"/>
        <v>45130</v>
      </c>
      <c r="G3309" s="26"/>
    </row>
    <row r="3310" spans="1:7" x14ac:dyDescent="0.25">
      <c r="A3310" s="231">
        <v>43041</v>
      </c>
      <c r="B3310" s="26" t="s">
        <v>61</v>
      </c>
      <c r="C3310" s="26" t="s">
        <v>2547</v>
      </c>
      <c r="D3310" s="8">
        <v>300</v>
      </c>
      <c r="E3310" s="8"/>
      <c r="F3310" s="8">
        <f t="shared" si="47"/>
        <v>44830</v>
      </c>
      <c r="G3310" s="26"/>
    </row>
    <row r="3311" spans="1:7" x14ac:dyDescent="0.25">
      <c r="A3311" s="231">
        <v>43041</v>
      </c>
      <c r="B3311" s="26" t="s">
        <v>2553</v>
      </c>
      <c r="C3311" s="26" t="s">
        <v>2554</v>
      </c>
      <c r="D3311" s="8">
        <v>1650</v>
      </c>
      <c r="E3311" s="8"/>
      <c r="F3311" s="8">
        <f t="shared" si="47"/>
        <v>43180</v>
      </c>
      <c r="G3311" s="26"/>
    </row>
    <row r="3312" spans="1:7" ht="30" x14ac:dyDescent="0.25">
      <c r="A3312" s="204">
        <v>43041</v>
      </c>
      <c r="B3312" s="199" t="s">
        <v>248</v>
      </c>
      <c r="C3312" s="207" t="s">
        <v>2556</v>
      </c>
      <c r="D3312" s="91">
        <v>5060</v>
      </c>
      <c r="E3312" s="91"/>
      <c r="F3312" s="8">
        <f t="shared" si="47"/>
        <v>38120</v>
      </c>
      <c r="G3312" s="199"/>
    </row>
    <row r="3313" spans="1:7" x14ac:dyDescent="0.25">
      <c r="A3313" s="204">
        <v>43041</v>
      </c>
      <c r="B3313" s="199" t="s">
        <v>59</v>
      </c>
      <c r="C3313" s="207" t="s">
        <v>2558</v>
      </c>
      <c r="D3313" s="91">
        <v>1000</v>
      </c>
      <c r="E3313" s="91"/>
      <c r="F3313" s="8">
        <f t="shared" si="47"/>
        <v>37120</v>
      </c>
      <c r="G3313" s="199"/>
    </row>
    <row r="3314" spans="1:7" x14ac:dyDescent="0.25">
      <c r="A3314" s="204">
        <v>43041</v>
      </c>
      <c r="B3314" s="199" t="s">
        <v>59</v>
      </c>
      <c r="C3314" s="207" t="s">
        <v>2559</v>
      </c>
      <c r="D3314" s="91">
        <v>100</v>
      </c>
      <c r="E3314" s="91"/>
      <c r="F3314" s="8">
        <f t="shared" si="47"/>
        <v>37020</v>
      </c>
      <c r="G3314" s="199"/>
    </row>
    <row r="3315" spans="1:7" x14ac:dyDescent="0.25">
      <c r="A3315" s="231">
        <v>43042</v>
      </c>
      <c r="B3315" s="26" t="s">
        <v>2099</v>
      </c>
      <c r="C3315" s="26" t="s">
        <v>295</v>
      </c>
      <c r="D3315" s="8">
        <v>25000</v>
      </c>
      <c r="E3315" s="8"/>
      <c r="F3315" s="8">
        <f t="shared" si="47"/>
        <v>12020</v>
      </c>
      <c r="G3315" s="26"/>
    </row>
    <row r="3316" spans="1:7" x14ac:dyDescent="0.25">
      <c r="A3316" s="231">
        <v>43042</v>
      </c>
      <c r="B3316" s="26" t="s">
        <v>2553</v>
      </c>
      <c r="C3316" s="26" t="s">
        <v>1052</v>
      </c>
      <c r="D3316" s="8">
        <v>350</v>
      </c>
      <c r="E3316" s="8"/>
      <c r="F3316" s="8">
        <f t="shared" si="47"/>
        <v>11670</v>
      </c>
      <c r="G3316" s="26"/>
    </row>
    <row r="3317" spans="1:7" x14ac:dyDescent="0.25">
      <c r="A3317" s="231">
        <v>43042</v>
      </c>
      <c r="B3317" s="26" t="s">
        <v>59</v>
      </c>
      <c r="C3317" s="26" t="s">
        <v>2557</v>
      </c>
      <c r="D3317" s="8">
        <v>5500</v>
      </c>
      <c r="E3317" s="8"/>
      <c r="F3317" s="8">
        <f t="shared" si="47"/>
        <v>6170</v>
      </c>
      <c r="G3317" s="26"/>
    </row>
    <row r="3318" spans="1:7" x14ac:dyDescent="0.25">
      <c r="A3318" s="231">
        <v>43042</v>
      </c>
      <c r="B3318" s="26" t="s">
        <v>61</v>
      </c>
      <c r="C3318" s="26" t="s">
        <v>2561</v>
      </c>
      <c r="D3318" s="8">
        <v>5000</v>
      </c>
      <c r="E3318" s="8"/>
      <c r="F3318" s="8">
        <f t="shared" si="47"/>
        <v>1170</v>
      </c>
      <c r="G3318" s="26"/>
    </row>
    <row r="3319" spans="1:7" x14ac:dyDescent="0.25">
      <c r="A3319" s="231">
        <v>43042</v>
      </c>
      <c r="B3319" s="26" t="s">
        <v>248</v>
      </c>
      <c r="C3319" s="26" t="s">
        <v>2562</v>
      </c>
      <c r="D3319" s="8">
        <v>290</v>
      </c>
      <c r="E3319" s="8"/>
      <c r="F3319" s="8">
        <f t="shared" si="47"/>
        <v>880</v>
      </c>
      <c r="G3319" s="26"/>
    </row>
    <row r="3320" spans="1:7" x14ac:dyDescent="0.25">
      <c r="A3320" s="231">
        <v>43042</v>
      </c>
      <c r="B3320" s="26" t="s">
        <v>542</v>
      </c>
      <c r="C3320" s="26" t="s">
        <v>1747</v>
      </c>
      <c r="D3320" s="8">
        <v>600</v>
      </c>
      <c r="E3320" s="8"/>
      <c r="F3320" s="8">
        <f t="shared" si="47"/>
        <v>280</v>
      </c>
      <c r="G3320" s="26"/>
    </row>
    <row r="3321" spans="1:7" x14ac:dyDescent="0.25">
      <c r="A3321" s="231">
        <v>43042</v>
      </c>
      <c r="B3321" s="26" t="s">
        <v>26</v>
      </c>
      <c r="C3321" s="26" t="s">
        <v>2572</v>
      </c>
      <c r="D3321" s="8">
        <f>20+90+70</f>
        <v>180</v>
      </c>
      <c r="E3321" s="8"/>
      <c r="F3321" s="8">
        <f t="shared" si="47"/>
        <v>100</v>
      </c>
      <c r="G3321" s="26"/>
    </row>
    <row r="3322" spans="1:7" x14ac:dyDescent="0.25">
      <c r="A3322" s="231">
        <v>43042</v>
      </c>
      <c r="B3322" s="460" t="s">
        <v>2560</v>
      </c>
      <c r="C3322" s="460"/>
      <c r="D3322" s="71"/>
      <c r="E3322" s="58">
        <v>100000</v>
      </c>
      <c r="F3322" s="8">
        <f t="shared" si="47"/>
        <v>100100</v>
      </c>
      <c r="G3322" s="26"/>
    </row>
    <row r="3323" spans="1:7" x14ac:dyDescent="0.25">
      <c r="A3323" s="231">
        <v>43042</v>
      </c>
      <c r="B3323" s="26" t="s">
        <v>542</v>
      </c>
      <c r="C3323" s="26" t="s">
        <v>2575</v>
      </c>
      <c r="D3323" s="8">
        <v>50000</v>
      </c>
      <c r="E3323" s="8"/>
      <c r="F3323" s="8">
        <f t="shared" si="47"/>
        <v>50100</v>
      </c>
      <c r="G3323" s="26"/>
    </row>
    <row r="3324" spans="1:7" x14ac:dyDescent="0.25">
      <c r="A3324" s="231">
        <v>43042</v>
      </c>
      <c r="B3324" s="26" t="s">
        <v>85</v>
      </c>
      <c r="C3324" s="26" t="s">
        <v>2576</v>
      </c>
      <c r="D3324" s="8">
        <v>3000</v>
      </c>
      <c r="E3324" s="8"/>
      <c r="F3324" s="8">
        <f t="shared" si="47"/>
        <v>47100</v>
      </c>
      <c r="G3324" s="26"/>
    </row>
    <row r="3325" spans="1:7" ht="30" x14ac:dyDescent="0.25">
      <c r="A3325" s="204">
        <v>43042</v>
      </c>
      <c r="B3325" s="199" t="s">
        <v>1840</v>
      </c>
      <c r="C3325" s="207" t="s">
        <v>2563</v>
      </c>
      <c r="D3325" s="91">
        <v>2000</v>
      </c>
      <c r="E3325" s="91"/>
      <c r="F3325" s="8">
        <f t="shared" si="47"/>
        <v>45100</v>
      </c>
      <c r="G3325" s="199"/>
    </row>
    <row r="3326" spans="1:7" x14ac:dyDescent="0.25">
      <c r="A3326" s="204">
        <v>43042</v>
      </c>
      <c r="B3326" s="26" t="s">
        <v>85</v>
      </c>
      <c r="C3326" s="26" t="s">
        <v>2564</v>
      </c>
      <c r="D3326" s="8">
        <v>3000</v>
      </c>
      <c r="E3326" s="8"/>
      <c r="F3326" s="8">
        <f t="shared" si="47"/>
        <v>42100</v>
      </c>
      <c r="G3326" s="26"/>
    </row>
    <row r="3327" spans="1:7" x14ac:dyDescent="0.25">
      <c r="A3327" s="204">
        <v>43042</v>
      </c>
      <c r="B3327" s="180" t="s">
        <v>89</v>
      </c>
      <c r="C3327" s="180" t="s">
        <v>2565</v>
      </c>
      <c r="D3327" s="57">
        <v>500</v>
      </c>
      <c r="E3327" s="8"/>
      <c r="F3327" s="8">
        <f t="shared" si="47"/>
        <v>41600</v>
      </c>
      <c r="G3327" s="26"/>
    </row>
    <row r="3328" spans="1:7" ht="30" x14ac:dyDescent="0.25">
      <c r="A3328" s="204">
        <v>43042</v>
      </c>
      <c r="B3328" s="26" t="s">
        <v>2566</v>
      </c>
      <c r="C3328" s="87" t="s">
        <v>2571</v>
      </c>
      <c r="D3328" s="8">
        <v>10000</v>
      </c>
      <c r="E3328" s="8"/>
      <c r="F3328" s="8">
        <f t="shared" si="47"/>
        <v>31600</v>
      </c>
      <c r="G3328" s="26"/>
    </row>
    <row r="3329" spans="1:7" x14ac:dyDescent="0.25">
      <c r="A3329" s="204">
        <v>43043</v>
      </c>
      <c r="B3329" s="26" t="s">
        <v>1346</v>
      </c>
      <c r="C3329" s="26" t="s">
        <v>2577</v>
      </c>
      <c r="D3329" s="8">
        <v>5000</v>
      </c>
      <c r="E3329" s="8"/>
      <c r="F3329" s="8">
        <f t="shared" si="47"/>
        <v>26600</v>
      </c>
      <c r="G3329" s="26"/>
    </row>
    <row r="3330" spans="1:7" x14ac:dyDescent="0.25">
      <c r="A3330" s="204">
        <v>43043</v>
      </c>
      <c r="B3330" s="26" t="s">
        <v>26</v>
      </c>
      <c r="C3330" s="26" t="s">
        <v>2567</v>
      </c>
      <c r="D3330" s="8">
        <v>3500</v>
      </c>
      <c r="E3330" s="8"/>
      <c r="F3330" s="8">
        <f t="shared" si="47"/>
        <v>23100</v>
      </c>
      <c r="G3330" s="26"/>
    </row>
    <row r="3331" spans="1:7" x14ac:dyDescent="0.25">
      <c r="A3331" s="204">
        <v>43043</v>
      </c>
      <c r="B3331" s="26" t="s">
        <v>26</v>
      </c>
      <c r="C3331" s="26" t="s">
        <v>2568</v>
      </c>
      <c r="D3331" s="8">
        <v>475</v>
      </c>
      <c r="E3331" s="8"/>
      <c r="F3331" s="8">
        <f t="shared" si="47"/>
        <v>22625</v>
      </c>
      <c r="G3331" s="26"/>
    </row>
    <row r="3332" spans="1:7" x14ac:dyDescent="0.25">
      <c r="A3332" s="204">
        <v>43043</v>
      </c>
      <c r="B3332" s="26" t="s">
        <v>1619</v>
      </c>
      <c r="C3332" s="26" t="s">
        <v>2569</v>
      </c>
      <c r="D3332" s="8">
        <v>600</v>
      </c>
      <c r="E3332" s="8"/>
      <c r="F3332" s="8">
        <f t="shared" si="47"/>
        <v>22025</v>
      </c>
      <c r="G3332" s="26"/>
    </row>
    <row r="3333" spans="1:7" x14ac:dyDescent="0.25">
      <c r="A3333" s="204">
        <v>43043</v>
      </c>
      <c r="B3333" s="26" t="s">
        <v>2553</v>
      </c>
      <c r="C3333" s="26" t="s">
        <v>2570</v>
      </c>
      <c r="D3333" s="8">
        <v>2100</v>
      </c>
      <c r="E3333" s="8"/>
      <c r="F3333" s="8">
        <f t="shared" si="47"/>
        <v>19925</v>
      </c>
      <c r="G3333" s="26"/>
    </row>
    <row r="3334" spans="1:7" x14ac:dyDescent="0.25">
      <c r="A3334" s="204">
        <v>43043</v>
      </c>
      <c r="B3334" s="180" t="s">
        <v>14</v>
      </c>
      <c r="C3334" s="180" t="s">
        <v>295</v>
      </c>
      <c r="D3334" s="57">
        <v>5500</v>
      </c>
      <c r="E3334" s="8"/>
      <c r="F3334" s="8">
        <f t="shared" si="47"/>
        <v>14425</v>
      </c>
      <c r="G3334" s="26"/>
    </row>
    <row r="3335" spans="1:7" x14ac:dyDescent="0.25">
      <c r="A3335" s="204">
        <v>43043</v>
      </c>
      <c r="B3335" s="26" t="s">
        <v>74</v>
      </c>
      <c r="C3335" s="26" t="s">
        <v>2578</v>
      </c>
      <c r="D3335" s="8">
        <v>3000</v>
      </c>
      <c r="E3335" s="8"/>
      <c r="F3335" s="8">
        <f t="shared" si="47"/>
        <v>11425</v>
      </c>
      <c r="G3335" s="26"/>
    </row>
    <row r="3336" spans="1:7" x14ac:dyDescent="0.25">
      <c r="A3336" s="204">
        <v>43043</v>
      </c>
      <c r="B3336" s="26" t="s">
        <v>1790</v>
      </c>
      <c r="C3336" s="26" t="s">
        <v>2579</v>
      </c>
      <c r="D3336" s="8">
        <v>1300</v>
      </c>
      <c r="E3336" s="8"/>
      <c r="F3336" s="8">
        <f t="shared" si="47"/>
        <v>10125</v>
      </c>
      <c r="G3336" s="26"/>
    </row>
    <row r="3337" spans="1:7" ht="30" x14ac:dyDescent="0.25">
      <c r="A3337" s="204">
        <v>43043</v>
      </c>
      <c r="B3337" s="199" t="s">
        <v>26</v>
      </c>
      <c r="C3337" s="207" t="s">
        <v>2574</v>
      </c>
      <c r="D3337" s="91">
        <v>1550</v>
      </c>
      <c r="E3337" s="91"/>
      <c r="F3337" s="91">
        <f t="shared" si="47"/>
        <v>8575</v>
      </c>
      <c r="G3337" s="199"/>
    </row>
    <row r="3338" spans="1:7" x14ac:dyDescent="0.25">
      <c r="A3338" s="204">
        <v>43043</v>
      </c>
      <c r="B3338" s="26" t="s">
        <v>2573</v>
      </c>
      <c r="C3338" s="26" t="s">
        <v>2580</v>
      </c>
      <c r="D3338" s="8">
        <v>240</v>
      </c>
      <c r="E3338" s="8"/>
      <c r="F3338" s="8">
        <f t="shared" si="47"/>
        <v>8335</v>
      </c>
      <c r="G3338" s="26"/>
    </row>
    <row r="3339" spans="1:7" x14ac:dyDescent="0.25">
      <c r="A3339" s="204">
        <v>43043</v>
      </c>
      <c r="B3339" s="26" t="s">
        <v>17</v>
      </c>
      <c r="C3339" s="26" t="s">
        <v>32</v>
      </c>
      <c r="D3339" s="8">
        <v>6000</v>
      </c>
      <c r="E3339" s="8"/>
      <c r="F3339" s="8">
        <f t="shared" si="47"/>
        <v>2335</v>
      </c>
      <c r="G3339" s="26"/>
    </row>
    <row r="3340" spans="1:7" x14ac:dyDescent="0.25">
      <c r="A3340" s="204">
        <v>43043</v>
      </c>
      <c r="B3340" s="26" t="s">
        <v>26</v>
      </c>
      <c r="C3340" s="26" t="s">
        <v>2581</v>
      </c>
      <c r="D3340" s="8">
        <v>350</v>
      </c>
      <c r="E3340" s="8"/>
      <c r="F3340" s="8">
        <f t="shared" si="47"/>
        <v>1985</v>
      </c>
      <c r="G3340" s="26"/>
    </row>
    <row r="3341" spans="1:7" x14ac:dyDescent="0.25">
      <c r="A3341" s="204">
        <v>43043</v>
      </c>
      <c r="B3341" s="26" t="s">
        <v>17</v>
      </c>
      <c r="C3341" s="26" t="s">
        <v>2569</v>
      </c>
      <c r="D3341" s="8">
        <v>600</v>
      </c>
      <c r="E3341" s="8"/>
      <c r="F3341" s="8">
        <f t="shared" si="47"/>
        <v>1385</v>
      </c>
      <c r="G3341" s="26"/>
    </row>
    <row r="3342" spans="1:7" x14ac:dyDescent="0.25">
      <c r="A3342" s="204">
        <v>43043</v>
      </c>
      <c r="B3342" s="26" t="s">
        <v>1840</v>
      </c>
      <c r="C3342" s="26" t="s">
        <v>2582</v>
      </c>
      <c r="D3342" s="8">
        <v>135</v>
      </c>
      <c r="E3342" s="8"/>
      <c r="F3342" s="8">
        <f t="shared" si="47"/>
        <v>1250</v>
      </c>
      <c r="G3342" s="26"/>
    </row>
    <row r="3343" spans="1:7" x14ac:dyDescent="0.25">
      <c r="A3343" s="204">
        <v>43045</v>
      </c>
      <c r="B3343" s="180" t="s">
        <v>2162</v>
      </c>
      <c r="C3343" s="180" t="s">
        <v>2591</v>
      </c>
      <c r="D3343" s="57">
        <v>200</v>
      </c>
      <c r="E3343" s="8"/>
      <c r="F3343" s="8">
        <f t="shared" si="47"/>
        <v>1050</v>
      </c>
      <c r="G3343" s="26"/>
    </row>
    <row r="3344" spans="1:7" x14ac:dyDescent="0.25">
      <c r="A3344" s="204">
        <v>43045</v>
      </c>
      <c r="B3344" s="460" t="s">
        <v>2586</v>
      </c>
      <c r="C3344" s="460"/>
      <c r="D3344" s="71"/>
      <c r="E3344" s="58">
        <v>50000</v>
      </c>
      <c r="F3344" s="8">
        <f t="shared" si="47"/>
        <v>51050</v>
      </c>
      <c r="G3344" s="26"/>
    </row>
    <row r="3345" spans="1:7" x14ac:dyDescent="0.25">
      <c r="A3345" s="204">
        <v>43045</v>
      </c>
      <c r="B3345" s="26" t="s">
        <v>17</v>
      </c>
      <c r="C3345" s="26" t="s">
        <v>2583</v>
      </c>
      <c r="D3345" s="8">
        <v>8000</v>
      </c>
      <c r="E3345" s="8"/>
      <c r="F3345" s="8">
        <f t="shared" si="47"/>
        <v>43050</v>
      </c>
      <c r="G3345" s="26"/>
    </row>
    <row r="3346" spans="1:7" x14ac:dyDescent="0.25">
      <c r="A3346" s="204">
        <v>43045</v>
      </c>
      <c r="B3346" s="26" t="s">
        <v>2353</v>
      </c>
      <c r="C3346" s="26" t="s">
        <v>2584</v>
      </c>
      <c r="D3346" s="8">
        <v>50</v>
      </c>
      <c r="E3346" s="8"/>
      <c r="F3346" s="8">
        <f t="shared" si="47"/>
        <v>43000</v>
      </c>
      <c r="G3346" s="26"/>
    </row>
    <row r="3347" spans="1:7" x14ac:dyDescent="0.25">
      <c r="A3347" s="204">
        <v>43045</v>
      </c>
      <c r="B3347" s="460" t="s">
        <v>2590</v>
      </c>
      <c r="C3347" s="460"/>
      <c r="D3347" s="71"/>
      <c r="E3347" s="58">
        <v>1770</v>
      </c>
      <c r="F3347" s="8">
        <f t="shared" si="47"/>
        <v>44770</v>
      </c>
      <c r="G3347" s="26"/>
    </row>
    <row r="3348" spans="1:7" x14ac:dyDescent="0.25">
      <c r="A3348" s="204">
        <v>43046</v>
      </c>
      <c r="B3348" s="26" t="s">
        <v>58</v>
      </c>
      <c r="C3348" s="26" t="s">
        <v>2585</v>
      </c>
      <c r="D3348" s="8">
        <v>7000</v>
      </c>
      <c r="E3348" s="8"/>
      <c r="F3348" s="8">
        <f t="shared" si="47"/>
        <v>37770</v>
      </c>
      <c r="G3348" s="26"/>
    </row>
    <row r="3349" spans="1:7" x14ac:dyDescent="0.25">
      <c r="A3349" s="204">
        <v>43046</v>
      </c>
      <c r="B3349" s="180" t="s">
        <v>1346</v>
      </c>
      <c r="C3349" s="180" t="s">
        <v>2547</v>
      </c>
      <c r="D3349" s="57">
        <v>3000</v>
      </c>
      <c r="E3349" s="8"/>
      <c r="F3349" s="8">
        <f t="shared" si="47"/>
        <v>34770</v>
      </c>
      <c r="G3349" s="26"/>
    </row>
    <row r="3350" spans="1:7" x14ac:dyDescent="0.25">
      <c r="A3350" s="204">
        <v>43046</v>
      </c>
      <c r="B3350" s="26" t="s">
        <v>10</v>
      </c>
      <c r="C3350" s="26" t="s">
        <v>2587</v>
      </c>
      <c r="D3350" s="8">
        <v>2000</v>
      </c>
      <c r="E3350" s="8"/>
      <c r="F3350" s="8">
        <f t="shared" si="47"/>
        <v>32770</v>
      </c>
      <c r="G3350" s="26"/>
    </row>
    <row r="3351" spans="1:7" x14ac:dyDescent="0.25">
      <c r="A3351" s="204">
        <v>43046</v>
      </c>
      <c r="B3351" s="26" t="s">
        <v>2588</v>
      </c>
      <c r="C3351" s="26" t="s">
        <v>2593</v>
      </c>
      <c r="D3351" s="8">
        <v>10000</v>
      </c>
      <c r="E3351" s="8"/>
      <c r="F3351" s="8">
        <f t="shared" si="47"/>
        <v>22770</v>
      </c>
      <c r="G3351" s="26"/>
    </row>
    <row r="3352" spans="1:7" x14ac:dyDescent="0.25">
      <c r="A3352" s="204">
        <v>43046</v>
      </c>
      <c r="B3352" s="26" t="s">
        <v>2589</v>
      </c>
      <c r="C3352" s="87" t="s">
        <v>2594</v>
      </c>
      <c r="D3352" s="8">
        <v>17400</v>
      </c>
      <c r="E3352" s="8"/>
      <c r="F3352" s="8">
        <f t="shared" si="47"/>
        <v>5370</v>
      </c>
      <c r="G3352" s="26"/>
    </row>
    <row r="3353" spans="1:7" x14ac:dyDescent="0.25">
      <c r="A3353" s="204">
        <v>43046</v>
      </c>
      <c r="B3353" s="26" t="s">
        <v>26</v>
      </c>
      <c r="C3353" s="26" t="s">
        <v>2592</v>
      </c>
      <c r="D3353" s="8">
        <v>1300</v>
      </c>
      <c r="E3353" s="8"/>
      <c r="F3353" s="8">
        <f t="shared" si="47"/>
        <v>4070</v>
      </c>
      <c r="G3353" s="26"/>
    </row>
    <row r="3354" spans="1:7" x14ac:dyDescent="0.25">
      <c r="A3354" s="204">
        <v>43046</v>
      </c>
      <c r="B3354" s="26" t="s">
        <v>2162</v>
      </c>
      <c r="C3354" s="26" t="s">
        <v>2595</v>
      </c>
      <c r="D3354" s="8">
        <v>960</v>
      </c>
      <c r="E3354" s="8"/>
      <c r="F3354" s="8">
        <f t="shared" si="47"/>
        <v>3110</v>
      </c>
      <c r="G3354" s="26"/>
    </row>
    <row r="3355" spans="1:7" x14ac:dyDescent="0.25">
      <c r="A3355" s="204">
        <v>43046</v>
      </c>
      <c r="B3355" s="26" t="s">
        <v>2162</v>
      </c>
      <c r="C3355" s="26" t="s">
        <v>2600</v>
      </c>
      <c r="D3355" s="8">
        <v>250</v>
      </c>
      <c r="E3355" s="8"/>
      <c r="F3355" s="8">
        <f t="shared" si="47"/>
        <v>2860</v>
      </c>
      <c r="G3355" s="26"/>
    </row>
    <row r="3356" spans="1:7" x14ac:dyDescent="0.25">
      <c r="A3356" s="204">
        <v>43046</v>
      </c>
      <c r="B3356" s="26" t="s">
        <v>857</v>
      </c>
      <c r="C3356" s="26" t="s">
        <v>2596</v>
      </c>
      <c r="D3356" s="8">
        <v>2000</v>
      </c>
      <c r="E3356" s="8"/>
      <c r="F3356" s="8">
        <f t="shared" si="47"/>
        <v>860</v>
      </c>
      <c r="G3356" s="26"/>
    </row>
    <row r="3357" spans="1:7" ht="30" x14ac:dyDescent="0.25">
      <c r="A3357" s="204">
        <v>43046</v>
      </c>
      <c r="B3357" s="26" t="s">
        <v>2597</v>
      </c>
      <c r="C3357" s="87" t="s">
        <v>2598</v>
      </c>
      <c r="D3357" s="8">
        <v>420</v>
      </c>
      <c r="E3357" s="8"/>
      <c r="F3357" s="8">
        <f t="shared" si="47"/>
        <v>440</v>
      </c>
      <c r="G3357" s="26"/>
    </row>
    <row r="3358" spans="1:7" x14ac:dyDescent="0.25">
      <c r="A3358" s="204">
        <v>43046</v>
      </c>
      <c r="B3358" s="26" t="s">
        <v>2597</v>
      </c>
      <c r="C3358" s="26" t="s">
        <v>2599</v>
      </c>
      <c r="D3358" s="8">
        <v>100</v>
      </c>
      <c r="E3358" s="8"/>
      <c r="F3358" s="8">
        <f t="shared" si="47"/>
        <v>340</v>
      </c>
      <c r="G3358" s="26"/>
    </row>
    <row r="3359" spans="1:7" x14ac:dyDescent="0.25">
      <c r="A3359" s="204">
        <v>43046</v>
      </c>
      <c r="B3359" s="26" t="s">
        <v>2505</v>
      </c>
      <c r="C3359" s="26" t="s">
        <v>2601</v>
      </c>
      <c r="D3359" s="8">
        <v>260</v>
      </c>
      <c r="E3359" s="8"/>
      <c r="F3359" s="8">
        <f t="shared" si="47"/>
        <v>80</v>
      </c>
      <c r="G3359" s="26"/>
    </row>
    <row r="3360" spans="1:7" x14ac:dyDescent="0.25">
      <c r="A3360" s="204">
        <v>43046</v>
      </c>
      <c r="B3360" s="26" t="s">
        <v>26</v>
      </c>
      <c r="C3360" s="26" t="s">
        <v>2602</v>
      </c>
      <c r="D3360" s="8">
        <v>50</v>
      </c>
      <c r="E3360" s="8"/>
      <c r="F3360" s="8">
        <f t="shared" si="47"/>
        <v>30</v>
      </c>
      <c r="G3360" s="26"/>
    </row>
    <row r="3361" spans="1:7" x14ac:dyDescent="0.25">
      <c r="A3361" s="204">
        <v>43046</v>
      </c>
      <c r="B3361" s="460" t="s">
        <v>2620</v>
      </c>
      <c r="C3361" s="460"/>
      <c r="D3361" s="71"/>
      <c r="E3361" s="58">
        <v>50000</v>
      </c>
      <c r="F3361" s="8">
        <f t="shared" si="47"/>
        <v>50030</v>
      </c>
      <c r="G3361" s="26"/>
    </row>
    <row r="3362" spans="1:7" ht="30" x14ac:dyDescent="0.25">
      <c r="A3362" s="204">
        <v>43047</v>
      </c>
      <c r="B3362" s="26" t="s">
        <v>542</v>
      </c>
      <c r="C3362" s="87" t="s">
        <v>2619</v>
      </c>
      <c r="D3362" s="8">
        <v>1000</v>
      </c>
      <c r="E3362" s="8"/>
      <c r="F3362" s="8">
        <f>F3361+E3362-D3362</f>
        <v>49030</v>
      </c>
      <c r="G3362" s="26"/>
    </row>
    <row r="3363" spans="1:7" x14ac:dyDescent="0.25">
      <c r="A3363" s="204">
        <v>43047</v>
      </c>
      <c r="B3363" s="26" t="s">
        <v>59</v>
      </c>
      <c r="C3363" s="26" t="s">
        <v>2603</v>
      </c>
      <c r="D3363" s="8">
        <v>70</v>
      </c>
      <c r="E3363" s="8"/>
      <c r="F3363" s="8">
        <f>F3362+E3363-D3363</f>
        <v>48960</v>
      </c>
      <c r="G3363" s="26"/>
    </row>
    <row r="3364" spans="1:7" x14ac:dyDescent="0.25">
      <c r="A3364" s="204">
        <v>43047</v>
      </c>
      <c r="B3364" s="26" t="s">
        <v>59</v>
      </c>
      <c r="C3364" s="26" t="s">
        <v>2604</v>
      </c>
      <c r="D3364" s="8">
        <v>70</v>
      </c>
      <c r="E3364" s="8"/>
      <c r="F3364" s="8">
        <f t="shared" si="47"/>
        <v>48890</v>
      </c>
      <c r="G3364" s="26"/>
    </row>
    <row r="3365" spans="1:7" ht="60" x14ac:dyDescent="0.25">
      <c r="A3365" s="204">
        <v>43047</v>
      </c>
      <c r="B3365" s="199" t="s">
        <v>59</v>
      </c>
      <c r="C3365" s="207" t="s">
        <v>2606</v>
      </c>
      <c r="D3365" s="91">
        <v>120</v>
      </c>
      <c r="E3365" s="91"/>
      <c r="F3365" s="91">
        <f t="shared" si="47"/>
        <v>48770</v>
      </c>
      <c r="G3365" s="199"/>
    </row>
    <row r="3366" spans="1:7" x14ac:dyDescent="0.25">
      <c r="A3366" s="204">
        <v>43047</v>
      </c>
      <c r="B3366" s="26" t="s">
        <v>59</v>
      </c>
      <c r="C3366" s="26" t="s">
        <v>2605</v>
      </c>
      <c r="D3366" s="8">
        <v>100</v>
      </c>
      <c r="E3366" s="8"/>
      <c r="F3366" s="91">
        <f t="shared" si="47"/>
        <v>48670</v>
      </c>
      <c r="G3366" s="26"/>
    </row>
    <row r="3367" spans="1:7" x14ac:dyDescent="0.25">
      <c r="A3367" s="204">
        <v>43047</v>
      </c>
      <c r="B3367" s="26" t="s">
        <v>94</v>
      </c>
      <c r="C3367" s="26" t="s">
        <v>2607</v>
      </c>
      <c r="D3367" s="8">
        <v>7000</v>
      </c>
      <c r="E3367" s="8"/>
      <c r="F3367" s="91">
        <f t="shared" si="47"/>
        <v>41670</v>
      </c>
      <c r="G3367" s="26"/>
    </row>
    <row r="3368" spans="1:7" x14ac:dyDescent="0.25">
      <c r="A3368" s="204">
        <v>43047</v>
      </c>
      <c r="B3368" s="26" t="s">
        <v>94</v>
      </c>
      <c r="C3368" s="26" t="s">
        <v>2608</v>
      </c>
      <c r="D3368" s="8">
        <v>5000</v>
      </c>
      <c r="E3368" s="8"/>
      <c r="F3368" s="91">
        <f t="shared" si="47"/>
        <v>36670</v>
      </c>
      <c r="G3368" s="26"/>
    </row>
    <row r="3369" spans="1:7" x14ac:dyDescent="0.25">
      <c r="A3369" s="204">
        <v>43047</v>
      </c>
      <c r="B3369" s="26" t="s">
        <v>2207</v>
      </c>
      <c r="C3369" s="26" t="s">
        <v>2609</v>
      </c>
      <c r="D3369" s="8">
        <v>980</v>
      </c>
      <c r="E3369" s="8"/>
      <c r="F3369" s="91">
        <f t="shared" si="47"/>
        <v>35690</v>
      </c>
      <c r="G3369" s="26"/>
    </row>
    <row r="3370" spans="1:7" x14ac:dyDescent="0.25">
      <c r="A3370" s="204">
        <v>43047</v>
      </c>
      <c r="B3370" s="26" t="s">
        <v>57</v>
      </c>
      <c r="C3370" s="26" t="s">
        <v>2610</v>
      </c>
      <c r="D3370" s="8">
        <v>2000</v>
      </c>
      <c r="E3370" s="8"/>
      <c r="F3370" s="91">
        <f t="shared" si="47"/>
        <v>33690</v>
      </c>
      <c r="G3370" s="26"/>
    </row>
    <row r="3371" spans="1:7" ht="30" x14ac:dyDescent="0.25">
      <c r="A3371" s="204">
        <v>43047</v>
      </c>
      <c r="B3371" s="199" t="s">
        <v>2613</v>
      </c>
      <c r="C3371" s="207" t="s">
        <v>2614</v>
      </c>
      <c r="D3371" s="91">
        <v>2200</v>
      </c>
      <c r="E3371" s="91"/>
      <c r="F3371" s="91">
        <f t="shared" ref="F3371:F3389" si="48">F3370+E3371-D3371</f>
        <v>31490</v>
      </c>
      <c r="G3371" s="199"/>
    </row>
    <row r="3372" spans="1:7" x14ac:dyDescent="0.25">
      <c r="A3372" s="204">
        <v>43047</v>
      </c>
      <c r="B3372" s="26" t="s">
        <v>26</v>
      </c>
      <c r="C3372" s="26" t="s">
        <v>2617</v>
      </c>
      <c r="D3372" s="8">
        <v>500</v>
      </c>
      <c r="E3372" s="8"/>
      <c r="F3372" s="91">
        <f t="shared" si="48"/>
        <v>30990</v>
      </c>
      <c r="G3372" s="26"/>
    </row>
    <row r="3373" spans="1:7" x14ac:dyDescent="0.25">
      <c r="A3373" s="204">
        <v>43047</v>
      </c>
      <c r="B3373" s="26" t="s">
        <v>26</v>
      </c>
      <c r="C3373" s="26" t="s">
        <v>2615</v>
      </c>
      <c r="D3373" s="8">
        <v>220</v>
      </c>
      <c r="E3373" s="8"/>
      <c r="F3373" s="91">
        <f t="shared" si="48"/>
        <v>30770</v>
      </c>
      <c r="G3373" s="26"/>
    </row>
    <row r="3374" spans="1:7" x14ac:dyDescent="0.25">
      <c r="A3374" s="204">
        <v>43047</v>
      </c>
      <c r="B3374" s="26" t="s">
        <v>26</v>
      </c>
      <c r="C3374" s="26" t="s">
        <v>2616</v>
      </c>
      <c r="D3374" s="8">
        <v>420</v>
      </c>
      <c r="E3374" s="8"/>
      <c r="F3374" s="91">
        <f t="shared" si="48"/>
        <v>30350</v>
      </c>
      <c r="G3374" s="26"/>
    </row>
    <row r="3375" spans="1:7" x14ac:dyDescent="0.25">
      <c r="A3375" s="204">
        <v>43047</v>
      </c>
      <c r="B3375" s="26" t="s">
        <v>26</v>
      </c>
      <c r="C3375" s="26" t="s">
        <v>2618</v>
      </c>
      <c r="D3375" s="8">
        <v>40</v>
      </c>
      <c r="E3375" s="8"/>
      <c r="F3375" s="91">
        <f t="shared" si="48"/>
        <v>30310</v>
      </c>
      <c r="G3375" s="26"/>
    </row>
    <row r="3376" spans="1:7" ht="30" x14ac:dyDescent="0.25">
      <c r="A3376" s="204">
        <v>43048</v>
      </c>
      <c r="B3376" s="199" t="s">
        <v>14</v>
      </c>
      <c r="C3376" s="207" t="s">
        <v>2621</v>
      </c>
      <c r="D3376" s="91">
        <v>30000</v>
      </c>
      <c r="E3376" s="91"/>
      <c r="F3376" s="91">
        <f t="shared" si="48"/>
        <v>310</v>
      </c>
      <c r="G3376" s="199"/>
    </row>
    <row r="3377" spans="1:12" x14ac:dyDescent="0.25">
      <c r="A3377" s="204">
        <v>43048</v>
      </c>
      <c r="B3377" s="460" t="s">
        <v>2622</v>
      </c>
      <c r="C3377" s="460"/>
      <c r="D3377" s="71"/>
      <c r="E3377" s="58">
        <v>18150</v>
      </c>
      <c r="F3377" s="91">
        <f t="shared" si="48"/>
        <v>18460</v>
      </c>
      <c r="G3377" s="26"/>
    </row>
    <row r="3378" spans="1:12" x14ac:dyDescent="0.25">
      <c r="A3378" s="204">
        <v>43049</v>
      </c>
      <c r="B3378" s="26" t="s">
        <v>17</v>
      </c>
      <c r="C3378" s="26" t="s">
        <v>295</v>
      </c>
      <c r="D3378" s="8">
        <v>200</v>
      </c>
      <c r="E3378" s="8"/>
      <c r="F3378" s="91">
        <f t="shared" si="48"/>
        <v>18260</v>
      </c>
      <c r="G3378" s="26"/>
    </row>
    <row r="3379" spans="1:12" x14ac:dyDescent="0.25">
      <c r="A3379" s="204">
        <v>43049</v>
      </c>
      <c r="B3379" s="26" t="s">
        <v>0</v>
      </c>
      <c r="C3379" s="26" t="s">
        <v>2623</v>
      </c>
      <c r="D3379" s="8">
        <v>2000</v>
      </c>
      <c r="E3379" s="8"/>
      <c r="F3379" s="91">
        <f t="shared" si="48"/>
        <v>16260</v>
      </c>
      <c r="G3379" s="26"/>
    </row>
    <row r="3380" spans="1:12" x14ac:dyDescent="0.25">
      <c r="A3380" s="204">
        <v>43049</v>
      </c>
      <c r="B3380" s="180" t="s">
        <v>248</v>
      </c>
      <c r="C3380" s="180" t="s">
        <v>2632</v>
      </c>
      <c r="D3380" s="57">
        <v>2500</v>
      </c>
      <c r="E3380" s="8"/>
      <c r="F3380" s="91">
        <f t="shared" si="48"/>
        <v>13760</v>
      </c>
      <c r="G3380" s="26"/>
    </row>
    <row r="3381" spans="1:12" x14ac:dyDescent="0.25">
      <c r="A3381" s="204">
        <v>43050</v>
      </c>
      <c r="B3381" s="26" t="s">
        <v>542</v>
      </c>
      <c r="C3381" s="26" t="s">
        <v>2624</v>
      </c>
      <c r="D3381" s="8">
        <v>12000</v>
      </c>
      <c r="E3381" s="8"/>
      <c r="F3381" s="91">
        <f t="shared" si="48"/>
        <v>1760</v>
      </c>
      <c r="G3381" s="26"/>
    </row>
    <row r="3382" spans="1:12" x14ac:dyDescent="0.25">
      <c r="A3382" s="204">
        <v>43050</v>
      </c>
      <c r="B3382" s="26" t="s">
        <v>59</v>
      </c>
      <c r="C3382" s="87" t="s">
        <v>2633</v>
      </c>
      <c r="D3382" s="8">
        <v>350</v>
      </c>
      <c r="E3382" s="8"/>
      <c r="F3382" s="91">
        <f t="shared" si="48"/>
        <v>1410</v>
      </c>
      <c r="G3382" s="26"/>
    </row>
    <row r="3383" spans="1:12" x14ac:dyDescent="0.25">
      <c r="A3383" s="204">
        <v>43050</v>
      </c>
      <c r="B3383" s="26" t="s">
        <v>59</v>
      </c>
      <c r="C3383" s="87" t="s">
        <v>2634</v>
      </c>
      <c r="D3383" s="8">
        <v>50</v>
      </c>
      <c r="E3383" s="8"/>
      <c r="F3383" s="91">
        <f t="shared" si="48"/>
        <v>1360</v>
      </c>
      <c r="G3383" s="26"/>
    </row>
    <row r="3384" spans="1:12" x14ac:dyDescent="0.25">
      <c r="A3384" s="204">
        <v>43050</v>
      </c>
      <c r="B3384" s="26" t="s">
        <v>59</v>
      </c>
      <c r="C3384" s="87" t="s">
        <v>2635</v>
      </c>
      <c r="D3384" s="8">
        <v>100</v>
      </c>
      <c r="E3384" s="8"/>
      <c r="F3384" s="91">
        <f t="shared" si="48"/>
        <v>1260</v>
      </c>
      <c r="G3384" s="26"/>
    </row>
    <row r="3385" spans="1:12" x14ac:dyDescent="0.25">
      <c r="A3385" s="204">
        <v>43050</v>
      </c>
      <c r="B3385" s="26" t="s">
        <v>26</v>
      </c>
      <c r="C3385" s="26" t="s">
        <v>2636</v>
      </c>
      <c r="D3385" s="8">
        <v>110</v>
      </c>
      <c r="E3385" s="8"/>
      <c r="F3385" s="91">
        <f t="shared" si="48"/>
        <v>1150</v>
      </c>
      <c r="G3385" s="26"/>
    </row>
    <row r="3386" spans="1:12" x14ac:dyDescent="0.25">
      <c r="A3386" s="204">
        <v>43050</v>
      </c>
      <c r="B3386" s="26" t="s">
        <v>26</v>
      </c>
      <c r="C3386" s="26" t="s">
        <v>2625</v>
      </c>
      <c r="D3386" s="8">
        <v>150</v>
      </c>
      <c r="E3386" s="8"/>
      <c r="F3386" s="91">
        <f t="shared" si="48"/>
        <v>1000</v>
      </c>
      <c r="G3386" s="26"/>
    </row>
    <row r="3387" spans="1:12" x14ac:dyDescent="0.25">
      <c r="A3387" s="204">
        <v>43050</v>
      </c>
      <c r="B3387" s="26" t="s">
        <v>26</v>
      </c>
      <c r="C3387" s="26" t="s">
        <v>2626</v>
      </c>
      <c r="D3387" s="8">
        <v>70</v>
      </c>
      <c r="E3387" s="8"/>
      <c r="F3387" s="91">
        <f t="shared" si="48"/>
        <v>930</v>
      </c>
      <c r="G3387" s="26"/>
    </row>
    <row r="3388" spans="1:12" x14ac:dyDescent="0.25">
      <c r="A3388" s="204">
        <v>43050</v>
      </c>
      <c r="B3388" s="26" t="s">
        <v>26</v>
      </c>
      <c r="C3388" s="26" t="s">
        <v>2627</v>
      </c>
      <c r="D3388" s="8">
        <v>350</v>
      </c>
      <c r="E3388" s="8"/>
      <c r="F3388" s="91">
        <f t="shared" si="48"/>
        <v>580</v>
      </c>
      <c r="G3388" s="26"/>
    </row>
    <row r="3389" spans="1:12" x14ac:dyDescent="0.25">
      <c r="A3389" s="204">
        <v>43050</v>
      </c>
      <c r="B3389" s="26" t="s">
        <v>26</v>
      </c>
      <c r="C3389" s="26" t="s">
        <v>2629</v>
      </c>
      <c r="D3389" s="8">
        <f>40+190+60</f>
        <v>290</v>
      </c>
      <c r="E3389" s="8"/>
      <c r="F3389" s="91">
        <f t="shared" si="48"/>
        <v>290</v>
      </c>
      <c r="G3389" s="26"/>
      <c r="H3389" s="12"/>
      <c r="I3389" s="12"/>
      <c r="J3389" s="12"/>
      <c r="K3389" s="4"/>
      <c r="L3389" s="4"/>
    </row>
    <row r="3390" spans="1:12" x14ac:dyDescent="0.25">
      <c r="A3390" s="204">
        <v>43050</v>
      </c>
      <c r="B3390" s="26" t="s">
        <v>26</v>
      </c>
      <c r="C3390" s="26" t="s">
        <v>2628</v>
      </c>
      <c r="D3390" s="8">
        <v>300</v>
      </c>
      <c r="E3390" s="8"/>
      <c r="F3390" s="91">
        <f>F3389+E3390-D3390</f>
        <v>-10</v>
      </c>
      <c r="G3390" s="26"/>
      <c r="H3390" s="12"/>
      <c r="I3390" s="22"/>
      <c r="J3390" s="12"/>
      <c r="K3390" s="4"/>
      <c r="L3390" s="4"/>
    </row>
    <row r="3391" spans="1:12" x14ac:dyDescent="0.25">
      <c r="A3391" s="204">
        <v>43052</v>
      </c>
      <c r="B3391" s="460" t="s">
        <v>2644</v>
      </c>
      <c r="C3391" s="460"/>
      <c r="D3391" s="71"/>
      <c r="E3391" s="58">
        <v>50000</v>
      </c>
      <c r="F3391" s="91">
        <v>50000</v>
      </c>
      <c r="G3391" s="26"/>
      <c r="H3391" s="12"/>
      <c r="I3391" s="22"/>
      <c r="J3391" s="12"/>
      <c r="K3391" s="4"/>
      <c r="L3391" s="4"/>
    </row>
    <row r="3392" spans="1:12" x14ac:dyDescent="0.25">
      <c r="A3392" s="204">
        <v>43052</v>
      </c>
      <c r="B3392" s="26" t="s">
        <v>17</v>
      </c>
      <c r="C3392" s="26" t="s">
        <v>2637</v>
      </c>
      <c r="D3392" s="8">
        <v>100</v>
      </c>
      <c r="E3392" s="8"/>
      <c r="F3392" s="91">
        <f>F3391+E3392-D3392</f>
        <v>49900</v>
      </c>
      <c r="G3392" s="26"/>
      <c r="H3392" s="12"/>
      <c r="I3392" s="22"/>
      <c r="J3392" s="12"/>
      <c r="K3392" s="4"/>
      <c r="L3392" s="4"/>
    </row>
    <row r="3393" spans="1:12" ht="45" x14ac:dyDescent="0.25">
      <c r="A3393" s="204">
        <v>43052</v>
      </c>
      <c r="B3393" s="26" t="s">
        <v>2641</v>
      </c>
      <c r="C3393" s="87" t="s">
        <v>2655</v>
      </c>
      <c r="D3393" s="8">
        <v>14100</v>
      </c>
      <c r="E3393" s="8"/>
      <c r="F3393" s="91">
        <f t="shared" ref="F3393:F3420" si="49">F3392+E3393-D3393</f>
        <v>35800</v>
      </c>
      <c r="G3393" s="26"/>
      <c r="H3393" s="12"/>
      <c r="I3393" s="12"/>
      <c r="J3393" s="12"/>
      <c r="K3393" s="4"/>
      <c r="L3393" s="4"/>
    </row>
    <row r="3394" spans="1:12" x14ac:dyDescent="0.25">
      <c r="A3394" s="204">
        <v>43052</v>
      </c>
      <c r="B3394" s="26" t="s">
        <v>1840</v>
      </c>
      <c r="C3394" s="26" t="s">
        <v>2639</v>
      </c>
      <c r="D3394" s="8">
        <v>2800</v>
      </c>
      <c r="E3394" s="8"/>
      <c r="F3394" s="91">
        <f t="shared" si="49"/>
        <v>33000</v>
      </c>
      <c r="G3394" s="26"/>
    </row>
    <row r="3395" spans="1:12" x14ac:dyDescent="0.25">
      <c r="A3395" s="204">
        <v>43052</v>
      </c>
      <c r="B3395" s="26" t="s">
        <v>1840</v>
      </c>
      <c r="C3395" s="26" t="s">
        <v>2638</v>
      </c>
      <c r="D3395" s="8">
        <v>3000</v>
      </c>
      <c r="E3395" s="8"/>
      <c r="F3395" s="91">
        <f t="shared" si="49"/>
        <v>30000</v>
      </c>
      <c r="G3395" s="26"/>
    </row>
    <row r="3396" spans="1:12" x14ac:dyDescent="0.25">
      <c r="A3396" s="204">
        <v>43052</v>
      </c>
      <c r="B3396" s="26" t="s">
        <v>14</v>
      </c>
      <c r="C3396" s="26" t="s">
        <v>2640</v>
      </c>
      <c r="D3396" s="8">
        <v>1000</v>
      </c>
      <c r="E3396" s="8"/>
      <c r="F3396" s="91">
        <f t="shared" si="49"/>
        <v>29000</v>
      </c>
      <c r="G3396" s="26"/>
    </row>
    <row r="3397" spans="1:12" x14ac:dyDescent="0.25">
      <c r="A3397" s="204">
        <v>43052</v>
      </c>
      <c r="B3397" s="26" t="s">
        <v>1840</v>
      </c>
      <c r="C3397" s="26" t="s">
        <v>2656</v>
      </c>
      <c r="D3397" s="8">
        <v>9000</v>
      </c>
      <c r="E3397" s="8"/>
      <c r="F3397" s="91">
        <f t="shared" si="49"/>
        <v>20000</v>
      </c>
      <c r="G3397" s="26"/>
    </row>
    <row r="3398" spans="1:12" x14ac:dyDescent="0.25">
      <c r="A3398" s="204">
        <v>43052</v>
      </c>
      <c r="B3398" s="26" t="s">
        <v>1840</v>
      </c>
      <c r="C3398" s="26" t="s">
        <v>2642</v>
      </c>
      <c r="D3398" s="8">
        <v>600</v>
      </c>
      <c r="E3398" s="8"/>
      <c r="F3398" s="91">
        <f t="shared" si="49"/>
        <v>19400</v>
      </c>
      <c r="G3398" s="26"/>
    </row>
    <row r="3399" spans="1:12" x14ac:dyDescent="0.25">
      <c r="A3399" s="204">
        <v>43052</v>
      </c>
      <c r="B3399" s="26" t="s">
        <v>58</v>
      </c>
      <c r="C3399" s="26" t="s">
        <v>2643</v>
      </c>
      <c r="D3399" s="8">
        <v>2000</v>
      </c>
      <c r="E3399" s="8"/>
      <c r="F3399" s="91">
        <f t="shared" si="49"/>
        <v>17400</v>
      </c>
      <c r="G3399" s="26"/>
    </row>
    <row r="3400" spans="1:12" ht="30" x14ac:dyDescent="0.25">
      <c r="A3400" s="204">
        <v>43053</v>
      </c>
      <c r="B3400" s="26" t="s">
        <v>26</v>
      </c>
      <c r="C3400" s="87" t="s">
        <v>2645</v>
      </c>
      <c r="D3400" s="8">
        <v>900</v>
      </c>
      <c r="E3400" s="8"/>
      <c r="F3400" s="91">
        <f t="shared" si="49"/>
        <v>16500</v>
      </c>
      <c r="G3400" s="26"/>
    </row>
    <row r="3401" spans="1:12" x14ac:dyDescent="0.25">
      <c r="A3401" s="204">
        <v>43053</v>
      </c>
      <c r="B3401" s="26" t="s">
        <v>26</v>
      </c>
      <c r="C3401" s="26" t="s">
        <v>2646</v>
      </c>
      <c r="D3401" s="8">
        <v>250</v>
      </c>
      <c r="E3401" s="8"/>
      <c r="F3401" s="91">
        <f t="shared" si="49"/>
        <v>16250</v>
      </c>
      <c r="G3401" s="26"/>
    </row>
    <row r="3402" spans="1:12" x14ac:dyDescent="0.25">
      <c r="A3402" s="204">
        <v>43053</v>
      </c>
      <c r="B3402" s="26" t="s">
        <v>26</v>
      </c>
      <c r="C3402" s="29" t="s">
        <v>2630</v>
      </c>
      <c r="D3402" s="8">
        <v>150</v>
      </c>
      <c r="E3402" s="8"/>
      <c r="F3402" s="91">
        <f t="shared" si="49"/>
        <v>16100</v>
      </c>
      <c r="G3402" s="26"/>
    </row>
    <row r="3403" spans="1:12" x14ac:dyDescent="0.25">
      <c r="A3403" s="204">
        <v>43053</v>
      </c>
      <c r="B3403" s="26" t="s">
        <v>26</v>
      </c>
      <c r="C3403" s="29" t="s">
        <v>2631</v>
      </c>
      <c r="D3403" s="8">
        <v>170</v>
      </c>
      <c r="E3403" s="8"/>
      <c r="F3403" s="91">
        <f t="shared" si="49"/>
        <v>15930</v>
      </c>
      <c r="G3403" s="26"/>
    </row>
    <row r="3404" spans="1:12" x14ac:dyDescent="0.25">
      <c r="A3404" s="204">
        <v>43053</v>
      </c>
      <c r="B3404" s="26" t="s">
        <v>26</v>
      </c>
      <c r="C3404" s="29" t="s">
        <v>942</v>
      </c>
      <c r="D3404" s="8">
        <v>370</v>
      </c>
      <c r="E3404" s="8"/>
      <c r="F3404" s="91">
        <f t="shared" si="49"/>
        <v>15560</v>
      </c>
      <c r="G3404" s="26"/>
    </row>
    <row r="3405" spans="1:12" ht="30" x14ac:dyDescent="0.25">
      <c r="A3405" s="204">
        <v>43053</v>
      </c>
      <c r="B3405" s="199" t="s">
        <v>21</v>
      </c>
      <c r="C3405" s="207" t="s">
        <v>2647</v>
      </c>
      <c r="D3405" s="91">
        <v>1000</v>
      </c>
      <c r="E3405" s="91"/>
      <c r="F3405" s="91">
        <f t="shared" si="49"/>
        <v>14560</v>
      </c>
      <c r="G3405" s="199"/>
    </row>
    <row r="3406" spans="1:12" x14ac:dyDescent="0.25">
      <c r="A3406" s="204">
        <v>43053</v>
      </c>
      <c r="B3406" s="26" t="s">
        <v>2648</v>
      </c>
      <c r="C3406" s="26" t="s">
        <v>2649</v>
      </c>
      <c r="D3406" s="8">
        <v>1000</v>
      </c>
      <c r="E3406" s="8"/>
      <c r="F3406" s="91">
        <f t="shared" si="49"/>
        <v>13560</v>
      </c>
      <c r="G3406" s="26"/>
    </row>
    <row r="3407" spans="1:12" x14ac:dyDescent="0.25">
      <c r="A3407" s="204">
        <v>43053</v>
      </c>
      <c r="B3407" s="26" t="s">
        <v>2162</v>
      </c>
      <c r="C3407" s="26" t="s">
        <v>2650</v>
      </c>
      <c r="D3407" s="8">
        <v>360</v>
      </c>
      <c r="E3407" s="8"/>
      <c r="F3407" s="91">
        <f t="shared" si="49"/>
        <v>13200</v>
      </c>
      <c r="G3407" s="26"/>
    </row>
    <row r="3408" spans="1:12" x14ac:dyDescent="0.25">
      <c r="A3408" s="204">
        <v>43054</v>
      </c>
      <c r="B3408" s="26" t="s">
        <v>17</v>
      </c>
      <c r="C3408" s="26" t="s">
        <v>2651</v>
      </c>
      <c r="D3408" s="8">
        <v>5000</v>
      </c>
      <c r="E3408" s="8"/>
      <c r="F3408" s="91">
        <f t="shared" si="49"/>
        <v>8200</v>
      </c>
      <c r="G3408" s="26"/>
    </row>
    <row r="3409" spans="1:7" x14ac:dyDescent="0.25">
      <c r="A3409" s="204">
        <v>43054</v>
      </c>
      <c r="B3409" s="26" t="s">
        <v>61</v>
      </c>
      <c r="C3409" s="26" t="s">
        <v>2652</v>
      </c>
      <c r="D3409" s="8">
        <v>2000</v>
      </c>
      <c r="E3409" s="8"/>
      <c r="F3409" s="91">
        <f t="shared" si="49"/>
        <v>6200</v>
      </c>
      <c r="G3409" s="26"/>
    </row>
    <row r="3410" spans="1:7" x14ac:dyDescent="0.25">
      <c r="A3410" s="204">
        <v>43054</v>
      </c>
      <c r="B3410" s="26" t="s">
        <v>2653</v>
      </c>
      <c r="C3410" s="26" t="s">
        <v>2654</v>
      </c>
      <c r="D3410" s="8">
        <v>2400</v>
      </c>
      <c r="E3410" s="8"/>
      <c r="F3410" s="91">
        <f t="shared" si="49"/>
        <v>3800</v>
      </c>
      <c r="G3410" s="26"/>
    </row>
    <row r="3411" spans="1:7" x14ac:dyDescent="0.25">
      <c r="A3411" s="204">
        <v>43054</v>
      </c>
      <c r="B3411" s="26" t="s">
        <v>1196</v>
      </c>
      <c r="C3411" s="26" t="s">
        <v>2657</v>
      </c>
      <c r="D3411" s="8">
        <v>2500</v>
      </c>
      <c r="E3411" s="8"/>
      <c r="F3411" s="91">
        <f t="shared" si="49"/>
        <v>1300</v>
      </c>
      <c r="G3411" s="26"/>
    </row>
    <row r="3412" spans="1:7" x14ac:dyDescent="0.25">
      <c r="A3412" s="204">
        <v>43055</v>
      </c>
      <c r="B3412" s="26" t="s">
        <v>26</v>
      </c>
      <c r="C3412" s="26" t="s">
        <v>2658</v>
      </c>
      <c r="D3412" s="8">
        <v>210</v>
      </c>
      <c r="E3412" s="8"/>
      <c r="F3412" s="91">
        <f t="shared" si="49"/>
        <v>1090</v>
      </c>
      <c r="G3412" s="26"/>
    </row>
    <row r="3413" spans="1:7" x14ac:dyDescent="0.25">
      <c r="A3413" s="204">
        <v>43055</v>
      </c>
      <c r="B3413" s="26" t="s">
        <v>2648</v>
      </c>
      <c r="C3413" s="26" t="s">
        <v>2659</v>
      </c>
      <c r="D3413" s="8">
        <v>50</v>
      </c>
      <c r="E3413" s="8"/>
      <c r="F3413" s="91">
        <f t="shared" si="49"/>
        <v>1040</v>
      </c>
      <c r="G3413" s="26"/>
    </row>
    <row r="3414" spans="1:7" x14ac:dyDescent="0.25">
      <c r="A3414" s="204">
        <v>43055</v>
      </c>
      <c r="B3414" s="26" t="s">
        <v>26</v>
      </c>
      <c r="C3414" s="26" t="s">
        <v>668</v>
      </c>
      <c r="D3414" s="8">
        <v>130</v>
      </c>
      <c r="E3414" s="8"/>
      <c r="F3414" s="91">
        <f t="shared" si="49"/>
        <v>910</v>
      </c>
      <c r="G3414" s="26"/>
    </row>
    <row r="3415" spans="1:7" x14ac:dyDescent="0.25">
      <c r="A3415" s="204">
        <v>43055</v>
      </c>
      <c r="B3415" s="26" t="s">
        <v>26</v>
      </c>
      <c r="C3415" s="26" t="s">
        <v>2660</v>
      </c>
      <c r="D3415" s="8">
        <v>70</v>
      </c>
      <c r="E3415" s="8"/>
      <c r="F3415" s="91">
        <f t="shared" si="49"/>
        <v>840</v>
      </c>
      <c r="G3415" s="26"/>
    </row>
    <row r="3416" spans="1:7" x14ac:dyDescent="0.25">
      <c r="A3416" s="204">
        <v>43055</v>
      </c>
      <c r="B3416" s="26" t="s">
        <v>26</v>
      </c>
      <c r="C3416" s="26" t="s">
        <v>2661</v>
      </c>
      <c r="D3416" s="8">
        <v>100</v>
      </c>
      <c r="E3416" s="8"/>
      <c r="F3416" s="91">
        <f t="shared" si="49"/>
        <v>740</v>
      </c>
      <c r="G3416" s="26"/>
    </row>
    <row r="3417" spans="1:7" x14ac:dyDescent="0.25">
      <c r="A3417" s="204">
        <v>43055</v>
      </c>
      <c r="B3417" s="26" t="s">
        <v>26</v>
      </c>
      <c r="C3417" s="26" t="s">
        <v>2662</v>
      </c>
      <c r="D3417" s="8">
        <v>350</v>
      </c>
      <c r="E3417" s="8"/>
      <c r="F3417" s="91">
        <f t="shared" si="49"/>
        <v>390</v>
      </c>
      <c r="G3417" s="26"/>
    </row>
    <row r="3418" spans="1:7" x14ac:dyDescent="0.25">
      <c r="A3418" s="204">
        <v>43055</v>
      </c>
      <c r="B3418" s="26" t="s">
        <v>26</v>
      </c>
      <c r="C3418" s="26" t="s">
        <v>2663</v>
      </c>
      <c r="D3418" s="8">
        <v>200</v>
      </c>
      <c r="E3418" s="8"/>
      <c r="F3418" s="91">
        <f t="shared" si="49"/>
        <v>190</v>
      </c>
      <c r="G3418" s="26"/>
    </row>
    <row r="3419" spans="1:7" x14ac:dyDescent="0.25">
      <c r="A3419" s="204">
        <v>43055</v>
      </c>
      <c r="B3419" s="26" t="s">
        <v>26</v>
      </c>
      <c r="C3419" s="26" t="s">
        <v>2664</v>
      </c>
      <c r="D3419" s="8">
        <v>250</v>
      </c>
      <c r="E3419" s="8"/>
      <c r="F3419" s="91">
        <f t="shared" si="49"/>
        <v>-60</v>
      </c>
      <c r="G3419" s="26"/>
    </row>
    <row r="3420" spans="1:7" x14ac:dyDescent="0.25">
      <c r="A3420" s="204">
        <v>43055</v>
      </c>
      <c r="B3420" s="460" t="s">
        <v>2668</v>
      </c>
      <c r="C3420" s="460"/>
      <c r="D3420" s="71"/>
      <c r="E3420" s="58">
        <v>50000</v>
      </c>
      <c r="F3420" s="91">
        <f t="shared" si="49"/>
        <v>49940</v>
      </c>
      <c r="G3420" s="26"/>
    </row>
    <row r="3421" spans="1:7" x14ac:dyDescent="0.25">
      <c r="A3421" s="204">
        <v>43055</v>
      </c>
      <c r="B3421" s="199" t="s">
        <v>17</v>
      </c>
      <c r="C3421" s="199" t="s">
        <v>2669</v>
      </c>
      <c r="D3421" s="91">
        <v>11000</v>
      </c>
      <c r="E3421" s="91"/>
      <c r="F3421" s="91">
        <f>F3420+E3421-D3421</f>
        <v>38940</v>
      </c>
      <c r="G3421" s="199"/>
    </row>
    <row r="3422" spans="1:7" x14ac:dyDescent="0.25">
      <c r="A3422" s="204">
        <v>43055</v>
      </c>
      <c r="B3422" s="199" t="s">
        <v>1515</v>
      </c>
      <c r="C3422" s="199" t="s">
        <v>2670</v>
      </c>
      <c r="D3422" s="91">
        <v>1000</v>
      </c>
      <c r="E3422" s="91"/>
      <c r="F3422" s="91">
        <f>F3421+E3422-D3422</f>
        <v>37940</v>
      </c>
      <c r="G3422" s="199"/>
    </row>
    <row r="3423" spans="1:7" x14ac:dyDescent="0.25">
      <c r="A3423" s="204">
        <v>43055</v>
      </c>
      <c r="B3423" s="199" t="s">
        <v>61</v>
      </c>
      <c r="C3423" s="199" t="s">
        <v>32</v>
      </c>
      <c r="D3423" s="91">
        <v>2000</v>
      </c>
      <c r="E3423" s="91"/>
      <c r="F3423" s="91">
        <f>F3422+E3423-D3423</f>
        <v>35940</v>
      </c>
      <c r="G3423" s="199"/>
    </row>
    <row r="3424" spans="1:7" ht="30" x14ac:dyDescent="0.25">
      <c r="A3424" s="204">
        <v>43055</v>
      </c>
      <c r="B3424" s="199" t="s">
        <v>2597</v>
      </c>
      <c r="C3424" s="207" t="s">
        <v>2671</v>
      </c>
      <c r="D3424" s="91">
        <v>550</v>
      </c>
      <c r="E3424" s="91"/>
      <c r="F3424" s="91">
        <f>F3423+E3424-D3424</f>
        <v>35390</v>
      </c>
      <c r="G3424" s="199"/>
    </row>
    <row r="3425" spans="1:7" ht="45" x14ac:dyDescent="0.25">
      <c r="A3425" s="204">
        <v>43055</v>
      </c>
      <c r="B3425" s="199" t="s">
        <v>2505</v>
      </c>
      <c r="C3425" s="207" t="s">
        <v>2672</v>
      </c>
      <c r="D3425" s="91">
        <v>800</v>
      </c>
      <c r="E3425" s="91"/>
      <c r="F3425" s="91">
        <f t="shared" ref="F3425:F3465" si="50">F3424+E3425-D3425</f>
        <v>34590</v>
      </c>
      <c r="G3425" s="199"/>
    </row>
    <row r="3426" spans="1:7" x14ac:dyDescent="0.25">
      <c r="A3426" s="204">
        <v>43055</v>
      </c>
      <c r="B3426" s="199" t="s">
        <v>26</v>
      </c>
      <c r="C3426" s="199" t="s">
        <v>2329</v>
      </c>
      <c r="D3426" s="91">
        <v>150</v>
      </c>
      <c r="E3426" s="91"/>
      <c r="F3426" s="91">
        <f t="shared" si="50"/>
        <v>34440</v>
      </c>
      <c r="G3426" s="199"/>
    </row>
    <row r="3427" spans="1:7" x14ac:dyDescent="0.25">
      <c r="A3427" s="204">
        <v>43055</v>
      </c>
      <c r="B3427" s="199" t="s">
        <v>26</v>
      </c>
      <c r="C3427" s="199" t="s">
        <v>2665</v>
      </c>
      <c r="D3427" s="91">
        <v>50</v>
      </c>
      <c r="E3427" s="91"/>
      <c r="F3427" s="91">
        <f t="shared" si="50"/>
        <v>34390</v>
      </c>
      <c r="G3427" s="199"/>
    </row>
    <row r="3428" spans="1:7" x14ac:dyDescent="0.25">
      <c r="A3428" s="204">
        <v>43055</v>
      </c>
      <c r="B3428" s="199" t="s">
        <v>26</v>
      </c>
      <c r="C3428" s="199" t="s">
        <v>2666</v>
      </c>
      <c r="D3428" s="91">
        <v>170</v>
      </c>
      <c r="E3428" s="91"/>
      <c r="F3428" s="91">
        <f t="shared" si="50"/>
        <v>34220</v>
      </c>
      <c r="G3428" s="199"/>
    </row>
    <row r="3429" spans="1:7" x14ac:dyDescent="0.25">
      <c r="A3429" s="204">
        <v>43055</v>
      </c>
      <c r="B3429" s="199" t="s">
        <v>26</v>
      </c>
      <c r="C3429" s="199" t="s">
        <v>2667</v>
      </c>
      <c r="D3429" s="91">
        <v>360</v>
      </c>
      <c r="E3429" s="91"/>
      <c r="F3429" s="91">
        <f t="shared" si="50"/>
        <v>33860</v>
      </c>
      <c r="G3429" s="199"/>
    </row>
    <row r="3430" spans="1:7" x14ac:dyDescent="0.25">
      <c r="A3430" s="204">
        <v>43055</v>
      </c>
      <c r="B3430" s="199" t="s">
        <v>26</v>
      </c>
      <c r="C3430" s="199" t="s">
        <v>52</v>
      </c>
      <c r="D3430" s="91">
        <v>170</v>
      </c>
      <c r="E3430" s="91"/>
      <c r="F3430" s="91">
        <f t="shared" si="50"/>
        <v>33690</v>
      </c>
      <c r="G3430" s="199"/>
    </row>
    <row r="3431" spans="1:7" x14ac:dyDescent="0.25">
      <c r="A3431" s="204">
        <v>43055</v>
      </c>
      <c r="B3431" s="199" t="s">
        <v>26</v>
      </c>
      <c r="C3431" s="199" t="s">
        <v>2692</v>
      </c>
      <c r="D3431" s="91">
        <v>70</v>
      </c>
      <c r="E3431" s="91"/>
      <c r="F3431" s="91">
        <f t="shared" si="50"/>
        <v>33620</v>
      </c>
      <c r="G3431" s="199"/>
    </row>
    <row r="3432" spans="1:7" ht="30" x14ac:dyDescent="0.25">
      <c r="A3432" s="204">
        <v>43056</v>
      </c>
      <c r="B3432" s="199" t="s">
        <v>1840</v>
      </c>
      <c r="C3432" s="207" t="s">
        <v>2673</v>
      </c>
      <c r="D3432" s="91">
        <v>200</v>
      </c>
      <c r="E3432" s="91"/>
      <c r="F3432" s="91">
        <f t="shared" si="50"/>
        <v>33420</v>
      </c>
      <c r="G3432" s="199"/>
    </row>
    <row r="3433" spans="1:7" ht="30" x14ac:dyDescent="0.25">
      <c r="A3433" s="204">
        <v>43056</v>
      </c>
      <c r="B3433" s="199" t="s">
        <v>29</v>
      </c>
      <c r="C3433" s="207" t="s">
        <v>2674</v>
      </c>
      <c r="D3433" s="91">
        <v>5000</v>
      </c>
      <c r="E3433" s="91"/>
      <c r="F3433" s="91">
        <f t="shared" si="50"/>
        <v>28420</v>
      </c>
      <c r="G3433" s="199"/>
    </row>
    <row r="3434" spans="1:7" x14ac:dyDescent="0.25">
      <c r="A3434" s="204">
        <v>43056</v>
      </c>
      <c r="B3434" s="26" t="s">
        <v>1619</v>
      </c>
      <c r="C3434" s="87" t="s">
        <v>2675</v>
      </c>
      <c r="D3434" s="8">
        <v>1000</v>
      </c>
      <c r="E3434" s="8"/>
      <c r="F3434" s="91">
        <f t="shared" si="50"/>
        <v>27420</v>
      </c>
      <c r="G3434" s="26"/>
    </row>
    <row r="3435" spans="1:7" x14ac:dyDescent="0.25">
      <c r="A3435" s="204">
        <v>43056</v>
      </c>
      <c r="B3435" s="26" t="s">
        <v>1619</v>
      </c>
      <c r="C3435" s="87" t="s">
        <v>2676</v>
      </c>
      <c r="D3435" s="8">
        <v>520</v>
      </c>
      <c r="E3435" s="8"/>
      <c r="F3435" s="91">
        <f t="shared" si="50"/>
        <v>26900</v>
      </c>
      <c r="G3435" s="26"/>
    </row>
    <row r="3436" spans="1:7" x14ac:dyDescent="0.25">
      <c r="A3436" s="204">
        <v>43056</v>
      </c>
      <c r="B3436" s="26" t="s">
        <v>2677</v>
      </c>
      <c r="C3436" s="87" t="s">
        <v>2678</v>
      </c>
      <c r="D3436" s="8">
        <v>1010</v>
      </c>
      <c r="E3436" s="8"/>
      <c r="F3436" s="91">
        <f t="shared" si="50"/>
        <v>25890</v>
      </c>
      <c r="G3436" s="26"/>
    </row>
    <row r="3437" spans="1:7" x14ac:dyDescent="0.25">
      <c r="A3437" s="204">
        <v>43056</v>
      </c>
      <c r="B3437" s="26" t="s">
        <v>248</v>
      </c>
      <c r="C3437" s="87" t="s">
        <v>2679</v>
      </c>
      <c r="D3437" s="8">
        <v>2955</v>
      </c>
      <c r="E3437" s="8"/>
      <c r="F3437" s="91">
        <f t="shared" si="50"/>
        <v>22935</v>
      </c>
      <c r="G3437" s="26"/>
    </row>
    <row r="3438" spans="1:7" x14ac:dyDescent="0.25">
      <c r="A3438" s="204">
        <v>43056</v>
      </c>
      <c r="B3438" s="26" t="s">
        <v>248</v>
      </c>
      <c r="C3438" s="87" t="s">
        <v>2680</v>
      </c>
      <c r="D3438" s="8">
        <v>2100</v>
      </c>
      <c r="E3438" s="8"/>
      <c r="F3438" s="91">
        <f t="shared" si="50"/>
        <v>20835</v>
      </c>
      <c r="G3438" s="26"/>
    </row>
    <row r="3439" spans="1:7" x14ac:dyDescent="0.25">
      <c r="A3439" s="204">
        <v>43056</v>
      </c>
      <c r="B3439" s="218" t="s">
        <v>59</v>
      </c>
      <c r="C3439" s="225" t="s">
        <v>2681</v>
      </c>
      <c r="D3439" s="97">
        <v>850</v>
      </c>
      <c r="E3439" s="8"/>
      <c r="F3439" s="91">
        <f t="shared" si="50"/>
        <v>19985</v>
      </c>
      <c r="G3439" s="26"/>
    </row>
    <row r="3440" spans="1:7" x14ac:dyDescent="0.25">
      <c r="A3440" s="204">
        <v>43056</v>
      </c>
      <c r="B3440" s="26" t="s">
        <v>21</v>
      </c>
      <c r="C3440" s="87" t="s">
        <v>2682</v>
      </c>
      <c r="D3440" s="8">
        <v>1000</v>
      </c>
      <c r="E3440" s="8"/>
      <c r="F3440" s="91">
        <f t="shared" si="50"/>
        <v>18985</v>
      </c>
      <c r="G3440" s="26"/>
    </row>
    <row r="3441" spans="1:7" x14ac:dyDescent="0.25">
      <c r="A3441" s="204">
        <v>43056</v>
      </c>
      <c r="B3441" s="26" t="s">
        <v>26</v>
      </c>
      <c r="C3441" s="87" t="s">
        <v>2690</v>
      </c>
      <c r="D3441" s="8">
        <v>70</v>
      </c>
      <c r="E3441" s="8"/>
      <c r="F3441" s="91">
        <f t="shared" si="50"/>
        <v>18915</v>
      </c>
      <c r="G3441" s="26"/>
    </row>
    <row r="3442" spans="1:7" x14ac:dyDescent="0.25">
      <c r="A3442" s="204">
        <v>43056</v>
      </c>
      <c r="B3442" s="26" t="s">
        <v>26</v>
      </c>
      <c r="C3442" s="87" t="s">
        <v>2683</v>
      </c>
      <c r="D3442" s="8">
        <v>200</v>
      </c>
      <c r="E3442" s="8"/>
      <c r="F3442" s="91">
        <f t="shared" si="50"/>
        <v>18715</v>
      </c>
      <c r="G3442" s="26"/>
    </row>
    <row r="3443" spans="1:7" x14ac:dyDescent="0.25">
      <c r="A3443" s="204">
        <v>43056</v>
      </c>
      <c r="B3443" s="26" t="s">
        <v>248</v>
      </c>
      <c r="C3443" s="87" t="s">
        <v>2016</v>
      </c>
      <c r="D3443" s="8">
        <v>50</v>
      </c>
      <c r="E3443" s="8"/>
      <c r="F3443" s="91">
        <f t="shared" si="50"/>
        <v>18665</v>
      </c>
      <c r="G3443" s="26"/>
    </row>
    <row r="3444" spans="1:7" x14ac:dyDescent="0.25">
      <c r="A3444" s="204">
        <v>43056</v>
      </c>
      <c r="B3444" s="218" t="s">
        <v>1346</v>
      </c>
      <c r="C3444" s="225" t="s">
        <v>2700</v>
      </c>
      <c r="D3444" s="97">
        <v>10000</v>
      </c>
      <c r="E3444" s="8"/>
      <c r="F3444" s="91">
        <f t="shared" si="50"/>
        <v>8665</v>
      </c>
      <c r="G3444" s="26"/>
    </row>
    <row r="3445" spans="1:7" x14ac:dyDescent="0.25">
      <c r="A3445" s="204">
        <v>43056</v>
      </c>
      <c r="B3445" s="26" t="s">
        <v>26</v>
      </c>
      <c r="C3445" s="87" t="s">
        <v>2685</v>
      </c>
      <c r="D3445" s="8">
        <v>70</v>
      </c>
      <c r="E3445" s="8"/>
      <c r="F3445" s="91">
        <f t="shared" si="50"/>
        <v>8595</v>
      </c>
      <c r="G3445" s="26"/>
    </row>
    <row r="3446" spans="1:7" x14ac:dyDescent="0.25">
      <c r="A3446" s="204">
        <v>43056</v>
      </c>
      <c r="B3446" s="26" t="s">
        <v>26</v>
      </c>
      <c r="C3446" s="87" t="s">
        <v>2686</v>
      </c>
      <c r="D3446" s="8">
        <v>130</v>
      </c>
      <c r="E3446" s="8"/>
      <c r="F3446" s="91">
        <f t="shared" si="50"/>
        <v>8465</v>
      </c>
      <c r="G3446" s="26"/>
    </row>
    <row r="3447" spans="1:7" x14ac:dyDescent="0.25">
      <c r="A3447" s="204">
        <v>43056</v>
      </c>
      <c r="B3447" s="26" t="s">
        <v>26</v>
      </c>
      <c r="C3447" s="87" t="s">
        <v>2687</v>
      </c>
      <c r="D3447" s="8">
        <v>130</v>
      </c>
      <c r="E3447" s="8"/>
      <c r="F3447" s="91">
        <f t="shared" si="50"/>
        <v>8335</v>
      </c>
      <c r="G3447" s="26"/>
    </row>
    <row r="3448" spans="1:7" x14ac:dyDescent="0.25">
      <c r="A3448" s="204">
        <v>43056</v>
      </c>
      <c r="B3448" s="26" t="s">
        <v>85</v>
      </c>
      <c r="C3448" s="87" t="s">
        <v>2693</v>
      </c>
      <c r="D3448" s="8">
        <v>1000</v>
      </c>
      <c r="E3448" s="8"/>
      <c r="F3448" s="91">
        <f t="shared" si="50"/>
        <v>7335</v>
      </c>
      <c r="G3448" s="26"/>
    </row>
    <row r="3449" spans="1:7" x14ac:dyDescent="0.25">
      <c r="A3449" s="204">
        <v>43056</v>
      </c>
      <c r="B3449" s="26" t="s">
        <v>26</v>
      </c>
      <c r="C3449" s="87" t="s">
        <v>2688</v>
      </c>
      <c r="D3449" s="8">
        <v>15</v>
      </c>
      <c r="E3449" s="8"/>
      <c r="F3449" s="91">
        <f t="shared" si="50"/>
        <v>7320</v>
      </c>
      <c r="G3449" s="26"/>
    </row>
    <row r="3450" spans="1:7" x14ac:dyDescent="0.25">
      <c r="A3450" s="204">
        <v>43056</v>
      </c>
      <c r="B3450" s="26" t="s">
        <v>26</v>
      </c>
      <c r="C3450" s="87" t="s">
        <v>2691</v>
      </c>
      <c r="D3450" s="8">
        <v>150</v>
      </c>
      <c r="E3450" s="8"/>
      <c r="F3450" s="91">
        <f>F3449+E3450-D3450</f>
        <v>7170</v>
      </c>
      <c r="G3450" s="26"/>
    </row>
    <row r="3451" spans="1:7" x14ac:dyDescent="0.25">
      <c r="A3451" s="204">
        <v>43056</v>
      </c>
      <c r="B3451" s="26" t="s">
        <v>26</v>
      </c>
      <c r="C3451" s="87" t="s">
        <v>2704</v>
      </c>
      <c r="D3451" s="8">
        <v>100</v>
      </c>
      <c r="E3451" s="8"/>
      <c r="F3451" s="91">
        <f>F3450+E3451-D3451</f>
        <v>7070</v>
      </c>
      <c r="G3451" s="199"/>
    </row>
    <row r="3452" spans="1:7" x14ac:dyDescent="0.25">
      <c r="A3452" s="204">
        <v>43057</v>
      </c>
      <c r="B3452" s="29" t="s">
        <v>10</v>
      </c>
      <c r="C3452" s="89" t="s">
        <v>2684</v>
      </c>
      <c r="D3452" s="14">
        <v>1000</v>
      </c>
      <c r="E3452" s="8"/>
      <c r="F3452" s="91">
        <f t="shared" si="50"/>
        <v>6070</v>
      </c>
      <c r="G3452" s="199"/>
    </row>
    <row r="3453" spans="1:7" ht="30" customHeight="1" x14ac:dyDescent="0.25">
      <c r="A3453" s="204">
        <v>43057</v>
      </c>
      <c r="B3453" s="29" t="s">
        <v>2597</v>
      </c>
      <c r="C3453" s="89" t="s">
        <v>2701</v>
      </c>
      <c r="D3453" s="14">
        <v>3400</v>
      </c>
      <c r="E3453" s="8"/>
      <c r="F3453" s="91">
        <f t="shared" si="50"/>
        <v>2670</v>
      </c>
      <c r="G3453" s="199"/>
    </row>
    <row r="3454" spans="1:7" ht="30" x14ac:dyDescent="0.25">
      <c r="A3454" s="204">
        <v>43057</v>
      </c>
      <c r="B3454" s="29" t="s">
        <v>2597</v>
      </c>
      <c r="C3454" s="89" t="s">
        <v>2702</v>
      </c>
      <c r="D3454" s="14">
        <v>400</v>
      </c>
      <c r="E3454" s="8"/>
      <c r="F3454" s="91">
        <f t="shared" si="50"/>
        <v>2270</v>
      </c>
      <c r="G3454" s="199"/>
    </row>
    <row r="3455" spans="1:7" ht="30" x14ac:dyDescent="0.25">
      <c r="A3455" s="204">
        <v>43057</v>
      </c>
      <c r="B3455" s="29" t="s">
        <v>2597</v>
      </c>
      <c r="C3455" s="89" t="s">
        <v>2703</v>
      </c>
      <c r="D3455" s="14">
        <v>200</v>
      </c>
      <c r="E3455" s="8"/>
      <c r="F3455" s="91">
        <f t="shared" si="50"/>
        <v>2070</v>
      </c>
      <c r="G3455" s="199"/>
    </row>
    <row r="3456" spans="1:7" ht="30" x14ac:dyDescent="0.25">
      <c r="A3456" s="204">
        <v>43057</v>
      </c>
      <c r="B3456" s="199" t="s">
        <v>59</v>
      </c>
      <c r="C3456" s="207" t="s">
        <v>2689</v>
      </c>
      <c r="D3456" s="91">
        <v>250</v>
      </c>
      <c r="E3456" s="91"/>
      <c r="F3456" s="91">
        <f t="shared" si="50"/>
        <v>1820</v>
      </c>
      <c r="G3456" s="199"/>
    </row>
    <row r="3457" spans="1:7" ht="30" x14ac:dyDescent="0.25">
      <c r="A3457" s="204">
        <v>43057</v>
      </c>
      <c r="B3457" s="199" t="s">
        <v>59</v>
      </c>
      <c r="C3457" s="207" t="s">
        <v>2698</v>
      </c>
      <c r="D3457" s="91">
        <v>120</v>
      </c>
      <c r="E3457" s="91"/>
      <c r="F3457" s="91">
        <f t="shared" si="50"/>
        <v>1700</v>
      </c>
      <c r="G3457" s="199"/>
    </row>
    <row r="3458" spans="1:7" x14ac:dyDescent="0.25">
      <c r="A3458" s="204">
        <v>43057</v>
      </c>
      <c r="B3458" s="199" t="s">
        <v>59</v>
      </c>
      <c r="C3458" s="207" t="s">
        <v>2694</v>
      </c>
      <c r="D3458" s="91">
        <v>50</v>
      </c>
      <c r="E3458" s="91"/>
      <c r="F3458" s="91">
        <f t="shared" si="50"/>
        <v>1650</v>
      </c>
      <c r="G3458" s="199"/>
    </row>
    <row r="3459" spans="1:7" x14ac:dyDescent="0.25">
      <c r="A3459" s="204">
        <v>43061</v>
      </c>
      <c r="B3459" s="26" t="s">
        <v>26</v>
      </c>
      <c r="C3459" s="87" t="s">
        <v>2695</v>
      </c>
      <c r="D3459" s="8">
        <v>480</v>
      </c>
      <c r="E3459" s="8"/>
      <c r="F3459" s="91">
        <f t="shared" si="50"/>
        <v>1170</v>
      </c>
      <c r="G3459" s="26"/>
    </row>
    <row r="3460" spans="1:7" x14ac:dyDescent="0.25">
      <c r="A3460" s="204">
        <v>43061</v>
      </c>
      <c r="B3460" s="26" t="s">
        <v>26</v>
      </c>
      <c r="C3460" s="87" t="s">
        <v>2662</v>
      </c>
      <c r="D3460" s="8">
        <v>350</v>
      </c>
      <c r="E3460" s="8"/>
      <c r="F3460" s="91">
        <f t="shared" si="50"/>
        <v>820</v>
      </c>
      <c r="G3460" s="26"/>
    </row>
    <row r="3461" spans="1:7" x14ac:dyDescent="0.25">
      <c r="A3461" s="204">
        <v>43061</v>
      </c>
      <c r="B3461" s="26" t="s">
        <v>26</v>
      </c>
      <c r="C3461" s="87" t="s">
        <v>2696</v>
      </c>
      <c r="D3461" s="8">
        <v>100</v>
      </c>
      <c r="E3461" s="8"/>
      <c r="F3461" s="91">
        <f t="shared" si="50"/>
        <v>720</v>
      </c>
      <c r="G3461" s="26"/>
    </row>
    <row r="3462" spans="1:7" x14ac:dyDescent="0.25">
      <c r="A3462" s="204">
        <v>43061</v>
      </c>
      <c r="B3462" s="26" t="s">
        <v>26</v>
      </c>
      <c r="C3462" s="87" t="s">
        <v>2697</v>
      </c>
      <c r="D3462" s="8">
        <v>150</v>
      </c>
      <c r="E3462" s="8"/>
      <c r="F3462" s="91">
        <f t="shared" si="50"/>
        <v>570</v>
      </c>
      <c r="G3462" s="26"/>
    </row>
    <row r="3463" spans="1:7" x14ac:dyDescent="0.25">
      <c r="A3463" s="204">
        <v>43061</v>
      </c>
      <c r="B3463" s="26" t="s">
        <v>26</v>
      </c>
      <c r="C3463" s="87" t="s">
        <v>942</v>
      </c>
      <c r="D3463" s="8">
        <v>380</v>
      </c>
      <c r="E3463" s="8"/>
      <c r="F3463" s="91">
        <f t="shared" si="50"/>
        <v>190</v>
      </c>
      <c r="G3463" s="26"/>
    </row>
    <row r="3464" spans="1:7" x14ac:dyDescent="0.25">
      <c r="A3464" s="204">
        <v>43061</v>
      </c>
      <c r="B3464" s="26" t="s">
        <v>26</v>
      </c>
      <c r="C3464" s="87" t="s">
        <v>2699</v>
      </c>
      <c r="D3464" s="8">
        <v>150</v>
      </c>
      <c r="E3464" s="8"/>
      <c r="F3464" s="91">
        <f t="shared" si="50"/>
        <v>40</v>
      </c>
      <c r="G3464" s="26"/>
    </row>
    <row r="3465" spans="1:7" x14ac:dyDescent="0.25">
      <c r="A3465" s="204">
        <v>43061</v>
      </c>
      <c r="B3465" s="26" t="s">
        <v>26</v>
      </c>
      <c r="C3465" s="87" t="s">
        <v>2688</v>
      </c>
      <c r="D3465" s="8">
        <v>50</v>
      </c>
      <c r="E3465" s="8"/>
      <c r="F3465" s="91">
        <f t="shared" si="50"/>
        <v>-10</v>
      </c>
      <c r="G3465" s="26"/>
    </row>
    <row r="3466" spans="1:7" x14ac:dyDescent="0.25">
      <c r="A3466" s="204">
        <v>43061</v>
      </c>
      <c r="B3466" s="460" t="s">
        <v>2716</v>
      </c>
      <c r="C3466" s="460"/>
      <c r="D3466" s="71"/>
      <c r="E3466" s="58">
        <v>50000</v>
      </c>
      <c r="F3466" s="91">
        <v>50000</v>
      </c>
      <c r="G3466" s="26"/>
    </row>
    <row r="3467" spans="1:7" x14ac:dyDescent="0.25">
      <c r="A3467" s="204">
        <v>43061</v>
      </c>
      <c r="B3467" s="26" t="s">
        <v>0</v>
      </c>
      <c r="C3467" s="87" t="s">
        <v>490</v>
      </c>
      <c r="D3467" s="8">
        <v>8000</v>
      </c>
      <c r="E3467" s="8"/>
      <c r="F3467" s="91">
        <f t="shared" ref="F3467:F3556" si="51">F3466-D3467+E3467</f>
        <v>42000</v>
      </c>
      <c r="G3467" s="26"/>
    </row>
    <row r="3468" spans="1:7" x14ac:dyDescent="0.25">
      <c r="A3468" s="204">
        <v>43061</v>
      </c>
      <c r="B3468" s="26" t="s">
        <v>26</v>
      </c>
      <c r="C3468" s="87" t="s">
        <v>2705</v>
      </c>
      <c r="D3468" s="8">
        <v>900</v>
      </c>
      <c r="E3468" s="8"/>
      <c r="F3468" s="91">
        <f t="shared" si="51"/>
        <v>41100</v>
      </c>
      <c r="G3468" s="26"/>
    </row>
    <row r="3469" spans="1:7" ht="30" x14ac:dyDescent="0.25">
      <c r="A3469" s="204">
        <v>43061</v>
      </c>
      <c r="B3469" s="26" t="s">
        <v>61</v>
      </c>
      <c r="C3469" s="87" t="s">
        <v>2706</v>
      </c>
      <c r="D3469" s="8">
        <v>500</v>
      </c>
      <c r="E3469" s="8"/>
      <c r="F3469" s="91">
        <f t="shared" si="51"/>
        <v>40600</v>
      </c>
      <c r="G3469" s="26"/>
    </row>
    <row r="3470" spans="1:7" ht="30" x14ac:dyDescent="0.25">
      <c r="A3470" s="204">
        <v>43061</v>
      </c>
      <c r="B3470" s="26" t="s">
        <v>49</v>
      </c>
      <c r="C3470" s="87" t="s">
        <v>2707</v>
      </c>
      <c r="D3470" s="8">
        <v>125</v>
      </c>
      <c r="E3470" s="8"/>
      <c r="F3470" s="91">
        <f t="shared" si="51"/>
        <v>40475</v>
      </c>
      <c r="G3470" s="26"/>
    </row>
    <row r="3471" spans="1:7" x14ac:dyDescent="0.25">
      <c r="A3471" s="204">
        <v>43061</v>
      </c>
      <c r="B3471" s="26" t="s">
        <v>85</v>
      </c>
      <c r="C3471" s="87" t="s">
        <v>2708</v>
      </c>
      <c r="D3471" s="8">
        <v>3000</v>
      </c>
      <c r="E3471" s="8"/>
      <c r="F3471" s="91">
        <f t="shared" si="51"/>
        <v>37475</v>
      </c>
      <c r="G3471" s="26"/>
    </row>
    <row r="3472" spans="1:7" x14ac:dyDescent="0.25">
      <c r="A3472" s="204">
        <v>43061</v>
      </c>
      <c r="B3472" s="26" t="s">
        <v>26</v>
      </c>
      <c r="C3472" s="87" t="s">
        <v>2709</v>
      </c>
      <c r="D3472" s="8">
        <v>250</v>
      </c>
      <c r="E3472" s="8"/>
      <c r="F3472" s="91">
        <f t="shared" si="51"/>
        <v>37225</v>
      </c>
      <c r="G3472" s="26"/>
    </row>
    <row r="3473" spans="1:7" x14ac:dyDescent="0.25">
      <c r="A3473" s="204">
        <v>43061</v>
      </c>
      <c r="B3473" s="26" t="s">
        <v>26</v>
      </c>
      <c r="C3473" s="87" t="s">
        <v>2710</v>
      </c>
      <c r="D3473" s="8">
        <v>70</v>
      </c>
      <c r="E3473" s="8"/>
      <c r="F3473" s="91">
        <f t="shared" si="51"/>
        <v>37155</v>
      </c>
      <c r="G3473" s="26"/>
    </row>
    <row r="3474" spans="1:7" x14ac:dyDescent="0.25">
      <c r="A3474" s="204">
        <v>43061</v>
      </c>
      <c r="B3474" s="26" t="s">
        <v>26</v>
      </c>
      <c r="C3474" s="87" t="s">
        <v>2711</v>
      </c>
      <c r="D3474" s="8">
        <v>60</v>
      </c>
      <c r="E3474" s="8"/>
      <c r="F3474" s="91">
        <f t="shared" si="51"/>
        <v>37095</v>
      </c>
      <c r="G3474" s="26"/>
    </row>
    <row r="3475" spans="1:7" x14ac:dyDescent="0.25">
      <c r="A3475" s="204">
        <v>43062</v>
      </c>
      <c r="B3475" s="26" t="s">
        <v>85</v>
      </c>
      <c r="C3475" s="87" t="s">
        <v>2712</v>
      </c>
      <c r="D3475" s="8">
        <v>20000</v>
      </c>
      <c r="E3475" s="8"/>
      <c r="F3475" s="91">
        <f t="shared" si="51"/>
        <v>17095</v>
      </c>
      <c r="G3475" s="26"/>
    </row>
    <row r="3476" spans="1:7" x14ac:dyDescent="0.25">
      <c r="A3476" s="204">
        <v>43062</v>
      </c>
      <c r="B3476" s="26" t="s">
        <v>1840</v>
      </c>
      <c r="C3476" s="87" t="s">
        <v>2713</v>
      </c>
      <c r="D3476" s="8">
        <v>1000</v>
      </c>
      <c r="E3476" s="8"/>
      <c r="F3476" s="91">
        <f t="shared" si="51"/>
        <v>16095</v>
      </c>
      <c r="G3476" s="26"/>
    </row>
    <row r="3477" spans="1:7" x14ac:dyDescent="0.25">
      <c r="A3477" s="204">
        <v>43062</v>
      </c>
      <c r="B3477" s="26" t="s">
        <v>29</v>
      </c>
      <c r="C3477" s="87" t="s">
        <v>2714</v>
      </c>
      <c r="D3477" s="8">
        <v>2000</v>
      </c>
      <c r="E3477" s="8"/>
      <c r="F3477" s="91">
        <f t="shared" si="51"/>
        <v>14095</v>
      </c>
      <c r="G3477" s="26"/>
    </row>
    <row r="3478" spans="1:7" x14ac:dyDescent="0.25">
      <c r="A3478" s="204">
        <v>43062</v>
      </c>
      <c r="B3478" s="29" t="s">
        <v>2597</v>
      </c>
      <c r="C3478" s="89" t="s">
        <v>2715</v>
      </c>
      <c r="D3478" s="14">
        <v>9000</v>
      </c>
      <c r="E3478" s="8"/>
      <c r="F3478" s="91">
        <f t="shared" si="51"/>
        <v>5095</v>
      </c>
      <c r="G3478" s="26"/>
    </row>
    <row r="3479" spans="1:7" x14ac:dyDescent="0.25">
      <c r="A3479" s="204">
        <v>43062</v>
      </c>
      <c r="B3479" s="26" t="s">
        <v>61</v>
      </c>
      <c r="C3479" s="87" t="s">
        <v>2717</v>
      </c>
      <c r="D3479" s="8">
        <v>1500</v>
      </c>
      <c r="E3479" s="8"/>
      <c r="F3479" s="91">
        <f t="shared" si="51"/>
        <v>3595</v>
      </c>
      <c r="G3479" s="26"/>
    </row>
    <row r="3480" spans="1:7" ht="21.75" customHeight="1" x14ac:dyDescent="0.25">
      <c r="A3480" s="204">
        <v>43062</v>
      </c>
      <c r="B3480" s="26" t="s">
        <v>2597</v>
      </c>
      <c r="C3480" s="87" t="s">
        <v>2718</v>
      </c>
      <c r="D3480" s="8">
        <v>150</v>
      </c>
      <c r="E3480" s="8"/>
      <c r="F3480" s="91">
        <f t="shared" si="51"/>
        <v>3445</v>
      </c>
      <c r="G3480" s="26"/>
    </row>
    <row r="3481" spans="1:7" ht="30" x14ac:dyDescent="0.25">
      <c r="A3481" s="204">
        <v>43062</v>
      </c>
      <c r="B3481" s="26" t="s">
        <v>2597</v>
      </c>
      <c r="C3481" s="87" t="s">
        <v>2719</v>
      </c>
      <c r="D3481" s="8">
        <v>150</v>
      </c>
      <c r="E3481" s="8"/>
      <c r="F3481" s="91">
        <f t="shared" si="51"/>
        <v>3295</v>
      </c>
      <c r="G3481" s="26"/>
    </row>
    <row r="3482" spans="1:7" ht="30" x14ac:dyDescent="0.25">
      <c r="A3482" s="204">
        <v>43062</v>
      </c>
      <c r="B3482" s="26" t="s">
        <v>2597</v>
      </c>
      <c r="C3482" s="87" t="s">
        <v>2720</v>
      </c>
      <c r="D3482" s="8">
        <v>120</v>
      </c>
      <c r="E3482" s="8"/>
      <c r="F3482" s="91">
        <f t="shared" si="51"/>
        <v>3175</v>
      </c>
      <c r="G3482" s="26"/>
    </row>
    <row r="3483" spans="1:7" x14ac:dyDescent="0.25">
      <c r="A3483" s="204">
        <v>43062</v>
      </c>
      <c r="B3483" s="26" t="s">
        <v>10</v>
      </c>
      <c r="C3483" s="87" t="s">
        <v>2721</v>
      </c>
      <c r="D3483" s="8">
        <v>2000</v>
      </c>
      <c r="E3483" s="8"/>
      <c r="F3483" s="91">
        <f t="shared" si="51"/>
        <v>1175</v>
      </c>
      <c r="G3483" s="26"/>
    </row>
    <row r="3484" spans="1:7" x14ac:dyDescent="0.25">
      <c r="A3484" s="204" t="s">
        <v>2753</v>
      </c>
      <c r="B3484" s="460" t="s">
        <v>2722</v>
      </c>
      <c r="C3484" s="460"/>
      <c r="D3484" s="71"/>
      <c r="E3484" s="58">
        <v>50000</v>
      </c>
      <c r="F3484" s="91">
        <f t="shared" si="51"/>
        <v>51175</v>
      </c>
      <c r="G3484" s="26"/>
    </row>
    <row r="3485" spans="1:7" x14ac:dyDescent="0.25">
      <c r="A3485" s="204">
        <v>43062</v>
      </c>
      <c r="B3485" s="29" t="s">
        <v>2597</v>
      </c>
      <c r="C3485" s="89" t="s">
        <v>2723</v>
      </c>
      <c r="D3485" s="14">
        <v>2000</v>
      </c>
      <c r="E3485" s="8"/>
      <c r="F3485" s="91">
        <f t="shared" si="51"/>
        <v>49175</v>
      </c>
      <c r="G3485" s="26"/>
    </row>
    <row r="3486" spans="1:7" x14ac:dyDescent="0.25">
      <c r="A3486" s="204">
        <v>43062</v>
      </c>
      <c r="B3486" s="26" t="s">
        <v>182</v>
      </c>
      <c r="C3486" s="87" t="s">
        <v>2724</v>
      </c>
      <c r="D3486" s="8">
        <v>1000</v>
      </c>
      <c r="E3486" s="8"/>
      <c r="F3486" s="91">
        <f t="shared" si="51"/>
        <v>48175</v>
      </c>
      <c r="G3486" s="26"/>
    </row>
    <row r="3487" spans="1:7" x14ac:dyDescent="0.25">
      <c r="A3487" s="204">
        <v>43062</v>
      </c>
      <c r="B3487" s="26" t="s">
        <v>182</v>
      </c>
      <c r="C3487" s="87" t="s">
        <v>2725</v>
      </c>
      <c r="D3487" s="8">
        <v>240</v>
      </c>
      <c r="E3487" s="8"/>
      <c r="F3487" s="91">
        <f t="shared" si="51"/>
        <v>47935</v>
      </c>
      <c r="G3487" s="26"/>
    </row>
    <row r="3488" spans="1:7" ht="30" x14ac:dyDescent="0.25">
      <c r="A3488" s="204">
        <v>43062</v>
      </c>
      <c r="B3488" s="199" t="s">
        <v>182</v>
      </c>
      <c r="C3488" s="207" t="s">
        <v>2726</v>
      </c>
      <c r="D3488" s="91">
        <v>300</v>
      </c>
      <c r="E3488" s="91"/>
      <c r="F3488" s="91">
        <f t="shared" si="51"/>
        <v>47635</v>
      </c>
      <c r="G3488" s="199"/>
    </row>
    <row r="3489" spans="1:7" ht="30" x14ac:dyDescent="0.25">
      <c r="A3489" s="204">
        <v>43062</v>
      </c>
      <c r="B3489" s="26" t="s">
        <v>26</v>
      </c>
      <c r="C3489" s="87" t="s">
        <v>2727</v>
      </c>
      <c r="D3489" s="8">
        <v>1600</v>
      </c>
      <c r="E3489" s="8"/>
      <c r="F3489" s="91">
        <f t="shared" si="51"/>
        <v>46035</v>
      </c>
      <c r="G3489" s="26"/>
    </row>
    <row r="3490" spans="1:7" x14ac:dyDescent="0.25">
      <c r="A3490" s="204">
        <v>43062</v>
      </c>
      <c r="B3490" s="26" t="s">
        <v>98</v>
      </c>
      <c r="C3490" s="87" t="s">
        <v>2728</v>
      </c>
      <c r="D3490" s="8">
        <v>450</v>
      </c>
      <c r="E3490" s="8"/>
      <c r="F3490" s="91">
        <f t="shared" si="51"/>
        <v>45585</v>
      </c>
      <c r="G3490" s="26"/>
    </row>
    <row r="3491" spans="1:7" x14ac:dyDescent="0.25">
      <c r="A3491" s="204">
        <v>43062</v>
      </c>
      <c r="B3491" s="26" t="s">
        <v>1346</v>
      </c>
      <c r="C3491" s="87" t="s">
        <v>2729</v>
      </c>
      <c r="D3491" s="8">
        <v>3170</v>
      </c>
      <c r="E3491" s="8"/>
      <c r="F3491" s="91">
        <f t="shared" si="51"/>
        <v>42415</v>
      </c>
      <c r="G3491" s="26"/>
    </row>
    <row r="3492" spans="1:7" x14ac:dyDescent="0.25">
      <c r="A3492" s="204">
        <v>43063</v>
      </c>
      <c r="B3492" s="26" t="s">
        <v>0</v>
      </c>
      <c r="C3492" s="87" t="s">
        <v>78</v>
      </c>
      <c r="D3492" s="8">
        <v>1000</v>
      </c>
      <c r="E3492" s="8"/>
      <c r="F3492" s="91">
        <f t="shared" si="51"/>
        <v>41415</v>
      </c>
      <c r="G3492" s="26"/>
    </row>
    <row r="3493" spans="1:7" x14ac:dyDescent="0.25">
      <c r="A3493" s="204">
        <v>43063</v>
      </c>
      <c r="B3493" s="26" t="s">
        <v>248</v>
      </c>
      <c r="C3493" s="87" t="s">
        <v>2732</v>
      </c>
      <c r="D3493" s="8">
        <f>140+140+840</f>
        <v>1120</v>
      </c>
      <c r="E3493" s="8"/>
      <c r="F3493" s="91">
        <f t="shared" si="51"/>
        <v>40295</v>
      </c>
      <c r="G3493" s="26"/>
    </row>
    <row r="3494" spans="1:7" x14ac:dyDescent="0.25">
      <c r="A3494" s="204">
        <v>43063</v>
      </c>
      <c r="B3494" s="26" t="s">
        <v>248</v>
      </c>
      <c r="C3494" s="87" t="s">
        <v>2732</v>
      </c>
      <c r="D3494" s="8">
        <v>1680</v>
      </c>
      <c r="E3494" s="8"/>
      <c r="F3494" s="91">
        <f t="shared" si="51"/>
        <v>38615</v>
      </c>
      <c r="G3494" s="26"/>
    </row>
    <row r="3495" spans="1:7" x14ac:dyDescent="0.25">
      <c r="A3495" s="204">
        <v>43063</v>
      </c>
      <c r="B3495" s="26" t="s">
        <v>248</v>
      </c>
      <c r="C3495" s="87" t="s">
        <v>2733</v>
      </c>
      <c r="D3495" s="8">
        <v>1680</v>
      </c>
      <c r="E3495" s="8"/>
      <c r="F3495" s="91">
        <f t="shared" si="51"/>
        <v>36935</v>
      </c>
      <c r="G3495" s="26"/>
    </row>
    <row r="3496" spans="1:7" x14ac:dyDescent="0.25">
      <c r="A3496" s="204">
        <v>43063</v>
      </c>
      <c r="B3496" s="26" t="s">
        <v>14</v>
      </c>
      <c r="C3496" s="87" t="s">
        <v>288</v>
      </c>
      <c r="D3496" s="8">
        <v>15000</v>
      </c>
      <c r="E3496" s="8"/>
      <c r="F3496" s="91">
        <f t="shared" si="51"/>
        <v>21935</v>
      </c>
      <c r="G3496" s="26"/>
    </row>
    <row r="3497" spans="1:7" x14ac:dyDescent="0.25">
      <c r="A3497" s="204">
        <v>43063</v>
      </c>
      <c r="B3497" s="26" t="s">
        <v>542</v>
      </c>
      <c r="C3497" s="87" t="s">
        <v>641</v>
      </c>
      <c r="D3497" s="8">
        <v>1000</v>
      </c>
      <c r="E3497" s="8"/>
      <c r="F3497" s="91">
        <f t="shared" si="51"/>
        <v>20935</v>
      </c>
      <c r="G3497" s="26"/>
    </row>
    <row r="3498" spans="1:7" x14ac:dyDescent="0.25">
      <c r="A3498" s="204">
        <v>43063</v>
      </c>
      <c r="B3498" s="26" t="s">
        <v>59</v>
      </c>
      <c r="C3498" s="87" t="s">
        <v>2734</v>
      </c>
      <c r="D3498" s="8">
        <v>290</v>
      </c>
      <c r="E3498" s="8"/>
      <c r="F3498" s="91">
        <f t="shared" si="51"/>
        <v>20645</v>
      </c>
      <c r="G3498" s="26"/>
    </row>
    <row r="3499" spans="1:7" x14ac:dyDescent="0.25">
      <c r="A3499" s="204">
        <v>43063</v>
      </c>
      <c r="B3499" s="26" t="s">
        <v>2730</v>
      </c>
      <c r="C3499" s="87" t="s">
        <v>2731</v>
      </c>
      <c r="D3499" s="8">
        <v>260</v>
      </c>
      <c r="E3499" s="8"/>
      <c r="F3499" s="91">
        <f t="shared" si="51"/>
        <v>20385</v>
      </c>
      <c r="G3499" s="26"/>
    </row>
    <row r="3500" spans="1:7" ht="30" x14ac:dyDescent="0.25">
      <c r="A3500" s="204">
        <v>43063</v>
      </c>
      <c r="B3500" s="26" t="s">
        <v>59</v>
      </c>
      <c r="C3500" s="87" t="s">
        <v>2749</v>
      </c>
      <c r="D3500" s="8">
        <v>18550</v>
      </c>
      <c r="E3500" s="8"/>
      <c r="F3500" s="91">
        <f t="shared" si="51"/>
        <v>1835</v>
      </c>
      <c r="G3500" s="26"/>
    </row>
    <row r="3501" spans="1:7" x14ac:dyDescent="0.25">
      <c r="A3501" s="204">
        <v>43063</v>
      </c>
      <c r="B3501" s="26" t="s">
        <v>248</v>
      </c>
      <c r="C3501" s="87" t="s">
        <v>2016</v>
      </c>
      <c r="D3501" s="8">
        <v>50</v>
      </c>
      <c r="E3501" s="8"/>
      <c r="F3501" s="91">
        <f t="shared" si="51"/>
        <v>1785</v>
      </c>
      <c r="G3501" s="26"/>
    </row>
    <row r="3502" spans="1:7" x14ac:dyDescent="0.25">
      <c r="A3502" s="204">
        <v>43063</v>
      </c>
      <c r="B3502" s="180" t="s">
        <v>2677</v>
      </c>
      <c r="C3502" s="213" t="s">
        <v>2750</v>
      </c>
      <c r="D3502" s="57">
        <v>500</v>
      </c>
      <c r="E3502" s="8"/>
      <c r="F3502" s="91">
        <f t="shared" si="51"/>
        <v>1285</v>
      </c>
      <c r="G3502" s="26"/>
    </row>
    <row r="3503" spans="1:7" x14ac:dyDescent="0.25">
      <c r="A3503" s="204">
        <v>43063</v>
      </c>
      <c r="B3503" s="26" t="s">
        <v>26</v>
      </c>
      <c r="C3503" s="87" t="s">
        <v>2740</v>
      </c>
      <c r="D3503" s="8">
        <v>500</v>
      </c>
      <c r="E3503" s="8"/>
      <c r="F3503" s="91">
        <f t="shared" si="51"/>
        <v>785</v>
      </c>
      <c r="G3503" s="26"/>
    </row>
    <row r="3504" spans="1:7" x14ac:dyDescent="0.25">
      <c r="A3504" s="204">
        <v>43063</v>
      </c>
      <c r="B3504" s="26" t="s">
        <v>26</v>
      </c>
      <c r="C3504" s="87" t="s">
        <v>2741</v>
      </c>
      <c r="D3504" s="8">
        <v>50</v>
      </c>
      <c r="E3504" s="8"/>
      <c r="F3504" s="91">
        <f t="shared" si="51"/>
        <v>735</v>
      </c>
      <c r="G3504" s="26"/>
    </row>
    <row r="3505" spans="1:7" x14ac:dyDescent="0.25">
      <c r="A3505" s="204">
        <v>43063</v>
      </c>
      <c r="B3505" s="26" t="s">
        <v>26</v>
      </c>
      <c r="C3505" s="87" t="s">
        <v>2742</v>
      </c>
      <c r="D3505" s="8">
        <v>100</v>
      </c>
      <c r="E3505" s="8"/>
      <c r="F3505" s="91">
        <f t="shared" si="51"/>
        <v>635</v>
      </c>
      <c r="G3505" s="26"/>
    </row>
    <row r="3506" spans="1:7" x14ac:dyDescent="0.25">
      <c r="A3506" s="204">
        <v>43063</v>
      </c>
      <c r="B3506" s="26" t="s">
        <v>26</v>
      </c>
      <c r="C3506" s="87" t="s">
        <v>2743</v>
      </c>
      <c r="D3506" s="8">
        <v>110</v>
      </c>
      <c r="E3506" s="8"/>
      <c r="F3506" s="91">
        <f t="shared" si="51"/>
        <v>525</v>
      </c>
      <c r="G3506" s="26"/>
    </row>
    <row r="3507" spans="1:7" x14ac:dyDescent="0.25">
      <c r="A3507" s="204">
        <v>43063</v>
      </c>
      <c r="B3507" s="26" t="s">
        <v>26</v>
      </c>
      <c r="C3507" s="87" t="s">
        <v>2744</v>
      </c>
      <c r="D3507" s="8">
        <v>280</v>
      </c>
      <c r="E3507" s="8"/>
      <c r="F3507" s="91">
        <f t="shared" si="51"/>
        <v>245</v>
      </c>
      <c r="G3507" s="26"/>
    </row>
    <row r="3508" spans="1:7" x14ac:dyDescent="0.25">
      <c r="A3508" s="204">
        <v>43063</v>
      </c>
      <c r="B3508" s="26" t="s">
        <v>26</v>
      </c>
      <c r="C3508" s="87" t="s">
        <v>2745</v>
      </c>
      <c r="D3508" s="8">
        <v>50</v>
      </c>
      <c r="E3508" s="8"/>
      <c r="F3508" s="91">
        <f t="shared" si="51"/>
        <v>195</v>
      </c>
      <c r="G3508" s="26"/>
    </row>
    <row r="3509" spans="1:7" x14ac:dyDescent="0.25">
      <c r="A3509" s="204">
        <v>43063</v>
      </c>
      <c r="B3509" s="26" t="s">
        <v>26</v>
      </c>
      <c r="C3509" s="87" t="s">
        <v>2746</v>
      </c>
      <c r="D3509" s="8">
        <v>70</v>
      </c>
      <c r="E3509" s="8"/>
      <c r="F3509" s="91">
        <f t="shared" si="51"/>
        <v>125</v>
      </c>
      <c r="G3509" s="26"/>
    </row>
    <row r="3510" spans="1:7" x14ac:dyDescent="0.25">
      <c r="A3510" s="204">
        <v>43063</v>
      </c>
      <c r="B3510" s="460" t="s">
        <v>2736</v>
      </c>
      <c r="C3510" s="460"/>
      <c r="D3510" s="71"/>
      <c r="E3510" s="58">
        <v>50000</v>
      </c>
      <c r="F3510" s="91">
        <f t="shared" si="51"/>
        <v>50125</v>
      </c>
      <c r="G3510" s="26"/>
    </row>
    <row r="3511" spans="1:7" x14ac:dyDescent="0.25">
      <c r="A3511" s="204">
        <v>43063</v>
      </c>
      <c r="B3511" s="26" t="s">
        <v>26</v>
      </c>
      <c r="C3511" s="87" t="s">
        <v>2735</v>
      </c>
      <c r="D3511" s="8"/>
      <c r="E3511" s="8">
        <v>2792</v>
      </c>
      <c r="F3511" s="91">
        <f t="shared" si="51"/>
        <v>52917</v>
      </c>
      <c r="G3511" s="26"/>
    </row>
    <row r="3512" spans="1:7" x14ac:dyDescent="0.25">
      <c r="A3512" s="204">
        <v>43063</v>
      </c>
      <c r="B3512" s="26" t="s">
        <v>14</v>
      </c>
      <c r="C3512" s="87" t="s">
        <v>2737</v>
      </c>
      <c r="D3512" s="8">
        <v>5233</v>
      </c>
      <c r="E3512" s="8"/>
      <c r="F3512" s="91">
        <f t="shared" si="51"/>
        <v>47684</v>
      </c>
      <c r="G3512" s="26"/>
    </row>
    <row r="3513" spans="1:7" x14ac:dyDescent="0.25">
      <c r="A3513" s="204">
        <v>43063</v>
      </c>
      <c r="B3513" s="26" t="s">
        <v>14</v>
      </c>
      <c r="C3513" s="87" t="s">
        <v>2738</v>
      </c>
      <c r="D3513" s="161">
        <v>20000</v>
      </c>
      <c r="E3513" s="8"/>
      <c r="F3513" s="91">
        <f t="shared" si="51"/>
        <v>27684</v>
      </c>
      <c r="G3513" s="26"/>
    </row>
    <row r="3514" spans="1:7" x14ac:dyDescent="0.25">
      <c r="A3514" s="204">
        <v>43063</v>
      </c>
      <c r="B3514" s="26" t="s">
        <v>2648</v>
      </c>
      <c r="C3514" s="87" t="s">
        <v>2751</v>
      </c>
      <c r="D3514" s="8">
        <v>1000</v>
      </c>
      <c r="E3514" s="8"/>
      <c r="F3514" s="91">
        <f t="shared" si="51"/>
        <v>26684</v>
      </c>
      <c r="G3514" s="26"/>
    </row>
    <row r="3515" spans="1:7" x14ac:dyDescent="0.25">
      <c r="A3515" s="204">
        <v>43063</v>
      </c>
      <c r="B3515" s="26" t="s">
        <v>0</v>
      </c>
      <c r="C3515" s="87" t="s">
        <v>253</v>
      </c>
      <c r="D3515" s="8">
        <v>2000</v>
      </c>
      <c r="E3515" s="8"/>
      <c r="F3515" s="91">
        <f t="shared" si="51"/>
        <v>24684</v>
      </c>
      <c r="G3515" s="26"/>
    </row>
    <row r="3516" spans="1:7" x14ac:dyDescent="0.25">
      <c r="A3516" s="204">
        <v>43063</v>
      </c>
      <c r="B3516" s="26" t="s">
        <v>248</v>
      </c>
      <c r="C3516" s="87" t="s">
        <v>2739</v>
      </c>
      <c r="D3516" s="8">
        <v>100</v>
      </c>
      <c r="E3516" s="8"/>
      <c r="F3516" s="91">
        <f t="shared" si="51"/>
        <v>24584</v>
      </c>
      <c r="G3516" s="26"/>
    </row>
    <row r="3517" spans="1:7" x14ac:dyDescent="0.25">
      <c r="A3517" s="204">
        <v>43064</v>
      </c>
      <c r="B3517" s="26" t="s">
        <v>17</v>
      </c>
      <c r="C3517" s="87" t="s">
        <v>2752</v>
      </c>
      <c r="D3517" s="8">
        <v>2000</v>
      </c>
      <c r="E3517" s="8"/>
      <c r="F3517" s="91">
        <f t="shared" si="51"/>
        <v>22584</v>
      </c>
      <c r="G3517" s="26"/>
    </row>
    <row r="3518" spans="1:7" x14ac:dyDescent="0.25">
      <c r="A3518" s="204">
        <v>43064</v>
      </c>
      <c r="B3518" s="29" t="s">
        <v>2597</v>
      </c>
      <c r="C3518" s="89" t="s">
        <v>2747</v>
      </c>
      <c r="D3518" s="14">
        <v>15000</v>
      </c>
      <c r="E3518" s="8"/>
      <c r="F3518" s="91">
        <f t="shared" si="51"/>
        <v>7584</v>
      </c>
      <c r="G3518" s="26"/>
    </row>
    <row r="3519" spans="1:7" x14ac:dyDescent="0.25">
      <c r="A3519" s="204">
        <v>43064</v>
      </c>
      <c r="B3519" s="26" t="s">
        <v>14</v>
      </c>
      <c r="C3519" s="87" t="s">
        <v>1533</v>
      </c>
      <c r="D3519" s="8">
        <v>5000</v>
      </c>
      <c r="E3519" s="8"/>
      <c r="F3519" s="91">
        <f t="shared" si="51"/>
        <v>2584</v>
      </c>
      <c r="G3519" s="26"/>
    </row>
    <row r="3520" spans="1:7" x14ac:dyDescent="0.25">
      <c r="A3520" s="204">
        <v>43066</v>
      </c>
      <c r="B3520" s="26" t="s">
        <v>1840</v>
      </c>
      <c r="C3520" s="87" t="s">
        <v>2748</v>
      </c>
      <c r="D3520" s="8">
        <v>1500</v>
      </c>
      <c r="E3520" s="8"/>
      <c r="F3520" s="91">
        <f t="shared" si="51"/>
        <v>1084</v>
      </c>
      <c r="G3520" s="26"/>
    </row>
    <row r="3521" spans="1:7" x14ac:dyDescent="0.25">
      <c r="A3521" s="204">
        <v>43066</v>
      </c>
      <c r="B3521" s="460" t="s">
        <v>2754</v>
      </c>
      <c r="C3521" s="460"/>
      <c r="D3521" s="71"/>
      <c r="E3521" s="58">
        <v>50000</v>
      </c>
      <c r="F3521" s="91">
        <f t="shared" si="51"/>
        <v>51084</v>
      </c>
      <c r="G3521" s="26"/>
    </row>
    <row r="3522" spans="1:7" x14ac:dyDescent="0.25">
      <c r="A3522" s="204">
        <v>43067</v>
      </c>
      <c r="B3522" s="26" t="s">
        <v>14</v>
      </c>
      <c r="C3522" s="87" t="s">
        <v>2755</v>
      </c>
      <c r="D3522" s="8">
        <v>20000</v>
      </c>
      <c r="E3522" s="8"/>
      <c r="F3522" s="91">
        <f t="shared" si="51"/>
        <v>31084</v>
      </c>
      <c r="G3522" s="26"/>
    </row>
    <row r="3523" spans="1:7" x14ac:dyDescent="0.25">
      <c r="A3523" s="204">
        <v>43067</v>
      </c>
      <c r="B3523" s="26" t="s">
        <v>26</v>
      </c>
      <c r="C3523" s="87" t="s">
        <v>2662</v>
      </c>
      <c r="D3523" s="8">
        <v>370</v>
      </c>
      <c r="E3523" s="8"/>
      <c r="F3523" s="91">
        <f t="shared" si="51"/>
        <v>30714</v>
      </c>
      <c r="G3523" s="26"/>
    </row>
    <row r="3524" spans="1:7" x14ac:dyDescent="0.25">
      <c r="A3524" s="204">
        <v>43067</v>
      </c>
      <c r="B3524" s="26" t="s">
        <v>26</v>
      </c>
      <c r="C3524" s="87" t="s">
        <v>2711</v>
      </c>
      <c r="D3524" s="8">
        <v>60</v>
      </c>
      <c r="E3524" s="8"/>
      <c r="F3524" s="91">
        <f t="shared" si="51"/>
        <v>30654</v>
      </c>
      <c r="G3524" s="26"/>
    </row>
    <row r="3525" spans="1:7" x14ac:dyDescent="0.25">
      <c r="A3525" s="204">
        <v>43067</v>
      </c>
      <c r="B3525" s="26" t="s">
        <v>26</v>
      </c>
      <c r="C3525" s="87" t="s">
        <v>2756</v>
      </c>
      <c r="D3525" s="8">
        <v>190</v>
      </c>
      <c r="E3525" s="8"/>
      <c r="F3525" s="91">
        <f t="shared" si="51"/>
        <v>30464</v>
      </c>
      <c r="G3525" s="26"/>
    </row>
    <row r="3526" spans="1:7" x14ac:dyDescent="0.25">
      <c r="A3526" s="204">
        <v>43067</v>
      </c>
      <c r="B3526" s="26" t="s">
        <v>26</v>
      </c>
      <c r="C3526" s="87" t="s">
        <v>2009</v>
      </c>
      <c r="D3526" s="8">
        <v>50</v>
      </c>
      <c r="E3526" s="8"/>
      <c r="F3526" s="91">
        <f t="shared" si="51"/>
        <v>30414</v>
      </c>
      <c r="G3526" s="26"/>
    </row>
    <row r="3527" spans="1:7" x14ac:dyDescent="0.25">
      <c r="A3527" s="204">
        <v>43067</v>
      </c>
      <c r="B3527" s="26" t="s">
        <v>26</v>
      </c>
      <c r="C3527" s="87" t="s">
        <v>63</v>
      </c>
      <c r="D3527" s="8">
        <v>120</v>
      </c>
      <c r="E3527" s="8"/>
      <c r="F3527" s="91">
        <f t="shared" si="51"/>
        <v>30294</v>
      </c>
      <c r="G3527" s="26"/>
    </row>
    <row r="3528" spans="1:7" x14ac:dyDescent="0.25">
      <c r="A3528" s="204">
        <v>43068</v>
      </c>
      <c r="B3528" s="180" t="s">
        <v>2597</v>
      </c>
      <c r="C3528" s="213" t="s">
        <v>2757</v>
      </c>
      <c r="D3528" s="57">
        <v>10000</v>
      </c>
      <c r="E3528" s="8"/>
      <c r="F3528" s="91">
        <f t="shared" si="51"/>
        <v>20294</v>
      </c>
      <c r="G3528" s="26"/>
    </row>
    <row r="3529" spans="1:7" x14ac:dyDescent="0.25">
      <c r="A3529" s="204">
        <v>43068</v>
      </c>
      <c r="B3529" s="29" t="s">
        <v>2597</v>
      </c>
      <c r="C3529" s="89" t="s">
        <v>2758</v>
      </c>
      <c r="D3529" s="14">
        <v>5000</v>
      </c>
      <c r="E3529" s="8"/>
      <c r="F3529" s="91">
        <f t="shared" si="51"/>
        <v>15294</v>
      </c>
      <c r="G3529" s="26"/>
    </row>
    <row r="3530" spans="1:7" x14ac:dyDescent="0.25">
      <c r="A3530" s="204">
        <v>43068</v>
      </c>
      <c r="B3530" s="26" t="s">
        <v>2505</v>
      </c>
      <c r="C3530" s="87" t="s">
        <v>2766</v>
      </c>
      <c r="D3530" s="8">
        <v>1300</v>
      </c>
      <c r="E3530" s="8"/>
      <c r="F3530" s="91">
        <f t="shared" si="51"/>
        <v>13994</v>
      </c>
      <c r="G3530" s="26"/>
    </row>
    <row r="3531" spans="1:7" ht="30" x14ac:dyDescent="0.25">
      <c r="A3531" s="204">
        <v>43068</v>
      </c>
      <c r="B3531" s="26" t="s">
        <v>2505</v>
      </c>
      <c r="C3531" s="87" t="s">
        <v>2767</v>
      </c>
      <c r="D3531" s="8">
        <v>600</v>
      </c>
      <c r="E3531" s="8"/>
      <c r="F3531" s="91">
        <f t="shared" si="51"/>
        <v>13394</v>
      </c>
      <c r="G3531" s="26"/>
    </row>
    <row r="3532" spans="1:7" x14ac:dyDescent="0.25">
      <c r="A3532" s="204">
        <v>43068</v>
      </c>
      <c r="B3532" s="26" t="s">
        <v>17</v>
      </c>
      <c r="C3532" s="87" t="s">
        <v>2759</v>
      </c>
      <c r="D3532" s="8">
        <v>2000</v>
      </c>
      <c r="E3532" s="8"/>
      <c r="F3532" s="91">
        <f t="shared" si="51"/>
        <v>11394</v>
      </c>
      <c r="G3532" s="26"/>
    </row>
    <row r="3533" spans="1:7" ht="30" x14ac:dyDescent="0.25">
      <c r="A3533" s="204">
        <v>43068</v>
      </c>
      <c r="B3533" s="26" t="s">
        <v>59</v>
      </c>
      <c r="C3533" s="87" t="s">
        <v>2760</v>
      </c>
      <c r="D3533" s="8">
        <v>120</v>
      </c>
      <c r="E3533" s="8"/>
      <c r="F3533" s="91">
        <f t="shared" si="51"/>
        <v>11274</v>
      </c>
      <c r="G3533" s="26"/>
    </row>
    <row r="3534" spans="1:7" x14ac:dyDescent="0.25">
      <c r="A3534" s="204">
        <v>43068</v>
      </c>
      <c r="B3534" s="26" t="s">
        <v>2505</v>
      </c>
      <c r="C3534" s="87" t="s">
        <v>2761</v>
      </c>
      <c r="D3534" s="8">
        <v>350</v>
      </c>
      <c r="E3534" s="8"/>
      <c r="F3534" s="91">
        <f t="shared" si="51"/>
        <v>10924</v>
      </c>
      <c r="G3534" s="26"/>
    </row>
    <row r="3535" spans="1:7" x14ac:dyDescent="0.25">
      <c r="A3535" s="204">
        <v>43068</v>
      </c>
      <c r="B3535" s="26" t="s">
        <v>85</v>
      </c>
      <c r="C3535" s="87" t="s">
        <v>2762</v>
      </c>
      <c r="D3535" s="8">
        <v>2000</v>
      </c>
      <c r="E3535" s="8"/>
      <c r="F3535" s="91">
        <f t="shared" si="51"/>
        <v>8924</v>
      </c>
      <c r="G3535" s="26"/>
    </row>
    <row r="3536" spans="1:7" x14ac:dyDescent="0.25">
      <c r="A3536" s="204">
        <v>43068</v>
      </c>
      <c r="B3536" s="460" t="s">
        <v>2763</v>
      </c>
      <c r="C3536" s="460"/>
      <c r="D3536" s="71"/>
      <c r="E3536" s="58">
        <v>4825</v>
      </c>
      <c r="F3536" s="91">
        <f t="shared" si="51"/>
        <v>13749</v>
      </c>
      <c r="G3536" s="26"/>
    </row>
    <row r="3537" spans="1:7" x14ac:dyDescent="0.25">
      <c r="A3537" s="204">
        <v>43068</v>
      </c>
      <c r="B3537" s="26" t="s">
        <v>59</v>
      </c>
      <c r="C3537" s="87" t="s">
        <v>2016</v>
      </c>
      <c r="D3537" s="8">
        <v>150</v>
      </c>
      <c r="E3537" s="8"/>
      <c r="F3537" s="91">
        <f t="shared" si="51"/>
        <v>13599</v>
      </c>
      <c r="G3537" s="26"/>
    </row>
    <row r="3538" spans="1:7" x14ac:dyDescent="0.25">
      <c r="A3538" s="204">
        <v>43068</v>
      </c>
      <c r="B3538" s="26" t="s">
        <v>17</v>
      </c>
      <c r="C3538" s="87" t="s">
        <v>2764</v>
      </c>
      <c r="D3538" s="8">
        <v>5000</v>
      </c>
      <c r="E3538" s="8"/>
      <c r="F3538" s="91">
        <f t="shared" si="51"/>
        <v>8599</v>
      </c>
      <c r="G3538" s="26"/>
    </row>
    <row r="3539" spans="1:7" x14ac:dyDescent="0.25">
      <c r="A3539" s="204">
        <v>43068</v>
      </c>
      <c r="B3539" s="26" t="s">
        <v>0</v>
      </c>
      <c r="C3539" s="87" t="s">
        <v>2765</v>
      </c>
      <c r="D3539" s="8">
        <v>840</v>
      </c>
      <c r="E3539" s="8"/>
      <c r="F3539" s="91">
        <f t="shared" si="51"/>
        <v>7759</v>
      </c>
      <c r="G3539" s="26"/>
    </row>
    <row r="3540" spans="1:7" x14ac:dyDescent="0.25">
      <c r="A3540" s="204">
        <v>43068</v>
      </c>
      <c r="B3540" s="26" t="s">
        <v>2333</v>
      </c>
      <c r="C3540" s="87" t="s">
        <v>635</v>
      </c>
      <c r="D3540" s="8">
        <v>1150</v>
      </c>
      <c r="E3540" s="8"/>
      <c r="F3540" s="91">
        <f t="shared" si="51"/>
        <v>6609</v>
      </c>
      <c r="G3540" s="26"/>
    </row>
    <row r="3541" spans="1:7" x14ac:dyDescent="0.25">
      <c r="A3541" s="204">
        <v>43068</v>
      </c>
      <c r="B3541" s="26" t="s">
        <v>26</v>
      </c>
      <c r="C3541" s="87" t="s">
        <v>942</v>
      </c>
      <c r="D3541" s="8">
        <v>370</v>
      </c>
      <c r="E3541" s="8"/>
      <c r="F3541" s="91">
        <f t="shared" si="51"/>
        <v>6239</v>
      </c>
      <c r="G3541" s="26"/>
    </row>
    <row r="3542" spans="1:7" x14ac:dyDescent="0.25">
      <c r="A3542" s="204">
        <v>43068</v>
      </c>
      <c r="B3542" s="26" t="s">
        <v>26</v>
      </c>
      <c r="C3542" s="87" t="s">
        <v>668</v>
      </c>
      <c r="D3542" s="8">
        <v>110</v>
      </c>
      <c r="E3542" s="8"/>
      <c r="F3542" s="91">
        <f t="shared" si="51"/>
        <v>6129</v>
      </c>
      <c r="G3542" s="26"/>
    </row>
    <row r="3543" spans="1:7" x14ac:dyDescent="0.25">
      <c r="A3543" s="204">
        <v>43068</v>
      </c>
      <c r="B3543" s="26" t="s">
        <v>26</v>
      </c>
      <c r="C3543" s="87" t="s">
        <v>2772</v>
      </c>
      <c r="D3543" s="8">
        <v>140</v>
      </c>
      <c r="E3543" s="8"/>
      <c r="F3543" s="91">
        <f t="shared" si="51"/>
        <v>5989</v>
      </c>
      <c r="G3543" s="26"/>
    </row>
    <row r="3544" spans="1:7" x14ac:dyDescent="0.25">
      <c r="A3544" s="204">
        <v>43068</v>
      </c>
      <c r="B3544" s="26" t="s">
        <v>26</v>
      </c>
      <c r="C3544" s="87" t="s">
        <v>2773</v>
      </c>
      <c r="D3544" s="8">
        <v>80</v>
      </c>
      <c r="E3544" s="8"/>
      <c r="F3544" s="91">
        <f t="shared" si="51"/>
        <v>5909</v>
      </c>
      <c r="G3544" s="26"/>
    </row>
    <row r="3545" spans="1:7" x14ac:dyDescent="0.25">
      <c r="A3545" s="204">
        <v>43068</v>
      </c>
      <c r="B3545" s="460" t="s">
        <v>2771</v>
      </c>
      <c r="C3545" s="460"/>
      <c r="D3545" s="71"/>
      <c r="E3545" s="58">
        <v>27500</v>
      </c>
      <c r="F3545" s="91">
        <f t="shared" si="51"/>
        <v>33409</v>
      </c>
      <c r="G3545" s="26"/>
    </row>
    <row r="3546" spans="1:7" x14ac:dyDescent="0.25">
      <c r="A3546" s="204">
        <v>43068</v>
      </c>
      <c r="B3546" s="26" t="s">
        <v>2207</v>
      </c>
      <c r="C3546" s="87" t="s">
        <v>2768</v>
      </c>
      <c r="D3546" s="8">
        <v>2500</v>
      </c>
      <c r="E3546" s="8"/>
      <c r="F3546" s="91">
        <f t="shared" si="51"/>
        <v>30909</v>
      </c>
      <c r="G3546" s="26"/>
    </row>
    <row r="3547" spans="1:7" x14ac:dyDescent="0.25">
      <c r="A3547" s="204">
        <v>43068</v>
      </c>
      <c r="B3547" s="26" t="s">
        <v>2207</v>
      </c>
      <c r="C3547" s="87" t="s">
        <v>2769</v>
      </c>
      <c r="D3547" s="8">
        <v>1000</v>
      </c>
      <c r="E3547" s="8"/>
      <c r="F3547" s="91">
        <f t="shared" si="51"/>
        <v>29909</v>
      </c>
      <c r="G3547" s="26"/>
    </row>
    <row r="3548" spans="1:7" x14ac:dyDescent="0.25">
      <c r="A3548" s="204">
        <v>43068</v>
      </c>
      <c r="B3548" s="26" t="s">
        <v>85</v>
      </c>
      <c r="C3548" s="87" t="s">
        <v>2770</v>
      </c>
      <c r="D3548" s="8">
        <v>2000</v>
      </c>
      <c r="E3548" s="8"/>
      <c r="F3548" s="91">
        <f t="shared" si="51"/>
        <v>27909</v>
      </c>
      <c r="G3548" s="26"/>
    </row>
    <row r="3549" spans="1:7" x14ac:dyDescent="0.25">
      <c r="A3549" s="204">
        <v>43068</v>
      </c>
      <c r="B3549" s="26" t="s">
        <v>1840</v>
      </c>
      <c r="C3549" s="87" t="s">
        <v>2774</v>
      </c>
      <c r="D3549" s="8">
        <v>2000</v>
      </c>
      <c r="E3549" s="8"/>
      <c r="F3549" s="91">
        <f t="shared" si="51"/>
        <v>25909</v>
      </c>
      <c r="G3549" s="26"/>
    </row>
    <row r="3550" spans="1:7" x14ac:dyDescent="0.25">
      <c r="A3550" s="204">
        <v>43068</v>
      </c>
      <c r="B3550" s="218" t="s">
        <v>59</v>
      </c>
      <c r="C3550" s="225" t="s">
        <v>2775</v>
      </c>
      <c r="D3550" s="97">
        <v>22000</v>
      </c>
      <c r="E3550" s="8"/>
      <c r="F3550" s="91">
        <f t="shared" si="51"/>
        <v>3909</v>
      </c>
      <c r="G3550" s="26"/>
    </row>
    <row r="3551" spans="1:7" x14ac:dyDescent="0.25">
      <c r="A3551" s="204">
        <v>43068</v>
      </c>
      <c r="B3551" s="26" t="s">
        <v>2162</v>
      </c>
      <c r="C3551" s="87" t="s">
        <v>2776</v>
      </c>
      <c r="D3551" s="8">
        <v>200</v>
      </c>
      <c r="E3551" s="8"/>
      <c r="F3551" s="91">
        <f t="shared" si="51"/>
        <v>3709</v>
      </c>
      <c r="G3551" s="26"/>
    </row>
    <row r="3552" spans="1:7" x14ac:dyDescent="0.25">
      <c r="A3552" s="204">
        <v>43068</v>
      </c>
      <c r="B3552" s="26" t="s">
        <v>248</v>
      </c>
      <c r="C3552" s="87" t="s">
        <v>2777</v>
      </c>
      <c r="D3552" s="8">
        <v>100</v>
      </c>
      <c r="E3552" s="8"/>
      <c r="F3552" s="91">
        <f t="shared" si="51"/>
        <v>3609</v>
      </c>
      <c r="G3552" s="26"/>
    </row>
    <row r="3553" spans="1:7" ht="30" x14ac:dyDescent="0.25">
      <c r="A3553" s="204">
        <v>43068</v>
      </c>
      <c r="B3553" s="26" t="s">
        <v>2778</v>
      </c>
      <c r="C3553" s="87" t="s">
        <v>2779</v>
      </c>
      <c r="D3553" s="8">
        <v>150</v>
      </c>
      <c r="E3553" s="8"/>
      <c r="F3553" s="91">
        <f t="shared" si="51"/>
        <v>3459</v>
      </c>
      <c r="G3553" s="26"/>
    </row>
    <row r="3554" spans="1:7" ht="30" x14ac:dyDescent="0.25">
      <c r="A3554" s="204">
        <v>43068</v>
      </c>
      <c r="B3554" s="180" t="s">
        <v>59</v>
      </c>
      <c r="C3554" s="213" t="s">
        <v>2780</v>
      </c>
      <c r="D3554" s="57">
        <v>500</v>
      </c>
      <c r="E3554" s="8"/>
      <c r="F3554" s="91">
        <f t="shared" si="51"/>
        <v>2959</v>
      </c>
      <c r="G3554" s="26"/>
    </row>
    <row r="3555" spans="1:7" x14ac:dyDescent="0.25">
      <c r="A3555" s="204">
        <v>43068</v>
      </c>
      <c r="B3555" s="460" t="s">
        <v>2782</v>
      </c>
      <c r="C3555" s="460"/>
      <c r="D3555" s="71"/>
      <c r="E3555" s="58">
        <v>50000</v>
      </c>
      <c r="F3555" s="91">
        <f t="shared" si="51"/>
        <v>52959</v>
      </c>
      <c r="G3555" s="26"/>
    </row>
    <row r="3556" spans="1:7" x14ac:dyDescent="0.25">
      <c r="A3556" s="204">
        <v>43068</v>
      </c>
      <c r="B3556" s="26" t="s">
        <v>14</v>
      </c>
      <c r="C3556" s="87" t="s">
        <v>2781</v>
      </c>
      <c r="D3556" s="8">
        <v>25000</v>
      </c>
      <c r="E3556" s="8"/>
      <c r="F3556" s="91">
        <f t="shared" si="51"/>
        <v>27959</v>
      </c>
      <c r="G3556" s="26"/>
    </row>
    <row r="3557" spans="1:7" x14ac:dyDescent="0.25">
      <c r="A3557" s="204">
        <v>43068</v>
      </c>
      <c r="B3557" s="26" t="s">
        <v>1840</v>
      </c>
      <c r="C3557" s="87" t="s">
        <v>2774</v>
      </c>
      <c r="D3557" s="8">
        <v>8000</v>
      </c>
      <c r="E3557" s="8"/>
      <c r="F3557" s="91">
        <f t="shared" ref="F3557:F3682" si="52">F3556-D3557+E3557</f>
        <v>19959</v>
      </c>
      <c r="G3557" s="26"/>
    </row>
    <row r="3558" spans="1:7" x14ac:dyDescent="0.25">
      <c r="A3558" s="204">
        <v>43068</v>
      </c>
      <c r="B3558" s="26" t="s">
        <v>85</v>
      </c>
      <c r="C3558" s="87" t="s">
        <v>2783</v>
      </c>
      <c r="D3558" s="8">
        <v>1500</v>
      </c>
      <c r="E3558" s="8"/>
      <c r="F3558" s="91">
        <f t="shared" si="52"/>
        <v>18459</v>
      </c>
      <c r="G3558" s="26"/>
    </row>
    <row r="3559" spans="1:7" x14ac:dyDescent="0.25">
      <c r="A3559" s="204">
        <v>43068</v>
      </c>
      <c r="B3559" s="26" t="s">
        <v>85</v>
      </c>
      <c r="C3559" s="87" t="s">
        <v>2770</v>
      </c>
      <c r="D3559" s="8">
        <v>200</v>
      </c>
      <c r="E3559" s="8"/>
      <c r="F3559" s="91">
        <f t="shared" si="52"/>
        <v>18259</v>
      </c>
      <c r="G3559" s="26"/>
    </row>
    <row r="3560" spans="1:7" x14ac:dyDescent="0.25">
      <c r="A3560" s="204">
        <v>43070</v>
      </c>
      <c r="B3560" s="26" t="s">
        <v>17</v>
      </c>
      <c r="C3560" s="87" t="s">
        <v>1533</v>
      </c>
      <c r="D3560" s="8">
        <v>3000</v>
      </c>
      <c r="E3560" s="8"/>
      <c r="F3560" s="91">
        <f t="shared" si="52"/>
        <v>15259</v>
      </c>
      <c r="G3560" s="26"/>
    </row>
    <row r="3561" spans="1:7" x14ac:dyDescent="0.25">
      <c r="A3561" s="204">
        <v>43070</v>
      </c>
      <c r="B3561" s="26" t="s">
        <v>2677</v>
      </c>
      <c r="C3561" s="87" t="s">
        <v>2784</v>
      </c>
      <c r="D3561" s="8">
        <v>10000</v>
      </c>
      <c r="E3561" s="8"/>
      <c r="F3561" s="91">
        <f t="shared" si="52"/>
        <v>5259</v>
      </c>
      <c r="G3561" s="26"/>
    </row>
    <row r="3562" spans="1:7" x14ac:dyDescent="0.25">
      <c r="A3562" s="204">
        <v>43070</v>
      </c>
      <c r="B3562" s="26" t="s">
        <v>26</v>
      </c>
      <c r="C3562" s="87" t="s">
        <v>2785</v>
      </c>
      <c r="D3562" s="8">
        <v>350</v>
      </c>
      <c r="E3562" s="8"/>
      <c r="F3562" s="91">
        <f t="shared" si="52"/>
        <v>4909</v>
      </c>
      <c r="G3562" s="26"/>
    </row>
    <row r="3563" spans="1:7" x14ac:dyDescent="0.25">
      <c r="A3563" s="204">
        <v>43070</v>
      </c>
      <c r="B3563" s="26" t="s">
        <v>26</v>
      </c>
      <c r="C3563" s="87" t="s">
        <v>2786</v>
      </c>
      <c r="D3563" s="8">
        <v>480</v>
      </c>
      <c r="E3563" s="8"/>
      <c r="F3563" s="91">
        <f t="shared" si="52"/>
        <v>4429</v>
      </c>
      <c r="G3563" s="26"/>
    </row>
    <row r="3564" spans="1:7" x14ac:dyDescent="0.25">
      <c r="A3564" s="204">
        <v>43070</v>
      </c>
      <c r="B3564" s="26" t="s">
        <v>26</v>
      </c>
      <c r="C3564" s="87" t="s">
        <v>2787</v>
      </c>
      <c r="D3564" s="8">
        <v>500</v>
      </c>
      <c r="E3564" s="8"/>
      <c r="F3564" s="91">
        <f t="shared" si="52"/>
        <v>3929</v>
      </c>
      <c r="G3564" s="26"/>
    </row>
    <row r="3565" spans="1:7" x14ac:dyDescent="0.25">
      <c r="A3565" s="204">
        <v>43070</v>
      </c>
      <c r="B3565" s="26" t="s">
        <v>1840</v>
      </c>
      <c r="C3565" s="87" t="s">
        <v>2788</v>
      </c>
      <c r="D3565" s="8">
        <v>3000</v>
      </c>
      <c r="E3565" s="8"/>
      <c r="F3565" s="91">
        <f t="shared" si="52"/>
        <v>929</v>
      </c>
      <c r="G3565" s="26"/>
    </row>
    <row r="3566" spans="1:7" x14ac:dyDescent="0.25">
      <c r="A3566" s="204">
        <v>43070</v>
      </c>
      <c r="B3566" s="26" t="s">
        <v>26</v>
      </c>
      <c r="C3566" s="87" t="s">
        <v>2789</v>
      </c>
      <c r="D3566" s="8">
        <v>300</v>
      </c>
      <c r="E3566" s="8"/>
      <c r="F3566" s="91">
        <f t="shared" si="52"/>
        <v>629</v>
      </c>
      <c r="G3566" s="26"/>
    </row>
    <row r="3567" spans="1:7" x14ac:dyDescent="0.25">
      <c r="A3567" s="204">
        <v>43073</v>
      </c>
      <c r="B3567" s="460" t="s">
        <v>2782</v>
      </c>
      <c r="C3567" s="460"/>
      <c r="D3567" s="71"/>
      <c r="E3567" s="58">
        <v>50000</v>
      </c>
      <c r="F3567" s="91">
        <f t="shared" si="52"/>
        <v>50629</v>
      </c>
      <c r="G3567" s="26"/>
    </row>
    <row r="3568" spans="1:7" ht="30" x14ac:dyDescent="0.25">
      <c r="A3568" s="204">
        <v>43073</v>
      </c>
      <c r="B3568" s="26" t="s">
        <v>1346</v>
      </c>
      <c r="C3568" s="87" t="s">
        <v>2822</v>
      </c>
      <c r="D3568" s="8">
        <v>2500</v>
      </c>
      <c r="E3568" s="8"/>
      <c r="F3568" s="91">
        <f t="shared" si="52"/>
        <v>48129</v>
      </c>
      <c r="G3568" s="26"/>
    </row>
    <row r="3569" spans="1:7" x14ac:dyDescent="0.25">
      <c r="A3569" s="204">
        <v>43073</v>
      </c>
      <c r="B3569" s="26" t="s">
        <v>1346</v>
      </c>
      <c r="C3569" s="87" t="s">
        <v>2818</v>
      </c>
      <c r="D3569" s="8">
        <v>4000</v>
      </c>
      <c r="E3569" s="8"/>
      <c r="F3569" s="91">
        <f t="shared" si="52"/>
        <v>44129</v>
      </c>
      <c r="G3569" s="26"/>
    </row>
    <row r="3570" spans="1:7" x14ac:dyDescent="0.25">
      <c r="A3570" s="204">
        <v>43073</v>
      </c>
      <c r="B3570" s="26" t="s">
        <v>1346</v>
      </c>
      <c r="C3570" s="87" t="s">
        <v>2821</v>
      </c>
      <c r="D3570" s="8">
        <v>1000</v>
      </c>
      <c r="E3570" s="8"/>
      <c r="F3570" s="91">
        <f t="shared" si="52"/>
        <v>43129</v>
      </c>
      <c r="G3570" s="26"/>
    </row>
    <row r="3571" spans="1:7" x14ac:dyDescent="0.25">
      <c r="A3571" s="204">
        <v>43073</v>
      </c>
      <c r="B3571" s="26" t="s">
        <v>0</v>
      </c>
      <c r="C3571" s="87" t="s">
        <v>2790</v>
      </c>
      <c r="D3571" s="8">
        <v>2000</v>
      </c>
      <c r="E3571" s="8"/>
      <c r="F3571" s="91">
        <f t="shared" si="52"/>
        <v>41129</v>
      </c>
      <c r="G3571" s="26"/>
    </row>
    <row r="3572" spans="1:7" x14ac:dyDescent="0.25">
      <c r="A3572" s="204">
        <v>43073</v>
      </c>
      <c r="B3572" s="26" t="s">
        <v>2333</v>
      </c>
      <c r="C3572" s="87" t="s">
        <v>2314</v>
      </c>
      <c r="D3572" s="8">
        <v>6220</v>
      </c>
      <c r="E3572" s="8"/>
      <c r="F3572" s="91">
        <f t="shared" si="52"/>
        <v>34909</v>
      </c>
      <c r="G3572" s="26"/>
    </row>
    <row r="3573" spans="1:7" x14ac:dyDescent="0.25">
      <c r="A3573" s="204">
        <v>43073</v>
      </c>
      <c r="B3573" s="26" t="s">
        <v>542</v>
      </c>
      <c r="C3573" s="87" t="s">
        <v>2791</v>
      </c>
      <c r="D3573" s="8">
        <v>600</v>
      </c>
      <c r="E3573" s="8"/>
      <c r="F3573" s="91">
        <f t="shared" si="52"/>
        <v>34309</v>
      </c>
      <c r="G3573" s="26"/>
    </row>
    <row r="3574" spans="1:7" x14ac:dyDescent="0.25">
      <c r="A3574" s="204">
        <v>43073</v>
      </c>
      <c r="B3574" s="26" t="s">
        <v>1619</v>
      </c>
      <c r="C3574" s="87" t="s">
        <v>2791</v>
      </c>
      <c r="D3574" s="8">
        <v>600</v>
      </c>
      <c r="E3574" s="8"/>
      <c r="F3574" s="91">
        <f t="shared" si="52"/>
        <v>33709</v>
      </c>
      <c r="G3574" s="26"/>
    </row>
    <row r="3575" spans="1:7" x14ac:dyDescent="0.25">
      <c r="A3575" s="204">
        <v>43073</v>
      </c>
      <c r="B3575" s="26" t="s">
        <v>2333</v>
      </c>
      <c r="C3575" s="87" t="s">
        <v>2820</v>
      </c>
      <c r="D3575" s="8">
        <v>160</v>
      </c>
      <c r="E3575" s="8"/>
      <c r="F3575" s="91">
        <f t="shared" si="52"/>
        <v>33549</v>
      </c>
      <c r="G3575" s="26"/>
    </row>
    <row r="3576" spans="1:7" x14ac:dyDescent="0.25">
      <c r="A3576" s="204">
        <v>43073</v>
      </c>
      <c r="B3576" s="26" t="s">
        <v>2207</v>
      </c>
      <c r="C3576" s="87" t="s">
        <v>2796</v>
      </c>
      <c r="D3576" s="8">
        <v>9075</v>
      </c>
      <c r="E3576" s="8"/>
      <c r="F3576" s="91">
        <f t="shared" si="52"/>
        <v>24474</v>
      </c>
      <c r="G3576" s="26"/>
    </row>
    <row r="3577" spans="1:7" x14ac:dyDescent="0.25">
      <c r="A3577" s="204">
        <v>43073</v>
      </c>
      <c r="B3577" s="26" t="s">
        <v>14</v>
      </c>
      <c r="C3577" s="87" t="s">
        <v>253</v>
      </c>
      <c r="D3577" s="8">
        <v>5000</v>
      </c>
      <c r="E3577" s="8"/>
      <c r="F3577" s="91">
        <f t="shared" si="52"/>
        <v>19474</v>
      </c>
      <c r="G3577" s="26"/>
    </row>
    <row r="3578" spans="1:7" x14ac:dyDescent="0.25">
      <c r="A3578" s="204">
        <v>43073</v>
      </c>
      <c r="B3578" s="26" t="s">
        <v>2677</v>
      </c>
      <c r="C3578" s="87" t="s">
        <v>2792</v>
      </c>
      <c r="D3578" s="8">
        <v>3635</v>
      </c>
      <c r="E3578" s="8"/>
      <c r="F3578" s="91">
        <f t="shared" si="52"/>
        <v>15839</v>
      </c>
      <c r="G3578" s="26"/>
    </row>
    <row r="3579" spans="1:7" x14ac:dyDescent="0.25">
      <c r="A3579" s="204">
        <v>43073</v>
      </c>
      <c r="B3579" s="26" t="s">
        <v>2677</v>
      </c>
      <c r="C3579" s="87" t="s">
        <v>2793</v>
      </c>
      <c r="D3579" s="8">
        <v>240</v>
      </c>
      <c r="E3579" s="8"/>
      <c r="F3579" s="91">
        <f t="shared" si="52"/>
        <v>15599</v>
      </c>
      <c r="G3579" s="26"/>
    </row>
    <row r="3580" spans="1:7" x14ac:dyDescent="0.25">
      <c r="A3580" s="204">
        <v>43073</v>
      </c>
      <c r="B3580" s="26" t="s">
        <v>26</v>
      </c>
      <c r="C3580" s="87" t="s">
        <v>2794</v>
      </c>
      <c r="D3580" s="8">
        <v>50</v>
      </c>
      <c r="E3580" s="8"/>
      <c r="F3580" s="91">
        <f t="shared" si="52"/>
        <v>15549</v>
      </c>
      <c r="G3580" s="26"/>
    </row>
    <row r="3581" spans="1:7" x14ac:dyDescent="0.25">
      <c r="A3581" s="204">
        <v>43073</v>
      </c>
      <c r="B3581" s="26" t="s">
        <v>26</v>
      </c>
      <c r="C3581" s="87" t="s">
        <v>2795</v>
      </c>
      <c r="D3581" s="8">
        <v>30</v>
      </c>
      <c r="E3581" s="8"/>
      <c r="F3581" s="91">
        <f t="shared" si="52"/>
        <v>15519</v>
      </c>
      <c r="G3581" s="26"/>
    </row>
    <row r="3582" spans="1:7" x14ac:dyDescent="0.25">
      <c r="A3582" s="204">
        <v>43073</v>
      </c>
      <c r="B3582" s="26" t="s">
        <v>2089</v>
      </c>
      <c r="C3582" s="87" t="s">
        <v>2797</v>
      </c>
      <c r="D3582" s="8">
        <v>100</v>
      </c>
      <c r="E3582" s="8"/>
      <c r="F3582" s="91">
        <f t="shared" si="52"/>
        <v>15419</v>
      </c>
      <c r="G3582" s="26"/>
    </row>
    <row r="3583" spans="1:7" x14ac:dyDescent="0.25">
      <c r="A3583" s="204">
        <v>43073</v>
      </c>
      <c r="B3583" s="26" t="s">
        <v>26</v>
      </c>
      <c r="C3583" s="87" t="s">
        <v>2662</v>
      </c>
      <c r="D3583" s="8">
        <v>350</v>
      </c>
      <c r="E3583" s="8"/>
      <c r="F3583" s="91">
        <f t="shared" si="52"/>
        <v>15069</v>
      </c>
      <c r="G3583" s="26"/>
    </row>
    <row r="3584" spans="1:7" x14ac:dyDescent="0.25">
      <c r="A3584" s="204">
        <v>43073</v>
      </c>
      <c r="B3584" s="26" t="s">
        <v>26</v>
      </c>
      <c r="C3584" s="87" t="s">
        <v>52</v>
      </c>
      <c r="D3584" s="8">
        <v>60</v>
      </c>
      <c r="E3584" s="8"/>
      <c r="F3584" s="91">
        <f t="shared" si="52"/>
        <v>15009</v>
      </c>
      <c r="G3584" s="26"/>
    </row>
    <row r="3585" spans="1:7" x14ac:dyDescent="0.25">
      <c r="A3585" s="204">
        <v>43073</v>
      </c>
      <c r="B3585" s="26" t="s">
        <v>26</v>
      </c>
      <c r="C3585" s="87" t="s">
        <v>2798</v>
      </c>
      <c r="D3585" s="8">
        <v>200</v>
      </c>
      <c r="E3585" s="8"/>
      <c r="F3585" s="91">
        <f t="shared" si="52"/>
        <v>14809</v>
      </c>
      <c r="G3585" s="26"/>
    </row>
    <row r="3586" spans="1:7" x14ac:dyDescent="0.25">
      <c r="A3586" s="204">
        <v>43073</v>
      </c>
      <c r="B3586" s="26" t="s">
        <v>26</v>
      </c>
      <c r="C3586" s="87" t="s">
        <v>1832</v>
      </c>
      <c r="D3586" s="8">
        <v>60</v>
      </c>
      <c r="E3586" s="8"/>
      <c r="F3586" s="91">
        <f t="shared" si="52"/>
        <v>14749</v>
      </c>
      <c r="G3586" s="26"/>
    </row>
    <row r="3587" spans="1:7" x14ac:dyDescent="0.25">
      <c r="A3587" s="204">
        <v>43073</v>
      </c>
      <c r="B3587" s="26" t="s">
        <v>26</v>
      </c>
      <c r="C3587" s="87" t="s">
        <v>2799</v>
      </c>
      <c r="D3587" s="8">
        <v>105</v>
      </c>
      <c r="E3587" s="8"/>
      <c r="F3587" s="91">
        <f t="shared" si="52"/>
        <v>14644</v>
      </c>
      <c r="G3587" s="26"/>
    </row>
    <row r="3588" spans="1:7" x14ac:dyDescent="0.25">
      <c r="A3588" s="204">
        <v>43073</v>
      </c>
      <c r="B3588" s="26" t="s">
        <v>26</v>
      </c>
      <c r="C3588" s="87" t="s">
        <v>84</v>
      </c>
      <c r="D3588" s="8">
        <v>140</v>
      </c>
      <c r="E3588" s="8"/>
      <c r="F3588" s="91">
        <f t="shared" si="52"/>
        <v>14504</v>
      </c>
      <c r="G3588" s="26"/>
    </row>
    <row r="3589" spans="1:7" ht="30" x14ac:dyDescent="0.25">
      <c r="A3589" s="204">
        <v>43073</v>
      </c>
      <c r="B3589" s="199" t="s">
        <v>26</v>
      </c>
      <c r="C3589" s="207" t="s">
        <v>2800</v>
      </c>
      <c r="D3589" s="91">
        <v>70</v>
      </c>
      <c r="E3589" s="91"/>
      <c r="F3589" s="91">
        <f t="shared" si="52"/>
        <v>14434</v>
      </c>
      <c r="G3589" s="199"/>
    </row>
    <row r="3590" spans="1:7" x14ac:dyDescent="0.25">
      <c r="A3590" s="204">
        <v>43074</v>
      </c>
      <c r="B3590" s="199" t="s">
        <v>26</v>
      </c>
      <c r="C3590" s="87" t="s">
        <v>2801</v>
      </c>
      <c r="D3590" s="8">
        <v>130</v>
      </c>
      <c r="E3590" s="8"/>
      <c r="F3590" s="91">
        <f t="shared" si="52"/>
        <v>14304</v>
      </c>
      <c r="G3590" s="26"/>
    </row>
    <row r="3591" spans="1:7" x14ac:dyDescent="0.25">
      <c r="A3591" s="204">
        <v>43074</v>
      </c>
      <c r="B3591" s="199" t="s">
        <v>26</v>
      </c>
      <c r="C3591" s="87" t="s">
        <v>2802</v>
      </c>
      <c r="D3591" s="8">
        <v>150</v>
      </c>
      <c r="E3591" s="8"/>
      <c r="F3591" s="91">
        <f t="shared" si="52"/>
        <v>14154</v>
      </c>
      <c r="G3591" s="26"/>
    </row>
    <row r="3592" spans="1:7" x14ac:dyDescent="0.25">
      <c r="A3592" s="204">
        <v>43074</v>
      </c>
      <c r="B3592" s="199" t="s">
        <v>26</v>
      </c>
      <c r="C3592" s="87" t="s">
        <v>2803</v>
      </c>
      <c r="D3592" s="8">
        <v>500</v>
      </c>
      <c r="E3592" s="8"/>
      <c r="F3592" s="91">
        <f t="shared" si="52"/>
        <v>13654</v>
      </c>
      <c r="G3592" s="26"/>
    </row>
    <row r="3593" spans="1:7" x14ac:dyDescent="0.25">
      <c r="A3593" s="204">
        <v>43074</v>
      </c>
      <c r="B3593" s="205" t="s">
        <v>2677</v>
      </c>
      <c r="C3593" s="89" t="s">
        <v>2804</v>
      </c>
      <c r="D3593" s="14">
        <v>490</v>
      </c>
      <c r="E3593" s="8"/>
      <c r="F3593" s="91">
        <f t="shared" si="52"/>
        <v>13164</v>
      </c>
      <c r="G3593" s="26"/>
    </row>
    <row r="3594" spans="1:7" x14ac:dyDescent="0.25">
      <c r="A3594" s="204">
        <v>43074</v>
      </c>
      <c r="B3594" s="205" t="s">
        <v>2677</v>
      </c>
      <c r="C3594" s="87" t="s">
        <v>2805</v>
      </c>
      <c r="D3594" s="8">
        <v>1100</v>
      </c>
      <c r="E3594" s="8"/>
      <c r="F3594" s="91">
        <f t="shared" si="52"/>
        <v>12064</v>
      </c>
      <c r="G3594" s="26"/>
    </row>
    <row r="3595" spans="1:7" x14ac:dyDescent="0.25">
      <c r="A3595" s="204">
        <v>43074</v>
      </c>
      <c r="B3595" s="26" t="s">
        <v>1840</v>
      </c>
      <c r="C3595" s="87" t="s">
        <v>2806</v>
      </c>
      <c r="D3595" s="8">
        <v>1000</v>
      </c>
      <c r="E3595" s="8"/>
      <c r="F3595" s="91">
        <f t="shared" si="52"/>
        <v>11064</v>
      </c>
      <c r="G3595" s="26"/>
    </row>
    <row r="3596" spans="1:7" x14ac:dyDescent="0.25">
      <c r="A3596" s="204">
        <v>43074</v>
      </c>
      <c r="B3596" s="26" t="s">
        <v>85</v>
      </c>
      <c r="C3596" s="87" t="s">
        <v>2807</v>
      </c>
      <c r="D3596" s="8">
        <v>1000</v>
      </c>
      <c r="E3596" s="8"/>
      <c r="F3596" s="91">
        <f t="shared" si="52"/>
        <v>10064</v>
      </c>
      <c r="G3596" s="26"/>
    </row>
    <row r="3597" spans="1:7" x14ac:dyDescent="0.25">
      <c r="A3597" s="204">
        <v>43074</v>
      </c>
      <c r="B3597" s="26" t="s">
        <v>61</v>
      </c>
      <c r="C3597" s="87" t="s">
        <v>2808</v>
      </c>
      <c r="D3597" s="8">
        <v>1000</v>
      </c>
      <c r="E3597" s="8"/>
      <c r="F3597" s="91">
        <f t="shared" si="52"/>
        <v>9064</v>
      </c>
      <c r="G3597" s="26"/>
    </row>
    <row r="3598" spans="1:7" x14ac:dyDescent="0.25">
      <c r="A3598" s="204">
        <v>43074</v>
      </c>
      <c r="B3598" s="26" t="s">
        <v>17</v>
      </c>
      <c r="C3598" s="87" t="s">
        <v>2438</v>
      </c>
      <c r="D3598" s="8">
        <v>600</v>
      </c>
      <c r="E3598" s="8"/>
      <c r="F3598" s="91">
        <f t="shared" si="52"/>
        <v>8464</v>
      </c>
      <c r="G3598" s="26"/>
    </row>
    <row r="3599" spans="1:7" x14ac:dyDescent="0.25">
      <c r="A3599" s="204">
        <v>43074</v>
      </c>
      <c r="B3599" s="29" t="s">
        <v>248</v>
      </c>
      <c r="C3599" s="89" t="s">
        <v>2810</v>
      </c>
      <c r="D3599" s="14">
        <v>1980</v>
      </c>
      <c r="E3599" s="8"/>
      <c r="F3599" s="91">
        <f t="shared" si="52"/>
        <v>6484</v>
      </c>
      <c r="G3599" s="26"/>
    </row>
    <row r="3600" spans="1:7" x14ac:dyDescent="0.25">
      <c r="A3600" s="204">
        <v>43074</v>
      </c>
      <c r="B3600" s="26" t="s">
        <v>2597</v>
      </c>
      <c r="C3600" s="87" t="s">
        <v>2809</v>
      </c>
      <c r="D3600" s="8">
        <v>3500</v>
      </c>
      <c r="E3600" s="8"/>
      <c r="F3600" s="91">
        <f t="shared" si="52"/>
        <v>2984</v>
      </c>
      <c r="G3600" s="26"/>
    </row>
    <row r="3601" spans="1:7" x14ac:dyDescent="0.25">
      <c r="A3601" s="204">
        <v>43074</v>
      </c>
      <c r="B3601" s="26" t="s">
        <v>26</v>
      </c>
      <c r="C3601" s="87" t="s">
        <v>2811</v>
      </c>
      <c r="D3601" s="8">
        <v>280</v>
      </c>
      <c r="E3601" s="8"/>
      <c r="F3601" s="91">
        <f t="shared" si="52"/>
        <v>2704</v>
      </c>
      <c r="G3601" s="26"/>
    </row>
    <row r="3602" spans="1:7" x14ac:dyDescent="0.25">
      <c r="A3602" s="204">
        <v>43074</v>
      </c>
      <c r="B3602" s="26" t="s">
        <v>26</v>
      </c>
      <c r="C3602" s="87" t="s">
        <v>2812</v>
      </c>
      <c r="D3602" s="8">
        <v>20</v>
      </c>
      <c r="E3602" s="8"/>
      <c r="F3602" s="91">
        <f t="shared" si="52"/>
        <v>2684</v>
      </c>
      <c r="G3602" s="26"/>
    </row>
    <row r="3603" spans="1:7" x14ac:dyDescent="0.25">
      <c r="A3603" s="204">
        <v>43074</v>
      </c>
      <c r="B3603" s="26" t="s">
        <v>26</v>
      </c>
      <c r="C3603" s="87" t="s">
        <v>402</v>
      </c>
      <c r="D3603" s="8">
        <v>510</v>
      </c>
      <c r="E3603" s="8"/>
      <c r="F3603" s="91">
        <f t="shared" si="52"/>
        <v>2174</v>
      </c>
      <c r="G3603" s="26"/>
    </row>
    <row r="3604" spans="1:7" x14ac:dyDescent="0.25">
      <c r="A3604" s="204">
        <v>43074</v>
      </c>
      <c r="B3604" s="26" t="s">
        <v>26</v>
      </c>
      <c r="C3604" s="87" t="s">
        <v>2813</v>
      </c>
      <c r="D3604" s="8">
        <v>20</v>
      </c>
      <c r="E3604" s="8"/>
      <c r="F3604" s="91">
        <f t="shared" si="52"/>
        <v>2154</v>
      </c>
      <c r="G3604" s="26"/>
    </row>
    <row r="3605" spans="1:7" x14ac:dyDescent="0.25">
      <c r="A3605" s="204">
        <v>43074</v>
      </c>
      <c r="B3605" s="26" t="s">
        <v>26</v>
      </c>
      <c r="C3605" s="87" t="s">
        <v>2662</v>
      </c>
      <c r="D3605" s="8">
        <v>350</v>
      </c>
      <c r="E3605" s="8"/>
      <c r="F3605" s="91">
        <f t="shared" si="52"/>
        <v>1804</v>
      </c>
      <c r="G3605" s="26"/>
    </row>
    <row r="3606" spans="1:7" x14ac:dyDescent="0.25">
      <c r="A3606" s="204">
        <v>43074</v>
      </c>
      <c r="B3606" s="26" t="s">
        <v>26</v>
      </c>
      <c r="C3606" s="87" t="s">
        <v>2816</v>
      </c>
      <c r="D3606" s="8">
        <v>150</v>
      </c>
      <c r="E3606" s="8"/>
      <c r="F3606" s="91">
        <f t="shared" si="52"/>
        <v>1654</v>
      </c>
      <c r="G3606" s="26"/>
    </row>
    <row r="3607" spans="1:7" x14ac:dyDescent="0.25">
      <c r="A3607" s="204">
        <v>43074</v>
      </c>
      <c r="B3607" s="26" t="s">
        <v>26</v>
      </c>
      <c r="C3607" s="87" t="s">
        <v>2814</v>
      </c>
      <c r="D3607" s="8">
        <v>140</v>
      </c>
      <c r="E3607" s="8"/>
      <c r="F3607" s="91">
        <f t="shared" si="52"/>
        <v>1514</v>
      </c>
      <c r="G3607" s="26"/>
    </row>
    <row r="3608" spans="1:7" x14ac:dyDescent="0.25">
      <c r="A3608" s="204">
        <v>43074</v>
      </c>
      <c r="B3608" s="26" t="s">
        <v>26</v>
      </c>
      <c r="C3608" s="87" t="s">
        <v>2819</v>
      </c>
      <c r="D3608" s="8">
        <v>80</v>
      </c>
      <c r="E3608" s="8"/>
      <c r="F3608" s="91">
        <f t="shared" si="52"/>
        <v>1434</v>
      </c>
      <c r="G3608" s="26"/>
    </row>
    <row r="3609" spans="1:7" x14ac:dyDescent="0.25">
      <c r="A3609" s="204">
        <v>43074</v>
      </c>
      <c r="B3609" s="26" t="s">
        <v>26</v>
      </c>
      <c r="C3609" s="87" t="s">
        <v>2817</v>
      </c>
      <c r="D3609" s="8">
        <v>110</v>
      </c>
      <c r="E3609" s="8"/>
      <c r="F3609" s="91">
        <f t="shared" si="52"/>
        <v>1324</v>
      </c>
      <c r="G3609" s="26"/>
    </row>
    <row r="3610" spans="1:7" x14ac:dyDescent="0.25">
      <c r="A3610" s="204">
        <v>43074</v>
      </c>
      <c r="B3610" s="26" t="s">
        <v>26</v>
      </c>
      <c r="C3610" s="87" t="s">
        <v>2815</v>
      </c>
      <c r="D3610" s="8">
        <v>600</v>
      </c>
      <c r="E3610" s="8"/>
      <c r="F3610" s="91">
        <f t="shared" si="52"/>
        <v>724</v>
      </c>
      <c r="G3610" s="26"/>
    </row>
    <row r="3611" spans="1:7" x14ac:dyDescent="0.25">
      <c r="A3611" s="204">
        <v>43074</v>
      </c>
      <c r="B3611" s="26" t="s">
        <v>26</v>
      </c>
      <c r="C3611" s="87" t="s">
        <v>2823</v>
      </c>
      <c r="D3611" s="8">
        <v>50</v>
      </c>
      <c r="E3611" s="8"/>
      <c r="F3611" s="91">
        <f t="shared" si="52"/>
        <v>674</v>
      </c>
      <c r="G3611" s="26"/>
    </row>
    <row r="3612" spans="1:7" x14ac:dyDescent="0.25">
      <c r="A3612" s="204">
        <v>43075</v>
      </c>
      <c r="B3612" s="26" t="s">
        <v>26</v>
      </c>
      <c r="C3612" s="87" t="s">
        <v>2824</v>
      </c>
      <c r="D3612" s="8">
        <v>350</v>
      </c>
      <c r="E3612" s="8"/>
      <c r="F3612" s="91">
        <f t="shared" si="52"/>
        <v>324</v>
      </c>
      <c r="G3612" s="26"/>
    </row>
    <row r="3613" spans="1:7" x14ac:dyDescent="0.25">
      <c r="A3613" s="204">
        <v>43075</v>
      </c>
      <c r="B3613" s="26" t="s">
        <v>26</v>
      </c>
      <c r="C3613" s="87" t="s">
        <v>2824</v>
      </c>
      <c r="D3613" s="8">
        <v>60</v>
      </c>
      <c r="E3613" s="8"/>
      <c r="F3613" s="91">
        <f t="shared" si="52"/>
        <v>264</v>
      </c>
      <c r="G3613" s="26"/>
    </row>
    <row r="3614" spans="1:7" x14ac:dyDescent="0.25">
      <c r="A3614" s="204">
        <v>43075</v>
      </c>
      <c r="B3614" s="26" t="s">
        <v>26</v>
      </c>
      <c r="C3614" s="87" t="s">
        <v>2825</v>
      </c>
      <c r="D3614" s="8">
        <v>40</v>
      </c>
      <c r="E3614" s="8"/>
      <c r="F3614" s="91">
        <f t="shared" si="52"/>
        <v>224</v>
      </c>
      <c r="G3614" s="26"/>
    </row>
    <row r="3615" spans="1:7" x14ac:dyDescent="0.25">
      <c r="A3615" s="204">
        <v>43075</v>
      </c>
      <c r="B3615" s="26" t="s">
        <v>59</v>
      </c>
      <c r="C3615" s="87" t="s">
        <v>2788</v>
      </c>
      <c r="D3615" s="8">
        <v>100</v>
      </c>
      <c r="E3615" s="8"/>
      <c r="F3615" s="91">
        <f t="shared" si="52"/>
        <v>124</v>
      </c>
      <c r="G3615" s="26"/>
    </row>
    <row r="3616" spans="1:7" x14ac:dyDescent="0.25">
      <c r="A3616" s="204">
        <v>43075</v>
      </c>
      <c r="B3616" s="460" t="s">
        <v>2668</v>
      </c>
      <c r="C3616" s="460"/>
      <c r="D3616" s="71"/>
      <c r="E3616" s="58">
        <v>50000</v>
      </c>
      <c r="F3616" s="91">
        <f t="shared" si="52"/>
        <v>50124</v>
      </c>
      <c r="G3616" s="26"/>
    </row>
    <row r="3617" spans="1:7" x14ac:dyDescent="0.25">
      <c r="A3617" s="204">
        <v>43075</v>
      </c>
      <c r="B3617" s="26" t="s">
        <v>2597</v>
      </c>
      <c r="C3617" s="87" t="s">
        <v>2826</v>
      </c>
      <c r="D3617" s="8">
        <v>5000</v>
      </c>
      <c r="E3617" s="8"/>
      <c r="F3617" s="91">
        <f t="shared" si="52"/>
        <v>45124</v>
      </c>
      <c r="G3617" s="26"/>
    </row>
    <row r="3618" spans="1:7" x14ac:dyDescent="0.25">
      <c r="A3618" s="204">
        <v>43075</v>
      </c>
      <c r="B3618" s="26" t="s">
        <v>2827</v>
      </c>
      <c r="C3618" s="87" t="s">
        <v>2828</v>
      </c>
      <c r="D3618" s="8">
        <v>4000</v>
      </c>
      <c r="E3618" s="8"/>
      <c r="F3618" s="91">
        <f t="shared" si="52"/>
        <v>41124</v>
      </c>
      <c r="G3618" s="26"/>
    </row>
    <row r="3619" spans="1:7" x14ac:dyDescent="0.25">
      <c r="A3619" s="204">
        <v>43075</v>
      </c>
      <c r="B3619" s="26" t="s">
        <v>2830</v>
      </c>
      <c r="C3619" s="87" t="s">
        <v>2831</v>
      </c>
      <c r="D3619" s="8">
        <v>680</v>
      </c>
      <c r="E3619" s="8"/>
      <c r="F3619" s="91">
        <f t="shared" si="52"/>
        <v>40444</v>
      </c>
      <c r="G3619" s="26"/>
    </row>
    <row r="3620" spans="1:7" x14ac:dyDescent="0.25">
      <c r="A3620" s="204">
        <v>43076</v>
      </c>
      <c r="B3620" s="26" t="s">
        <v>14</v>
      </c>
      <c r="C3620" s="87" t="s">
        <v>641</v>
      </c>
      <c r="D3620" s="8">
        <v>1000</v>
      </c>
      <c r="E3620" s="8"/>
      <c r="F3620" s="91">
        <f t="shared" si="52"/>
        <v>39444</v>
      </c>
      <c r="G3620" s="26"/>
    </row>
    <row r="3621" spans="1:7" x14ac:dyDescent="0.25">
      <c r="A3621" s="204">
        <v>43076</v>
      </c>
      <c r="B3621" s="26" t="s">
        <v>2505</v>
      </c>
      <c r="C3621" s="87" t="s">
        <v>2829</v>
      </c>
      <c r="D3621" s="8">
        <v>5000</v>
      </c>
      <c r="E3621" s="8"/>
      <c r="F3621" s="91">
        <f t="shared" si="52"/>
        <v>34444</v>
      </c>
      <c r="G3621" s="26"/>
    </row>
    <row r="3622" spans="1:7" x14ac:dyDescent="0.25">
      <c r="A3622" s="204">
        <v>43076</v>
      </c>
      <c r="B3622" s="29" t="s">
        <v>248</v>
      </c>
      <c r="C3622" s="89" t="s">
        <v>2833</v>
      </c>
      <c r="D3622" s="14">
        <v>1200</v>
      </c>
      <c r="E3622" s="8"/>
      <c r="F3622" s="91">
        <f t="shared" si="52"/>
        <v>33244</v>
      </c>
      <c r="G3622" s="26"/>
    </row>
    <row r="3623" spans="1:7" x14ac:dyDescent="0.25">
      <c r="A3623" s="204">
        <v>43076</v>
      </c>
      <c r="B3623" s="26" t="s">
        <v>14</v>
      </c>
      <c r="C3623" s="87" t="s">
        <v>1533</v>
      </c>
      <c r="D3623" s="8">
        <v>2000</v>
      </c>
      <c r="E3623" s="8"/>
      <c r="F3623" s="91">
        <f t="shared" si="52"/>
        <v>31244</v>
      </c>
      <c r="G3623" s="26"/>
    </row>
    <row r="3624" spans="1:7" x14ac:dyDescent="0.25">
      <c r="A3624" s="204">
        <v>43076</v>
      </c>
      <c r="B3624" s="26" t="s">
        <v>2830</v>
      </c>
      <c r="C3624" s="87" t="s">
        <v>1533</v>
      </c>
      <c r="D3624" s="8">
        <v>1150</v>
      </c>
      <c r="E3624" s="8"/>
      <c r="F3624" s="91">
        <f t="shared" si="52"/>
        <v>30094</v>
      </c>
      <c r="G3624" s="26"/>
    </row>
    <row r="3625" spans="1:7" x14ac:dyDescent="0.25">
      <c r="A3625" s="204">
        <v>43076</v>
      </c>
      <c r="B3625" s="26" t="s">
        <v>17</v>
      </c>
      <c r="C3625" s="87" t="s">
        <v>2832</v>
      </c>
      <c r="D3625" s="8">
        <v>5000</v>
      </c>
      <c r="E3625" s="8"/>
      <c r="F3625" s="91">
        <f t="shared" si="52"/>
        <v>25094</v>
      </c>
      <c r="G3625" s="26"/>
    </row>
    <row r="3626" spans="1:7" x14ac:dyDescent="0.25">
      <c r="A3626" s="204">
        <v>43076</v>
      </c>
      <c r="B3626" s="26" t="s">
        <v>2597</v>
      </c>
      <c r="C3626" s="87" t="s">
        <v>2834</v>
      </c>
      <c r="D3626" s="8">
        <v>10000</v>
      </c>
      <c r="E3626" s="8"/>
      <c r="F3626" s="91">
        <f t="shared" si="52"/>
        <v>15094</v>
      </c>
      <c r="G3626" s="26"/>
    </row>
    <row r="3627" spans="1:7" x14ac:dyDescent="0.25">
      <c r="A3627" s="204">
        <v>43076</v>
      </c>
      <c r="B3627" s="26" t="s">
        <v>248</v>
      </c>
      <c r="C3627" s="87" t="s">
        <v>2835</v>
      </c>
      <c r="D3627" s="8">
        <v>780</v>
      </c>
      <c r="E3627" s="8"/>
      <c r="F3627" s="91">
        <f t="shared" si="52"/>
        <v>14314</v>
      </c>
      <c r="G3627" s="26"/>
    </row>
    <row r="3628" spans="1:7" x14ac:dyDescent="0.25">
      <c r="A3628" s="204">
        <v>43076</v>
      </c>
      <c r="B3628" s="26" t="s">
        <v>85</v>
      </c>
      <c r="C3628" s="87" t="s">
        <v>2836</v>
      </c>
      <c r="D3628" s="8">
        <v>1000</v>
      </c>
      <c r="E3628" s="8"/>
      <c r="F3628" s="91">
        <f t="shared" si="52"/>
        <v>13314</v>
      </c>
      <c r="G3628" s="26"/>
    </row>
    <row r="3629" spans="1:7" x14ac:dyDescent="0.25">
      <c r="A3629" s="204">
        <v>43076</v>
      </c>
      <c r="B3629" s="26" t="s">
        <v>85</v>
      </c>
      <c r="C3629" s="87" t="s">
        <v>2837</v>
      </c>
      <c r="D3629" s="8">
        <v>1000</v>
      </c>
      <c r="E3629" s="8"/>
      <c r="F3629" s="91">
        <f t="shared" si="52"/>
        <v>12314</v>
      </c>
      <c r="G3629" s="26"/>
    </row>
    <row r="3630" spans="1:7" ht="30" x14ac:dyDescent="0.25">
      <c r="A3630" s="204">
        <v>43077</v>
      </c>
      <c r="B3630" s="26" t="s">
        <v>26</v>
      </c>
      <c r="C3630" s="87" t="s">
        <v>2838</v>
      </c>
      <c r="D3630" s="8">
        <v>420</v>
      </c>
      <c r="E3630" s="8"/>
      <c r="F3630" s="91">
        <f t="shared" si="52"/>
        <v>11894</v>
      </c>
      <c r="G3630" s="26"/>
    </row>
    <row r="3631" spans="1:7" x14ac:dyDescent="0.25">
      <c r="A3631" s="204">
        <v>43077</v>
      </c>
      <c r="B3631" s="26" t="s">
        <v>2648</v>
      </c>
      <c r="C3631" s="87" t="s">
        <v>2839</v>
      </c>
      <c r="D3631" s="8">
        <v>3100</v>
      </c>
      <c r="E3631" s="8"/>
      <c r="F3631" s="91">
        <f t="shared" si="52"/>
        <v>8794</v>
      </c>
      <c r="G3631" s="26"/>
    </row>
    <row r="3632" spans="1:7" x14ac:dyDescent="0.25">
      <c r="A3632" s="204">
        <v>43077</v>
      </c>
      <c r="B3632" s="26" t="s">
        <v>2597</v>
      </c>
      <c r="C3632" s="87" t="s">
        <v>2840</v>
      </c>
      <c r="D3632" s="8">
        <v>2000</v>
      </c>
      <c r="E3632" s="8"/>
      <c r="F3632" s="91">
        <f t="shared" si="52"/>
        <v>6794</v>
      </c>
      <c r="G3632" s="26"/>
    </row>
    <row r="3633" spans="1:7" x14ac:dyDescent="0.25">
      <c r="A3633" s="204">
        <v>43077</v>
      </c>
      <c r="B3633" s="26" t="s">
        <v>2830</v>
      </c>
      <c r="C3633" s="87" t="s">
        <v>2868</v>
      </c>
      <c r="D3633" s="8">
        <v>400</v>
      </c>
      <c r="E3633" s="8"/>
      <c r="F3633" s="91">
        <f t="shared" si="52"/>
        <v>6394</v>
      </c>
      <c r="G3633" s="26"/>
    </row>
    <row r="3634" spans="1:7" x14ac:dyDescent="0.25">
      <c r="A3634" s="204">
        <v>43077</v>
      </c>
      <c r="B3634" s="26" t="s">
        <v>14</v>
      </c>
      <c r="C3634" s="87" t="s">
        <v>32</v>
      </c>
      <c r="D3634" s="8">
        <v>3000</v>
      </c>
      <c r="E3634" s="8"/>
      <c r="F3634" s="91">
        <f t="shared" si="52"/>
        <v>3394</v>
      </c>
      <c r="G3634" s="26"/>
    </row>
    <row r="3635" spans="1:7" x14ac:dyDescent="0.25">
      <c r="A3635" s="204">
        <v>43077</v>
      </c>
      <c r="B3635" s="460" t="s">
        <v>2590</v>
      </c>
      <c r="C3635" s="460"/>
      <c r="D3635" s="71"/>
      <c r="E3635" s="58">
        <v>33534</v>
      </c>
      <c r="F3635" s="91">
        <f t="shared" si="52"/>
        <v>36928</v>
      </c>
      <c r="G3635" s="26"/>
    </row>
    <row r="3636" spans="1:7" x14ac:dyDescent="0.25">
      <c r="A3636" s="204">
        <v>43078</v>
      </c>
      <c r="B3636" s="26" t="s">
        <v>17</v>
      </c>
      <c r="C3636" s="87" t="s">
        <v>2841</v>
      </c>
      <c r="D3636" s="8">
        <v>10000</v>
      </c>
      <c r="E3636" s="8"/>
      <c r="F3636" s="91">
        <f t="shared" si="52"/>
        <v>26928</v>
      </c>
      <c r="G3636" s="26"/>
    </row>
    <row r="3637" spans="1:7" x14ac:dyDescent="0.25">
      <c r="A3637" s="204">
        <v>43078</v>
      </c>
      <c r="B3637" s="26" t="s">
        <v>26</v>
      </c>
      <c r="C3637" s="87" t="s">
        <v>942</v>
      </c>
      <c r="D3637" s="8">
        <v>380</v>
      </c>
      <c r="E3637" s="8"/>
      <c r="F3637" s="91">
        <f t="shared" si="52"/>
        <v>26548</v>
      </c>
      <c r="G3637" s="26"/>
    </row>
    <row r="3638" spans="1:7" x14ac:dyDescent="0.25">
      <c r="A3638" s="204">
        <v>43078</v>
      </c>
      <c r="B3638" s="26" t="s">
        <v>26</v>
      </c>
      <c r="C3638" s="87" t="s">
        <v>2618</v>
      </c>
      <c r="D3638" s="8">
        <v>80</v>
      </c>
      <c r="E3638" s="8"/>
      <c r="F3638" s="91">
        <f t="shared" si="52"/>
        <v>26468</v>
      </c>
      <c r="G3638" s="26"/>
    </row>
    <row r="3639" spans="1:7" x14ac:dyDescent="0.25">
      <c r="A3639" s="204">
        <v>43078</v>
      </c>
      <c r="B3639" s="26" t="s">
        <v>26</v>
      </c>
      <c r="C3639" s="87" t="s">
        <v>2842</v>
      </c>
      <c r="D3639" s="8">
        <v>110</v>
      </c>
      <c r="E3639" s="8"/>
      <c r="F3639" s="91">
        <f t="shared" si="52"/>
        <v>26358</v>
      </c>
      <c r="G3639" s="26"/>
    </row>
    <row r="3640" spans="1:7" x14ac:dyDescent="0.25">
      <c r="A3640" s="204">
        <v>43078</v>
      </c>
      <c r="B3640" s="26" t="s">
        <v>26</v>
      </c>
      <c r="C3640" s="87" t="s">
        <v>2843</v>
      </c>
      <c r="D3640" s="8">
        <v>360</v>
      </c>
      <c r="E3640" s="8"/>
      <c r="F3640" s="91">
        <f t="shared" si="52"/>
        <v>25998</v>
      </c>
      <c r="G3640" s="26"/>
    </row>
    <row r="3641" spans="1:7" x14ac:dyDescent="0.25">
      <c r="A3641" s="204">
        <v>43078</v>
      </c>
      <c r="B3641" s="26" t="s">
        <v>26</v>
      </c>
      <c r="C3641" s="87" t="s">
        <v>2844</v>
      </c>
      <c r="D3641" s="8">
        <v>360</v>
      </c>
      <c r="E3641" s="8"/>
      <c r="F3641" s="91">
        <f t="shared" si="52"/>
        <v>25638</v>
      </c>
      <c r="G3641" s="26"/>
    </row>
    <row r="3642" spans="1:7" x14ac:dyDescent="0.25">
      <c r="A3642" s="204">
        <v>43078</v>
      </c>
      <c r="B3642" s="26" t="s">
        <v>26</v>
      </c>
      <c r="C3642" s="87" t="s">
        <v>1525</v>
      </c>
      <c r="D3642" s="8">
        <v>140</v>
      </c>
      <c r="E3642" s="8"/>
      <c r="F3642" s="91">
        <f t="shared" si="52"/>
        <v>25498</v>
      </c>
      <c r="G3642" s="26"/>
    </row>
    <row r="3643" spans="1:7" x14ac:dyDescent="0.25">
      <c r="A3643" s="204">
        <v>43078</v>
      </c>
      <c r="B3643" s="26" t="s">
        <v>2845</v>
      </c>
      <c r="C3643" s="87" t="s">
        <v>2850</v>
      </c>
      <c r="D3643" s="8">
        <v>130</v>
      </c>
      <c r="E3643" s="8"/>
      <c r="F3643" s="91">
        <f t="shared" si="52"/>
        <v>25368</v>
      </c>
      <c r="G3643" s="26"/>
    </row>
    <row r="3644" spans="1:7" x14ac:dyDescent="0.25">
      <c r="A3644" s="204">
        <v>43078</v>
      </c>
      <c r="B3644" s="26" t="s">
        <v>26</v>
      </c>
      <c r="C3644" s="87" t="s">
        <v>2846</v>
      </c>
      <c r="D3644" s="8">
        <v>130</v>
      </c>
      <c r="E3644" s="8"/>
      <c r="F3644" s="91">
        <f t="shared" si="52"/>
        <v>25238</v>
      </c>
      <c r="G3644" s="26"/>
    </row>
    <row r="3645" spans="1:7" x14ac:dyDescent="0.25">
      <c r="A3645" s="204">
        <v>43078</v>
      </c>
      <c r="B3645" s="26" t="s">
        <v>26</v>
      </c>
      <c r="C3645" s="87" t="s">
        <v>2688</v>
      </c>
      <c r="D3645" s="8">
        <v>15</v>
      </c>
      <c r="E3645" s="8"/>
      <c r="F3645" s="91">
        <f t="shared" si="52"/>
        <v>25223</v>
      </c>
      <c r="G3645" s="26"/>
    </row>
    <row r="3646" spans="1:7" x14ac:dyDescent="0.25">
      <c r="A3646" s="204">
        <v>43078</v>
      </c>
      <c r="B3646" s="26" t="s">
        <v>26</v>
      </c>
      <c r="C3646" s="87" t="s">
        <v>2847</v>
      </c>
      <c r="D3646" s="8">
        <v>60</v>
      </c>
      <c r="E3646" s="8"/>
      <c r="F3646" s="91">
        <f t="shared" si="52"/>
        <v>25163</v>
      </c>
      <c r="G3646" s="26"/>
    </row>
    <row r="3647" spans="1:7" x14ac:dyDescent="0.25">
      <c r="A3647" s="204">
        <v>43078</v>
      </c>
      <c r="B3647" s="26" t="s">
        <v>26</v>
      </c>
      <c r="C3647" s="87" t="s">
        <v>2848</v>
      </c>
      <c r="D3647" s="8">
        <v>140</v>
      </c>
      <c r="E3647" s="8"/>
      <c r="F3647" s="91">
        <f t="shared" si="52"/>
        <v>25023</v>
      </c>
      <c r="G3647" s="26"/>
    </row>
    <row r="3648" spans="1:7" x14ac:dyDescent="0.25">
      <c r="A3648" s="204">
        <v>43078</v>
      </c>
      <c r="B3648" s="26" t="s">
        <v>2333</v>
      </c>
      <c r="C3648" s="87" t="s">
        <v>2849</v>
      </c>
      <c r="D3648" s="8">
        <v>300</v>
      </c>
      <c r="E3648" s="8"/>
      <c r="F3648" s="91">
        <f t="shared" si="52"/>
        <v>24723</v>
      </c>
      <c r="G3648" s="26"/>
    </row>
    <row r="3649" spans="1:7" x14ac:dyDescent="0.25">
      <c r="A3649" s="204">
        <v>43078</v>
      </c>
      <c r="B3649" s="26" t="s">
        <v>2845</v>
      </c>
      <c r="C3649" s="87" t="s">
        <v>2851</v>
      </c>
      <c r="D3649" s="8">
        <v>390</v>
      </c>
      <c r="E3649" s="8"/>
      <c r="F3649" s="91">
        <f t="shared" si="52"/>
        <v>24333</v>
      </c>
      <c r="G3649" s="26"/>
    </row>
    <row r="3650" spans="1:7" x14ac:dyDescent="0.25">
      <c r="A3650" s="204">
        <v>43078</v>
      </c>
      <c r="B3650" s="26" t="s">
        <v>2333</v>
      </c>
      <c r="C3650" s="87" t="s">
        <v>2852</v>
      </c>
      <c r="D3650" s="8">
        <v>60</v>
      </c>
      <c r="E3650" s="8"/>
      <c r="F3650" s="91">
        <f t="shared" si="52"/>
        <v>24273</v>
      </c>
      <c r="G3650" s="26"/>
    </row>
    <row r="3651" spans="1:7" x14ac:dyDescent="0.25">
      <c r="A3651" s="204">
        <v>43078</v>
      </c>
      <c r="B3651" s="26" t="s">
        <v>248</v>
      </c>
      <c r="C3651" s="87" t="s">
        <v>2266</v>
      </c>
      <c r="D3651" s="8">
        <v>200</v>
      </c>
      <c r="E3651" s="8"/>
      <c r="F3651" s="91">
        <f t="shared" si="52"/>
        <v>24073</v>
      </c>
      <c r="G3651" s="26"/>
    </row>
    <row r="3652" spans="1:7" x14ac:dyDescent="0.25">
      <c r="A3652" s="204">
        <v>43078</v>
      </c>
      <c r="B3652" s="26" t="s">
        <v>248</v>
      </c>
      <c r="C3652" s="87" t="s">
        <v>2853</v>
      </c>
      <c r="D3652" s="8">
        <v>60</v>
      </c>
      <c r="E3652" s="8"/>
      <c r="F3652" s="91">
        <f t="shared" si="52"/>
        <v>24013</v>
      </c>
      <c r="G3652" s="26"/>
    </row>
    <row r="3653" spans="1:7" x14ac:dyDescent="0.25">
      <c r="A3653" s="204">
        <v>43078</v>
      </c>
      <c r="B3653" s="26" t="s">
        <v>26</v>
      </c>
      <c r="C3653" s="87" t="s">
        <v>2854</v>
      </c>
      <c r="D3653" s="8">
        <v>1700</v>
      </c>
      <c r="E3653" s="8"/>
      <c r="F3653" s="91">
        <f t="shared" si="52"/>
        <v>22313</v>
      </c>
      <c r="G3653" s="26"/>
    </row>
    <row r="3654" spans="1:7" x14ac:dyDescent="0.25">
      <c r="A3654" s="204">
        <v>43078</v>
      </c>
      <c r="B3654" s="26" t="s">
        <v>2099</v>
      </c>
      <c r="C3654" s="87" t="s">
        <v>2866</v>
      </c>
      <c r="D3654" s="8">
        <v>10000</v>
      </c>
      <c r="E3654" s="8"/>
      <c r="F3654" s="91">
        <f t="shared" si="52"/>
        <v>12313</v>
      </c>
      <c r="G3654" s="26"/>
    </row>
    <row r="3655" spans="1:7" x14ac:dyDescent="0.25">
      <c r="A3655" s="204">
        <v>43078</v>
      </c>
      <c r="B3655" s="460" t="s">
        <v>2860</v>
      </c>
      <c r="C3655" s="460"/>
      <c r="D3655" s="71"/>
      <c r="E3655" s="58">
        <v>10000</v>
      </c>
      <c r="F3655" s="91">
        <f t="shared" si="52"/>
        <v>22313</v>
      </c>
      <c r="G3655" s="26"/>
    </row>
    <row r="3656" spans="1:7" x14ac:dyDescent="0.25">
      <c r="A3656" s="204">
        <v>43078</v>
      </c>
      <c r="B3656" s="26" t="s">
        <v>248</v>
      </c>
      <c r="C3656" s="87" t="s">
        <v>2472</v>
      </c>
      <c r="D3656" s="8">
        <v>1500</v>
      </c>
      <c r="E3656" s="8"/>
      <c r="F3656" s="91">
        <f t="shared" si="52"/>
        <v>20813</v>
      </c>
      <c r="G3656" s="26"/>
    </row>
    <row r="3657" spans="1:7" x14ac:dyDescent="0.25">
      <c r="A3657" s="204">
        <v>43078</v>
      </c>
      <c r="B3657" s="26" t="s">
        <v>2597</v>
      </c>
      <c r="C3657" s="87" t="s">
        <v>2855</v>
      </c>
      <c r="D3657" s="8">
        <v>6400</v>
      </c>
      <c r="E3657" s="8"/>
      <c r="F3657" s="91">
        <f t="shared" si="52"/>
        <v>14413</v>
      </c>
      <c r="G3657" s="26"/>
    </row>
    <row r="3658" spans="1:7" x14ac:dyDescent="0.25">
      <c r="A3658" s="204">
        <v>43080</v>
      </c>
      <c r="B3658" s="26" t="s">
        <v>2856</v>
      </c>
      <c r="C3658" s="87" t="s">
        <v>2857</v>
      </c>
      <c r="D3658" s="8">
        <v>300</v>
      </c>
      <c r="E3658" s="8"/>
      <c r="F3658" s="91">
        <f t="shared" si="52"/>
        <v>14113</v>
      </c>
      <c r="G3658" s="26"/>
    </row>
    <row r="3659" spans="1:7" x14ac:dyDescent="0.25">
      <c r="A3659" s="204">
        <v>43080</v>
      </c>
      <c r="B3659" s="26" t="s">
        <v>2856</v>
      </c>
      <c r="C3659" s="87" t="s">
        <v>2858</v>
      </c>
      <c r="D3659" s="8">
        <v>200</v>
      </c>
      <c r="E3659" s="8"/>
      <c r="F3659" s="91">
        <f t="shared" si="52"/>
        <v>13913</v>
      </c>
      <c r="G3659" s="26"/>
    </row>
    <row r="3660" spans="1:7" ht="30" x14ac:dyDescent="0.25">
      <c r="A3660" s="204">
        <v>43080</v>
      </c>
      <c r="B3660" s="26" t="s">
        <v>2856</v>
      </c>
      <c r="C3660" s="87" t="s">
        <v>2859</v>
      </c>
      <c r="D3660" s="8">
        <v>100</v>
      </c>
      <c r="E3660" s="8"/>
      <c r="F3660" s="91">
        <f t="shared" si="52"/>
        <v>13813</v>
      </c>
      <c r="G3660" s="199"/>
    </row>
    <row r="3661" spans="1:7" x14ac:dyDescent="0.25">
      <c r="A3661" s="204">
        <v>43080</v>
      </c>
      <c r="B3661" s="26" t="s">
        <v>2856</v>
      </c>
      <c r="C3661" s="87" t="s">
        <v>2016</v>
      </c>
      <c r="D3661" s="8">
        <v>100</v>
      </c>
      <c r="E3661" s="8"/>
      <c r="F3661" s="91">
        <f t="shared" si="52"/>
        <v>13713</v>
      </c>
      <c r="G3661" s="26"/>
    </row>
    <row r="3662" spans="1:7" x14ac:dyDescent="0.25">
      <c r="A3662" s="204">
        <v>43081</v>
      </c>
      <c r="B3662" s="26" t="s">
        <v>2505</v>
      </c>
      <c r="C3662" s="87" t="s">
        <v>1052</v>
      </c>
      <c r="D3662" s="8">
        <v>1000</v>
      </c>
      <c r="E3662" s="8"/>
      <c r="F3662" s="91">
        <f t="shared" si="52"/>
        <v>12713</v>
      </c>
      <c r="G3662" s="26"/>
    </row>
    <row r="3663" spans="1:7" x14ac:dyDescent="0.25">
      <c r="A3663" s="204">
        <v>43081</v>
      </c>
      <c r="B3663" s="26" t="s">
        <v>2730</v>
      </c>
      <c r="C3663" s="87" t="s">
        <v>2861</v>
      </c>
      <c r="D3663" s="8">
        <v>1515</v>
      </c>
      <c r="E3663" s="8"/>
      <c r="F3663" s="91">
        <f t="shared" si="52"/>
        <v>11198</v>
      </c>
      <c r="G3663" s="26"/>
    </row>
    <row r="3664" spans="1:7" x14ac:dyDescent="0.25">
      <c r="A3664" s="204">
        <v>43081</v>
      </c>
      <c r="B3664" s="26" t="s">
        <v>2730</v>
      </c>
      <c r="C3664" s="87" t="s">
        <v>2862</v>
      </c>
      <c r="D3664" s="8">
        <v>700</v>
      </c>
      <c r="E3664" s="8"/>
      <c r="F3664" s="91">
        <f t="shared" si="52"/>
        <v>10498</v>
      </c>
      <c r="G3664" s="26"/>
    </row>
    <row r="3665" spans="1:7" x14ac:dyDescent="0.25">
      <c r="A3665" s="204">
        <v>43081</v>
      </c>
      <c r="B3665" s="26" t="s">
        <v>85</v>
      </c>
      <c r="C3665" s="87" t="s">
        <v>2863</v>
      </c>
      <c r="D3665" s="8">
        <v>2000</v>
      </c>
      <c r="E3665" s="8"/>
      <c r="F3665" s="91">
        <f t="shared" si="52"/>
        <v>8498</v>
      </c>
      <c r="G3665" s="26"/>
    </row>
    <row r="3666" spans="1:7" x14ac:dyDescent="0.25">
      <c r="A3666" s="204">
        <v>43081</v>
      </c>
      <c r="B3666" s="26" t="s">
        <v>85</v>
      </c>
      <c r="C3666" s="87" t="s">
        <v>2864</v>
      </c>
      <c r="D3666" s="8">
        <v>2000</v>
      </c>
      <c r="E3666" s="8"/>
      <c r="F3666" s="91">
        <f t="shared" si="52"/>
        <v>6498</v>
      </c>
      <c r="G3666" s="26"/>
    </row>
    <row r="3667" spans="1:7" x14ac:dyDescent="0.25">
      <c r="A3667" s="204">
        <v>43081</v>
      </c>
      <c r="B3667" s="26" t="s">
        <v>10</v>
      </c>
      <c r="C3667" s="87" t="s">
        <v>2865</v>
      </c>
      <c r="D3667" s="8">
        <v>1000</v>
      </c>
      <c r="E3667" s="8"/>
      <c r="F3667" s="91">
        <f t="shared" si="52"/>
        <v>5498</v>
      </c>
      <c r="G3667" s="26"/>
    </row>
    <row r="3668" spans="1:7" x14ac:dyDescent="0.25">
      <c r="A3668" s="204">
        <v>43081</v>
      </c>
      <c r="B3668" s="26" t="s">
        <v>61</v>
      </c>
      <c r="C3668" s="87" t="s">
        <v>2867</v>
      </c>
      <c r="D3668" s="8">
        <v>380</v>
      </c>
      <c r="E3668" s="8"/>
      <c r="F3668" s="91">
        <f t="shared" si="52"/>
        <v>5118</v>
      </c>
      <c r="G3668" s="26"/>
    </row>
    <row r="3669" spans="1:7" x14ac:dyDescent="0.25">
      <c r="A3669" s="204">
        <v>43081</v>
      </c>
      <c r="B3669" s="460" t="s">
        <v>2869</v>
      </c>
      <c r="C3669" s="460"/>
      <c r="D3669" s="71"/>
      <c r="E3669" s="58">
        <v>50000</v>
      </c>
      <c r="F3669" s="91">
        <f t="shared" si="52"/>
        <v>55118</v>
      </c>
      <c r="G3669" s="26"/>
    </row>
    <row r="3670" spans="1:7" x14ac:dyDescent="0.25">
      <c r="A3670" s="204">
        <v>43081</v>
      </c>
      <c r="B3670" s="26" t="s">
        <v>1196</v>
      </c>
      <c r="C3670" s="87" t="s">
        <v>2872</v>
      </c>
      <c r="D3670" s="8">
        <v>5200</v>
      </c>
      <c r="E3670" s="8"/>
      <c r="F3670" s="91">
        <f t="shared" si="52"/>
        <v>49918</v>
      </c>
      <c r="G3670" s="26"/>
    </row>
    <row r="3671" spans="1:7" ht="30" x14ac:dyDescent="0.25">
      <c r="A3671" s="204">
        <v>43081</v>
      </c>
      <c r="B3671" s="26" t="s">
        <v>26</v>
      </c>
      <c r="C3671" s="87" t="s">
        <v>2870</v>
      </c>
      <c r="D3671" s="8">
        <v>1700</v>
      </c>
      <c r="E3671" s="8"/>
      <c r="F3671" s="91">
        <f t="shared" si="52"/>
        <v>48218</v>
      </c>
      <c r="G3671" s="26"/>
    </row>
    <row r="3672" spans="1:7" x14ac:dyDescent="0.25">
      <c r="A3672" s="204">
        <v>43081</v>
      </c>
      <c r="B3672" s="26" t="s">
        <v>26</v>
      </c>
      <c r="C3672" s="87" t="s">
        <v>2875</v>
      </c>
      <c r="D3672" s="8">
        <v>1270</v>
      </c>
      <c r="E3672" s="8"/>
      <c r="F3672" s="91">
        <f t="shared" si="52"/>
        <v>46948</v>
      </c>
      <c r="G3672" s="26"/>
    </row>
    <row r="3673" spans="1:7" x14ac:dyDescent="0.25">
      <c r="A3673" s="204">
        <v>43081</v>
      </c>
      <c r="B3673" s="26" t="s">
        <v>1196</v>
      </c>
      <c r="C3673" s="87" t="s">
        <v>2596</v>
      </c>
      <c r="D3673" s="8">
        <v>2400</v>
      </c>
      <c r="E3673" s="8"/>
      <c r="F3673" s="91">
        <f t="shared" si="52"/>
        <v>44548</v>
      </c>
      <c r="G3673" s="26"/>
    </row>
    <row r="3674" spans="1:7" x14ac:dyDescent="0.25">
      <c r="A3674" s="204">
        <v>43081</v>
      </c>
      <c r="B3674" s="26" t="s">
        <v>85</v>
      </c>
      <c r="C3674" s="87" t="s">
        <v>2871</v>
      </c>
      <c r="D3674" s="8">
        <v>10000</v>
      </c>
      <c r="E3674" s="8"/>
      <c r="F3674" s="91">
        <f t="shared" si="52"/>
        <v>34548</v>
      </c>
      <c r="G3674" s="26"/>
    </row>
    <row r="3675" spans="1:7" x14ac:dyDescent="0.25">
      <c r="A3675" s="204">
        <v>43081</v>
      </c>
      <c r="B3675" s="26" t="s">
        <v>2856</v>
      </c>
      <c r="C3675" s="87" t="s">
        <v>2874</v>
      </c>
      <c r="D3675" s="8">
        <v>690</v>
      </c>
      <c r="E3675" s="8"/>
      <c r="F3675" s="91">
        <f t="shared" si="52"/>
        <v>33858</v>
      </c>
      <c r="G3675" s="26"/>
    </row>
    <row r="3676" spans="1:7" ht="30" x14ac:dyDescent="0.25">
      <c r="A3676" s="204">
        <v>43082</v>
      </c>
      <c r="B3676" s="26" t="s">
        <v>2099</v>
      </c>
      <c r="C3676" s="87" t="s">
        <v>2873</v>
      </c>
      <c r="D3676" s="8">
        <v>10000</v>
      </c>
      <c r="E3676" s="8"/>
      <c r="F3676" s="91">
        <f t="shared" si="52"/>
        <v>23858</v>
      </c>
      <c r="G3676" s="26"/>
    </row>
    <row r="3677" spans="1:7" ht="30" x14ac:dyDescent="0.25">
      <c r="A3677" s="204">
        <v>43082</v>
      </c>
      <c r="B3677" s="29" t="s">
        <v>2856</v>
      </c>
      <c r="C3677" s="89" t="s">
        <v>2884</v>
      </c>
      <c r="D3677" s="14">
        <v>4900</v>
      </c>
      <c r="E3677" s="8"/>
      <c r="F3677" s="91">
        <f t="shared" si="52"/>
        <v>18958</v>
      </c>
      <c r="G3677" s="26"/>
    </row>
    <row r="3678" spans="1:7" x14ac:dyDescent="0.25">
      <c r="A3678" s="204">
        <v>43082</v>
      </c>
      <c r="B3678" s="26" t="s">
        <v>2856</v>
      </c>
      <c r="C3678" s="87" t="s">
        <v>2876</v>
      </c>
      <c r="D3678" s="8">
        <v>300</v>
      </c>
      <c r="E3678" s="8"/>
      <c r="F3678" s="91">
        <f t="shared" si="52"/>
        <v>18658</v>
      </c>
      <c r="G3678" s="26"/>
    </row>
    <row r="3679" spans="1:7" x14ac:dyDescent="0.25">
      <c r="A3679" s="204">
        <v>43082</v>
      </c>
      <c r="B3679" s="26" t="s">
        <v>2333</v>
      </c>
      <c r="C3679" s="87" t="s">
        <v>2131</v>
      </c>
      <c r="D3679" s="8">
        <v>7600</v>
      </c>
      <c r="E3679" s="8"/>
      <c r="F3679" s="91">
        <f t="shared" si="52"/>
        <v>11058</v>
      </c>
      <c r="G3679" s="26"/>
    </row>
    <row r="3680" spans="1:7" x14ac:dyDescent="0.25">
      <c r="A3680" s="204">
        <v>43082</v>
      </c>
      <c r="B3680" s="26" t="s">
        <v>2333</v>
      </c>
      <c r="C3680" s="87" t="s">
        <v>2877</v>
      </c>
      <c r="D3680" s="8">
        <v>850</v>
      </c>
      <c r="E3680" s="8"/>
      <c r="F3680" s="91">
        <f t="shared" si="52"/>
        <v>10208</v>
      </c>
      <c r="G3680" s="26"/>
    </row>
    <row r="3681" spans="1:7" x14ac:dyDescent="0.25">
      <c r="A3681" s="204">
        <v>43082</v>
      </c>
      <c r="B3681" s="26" t="s">
        <v>542</v>
      </c>
      <c r="C3681" s="87" t="s">
        <v>641</v>
      </c>
      <c r="D3681" s="8">
        <v>5500</v>
      </c>
      <c r="E3681" s="8"/>
      <c r="F3681" s="91">
        <f t="shared" si="52"/>
        <v>4708</v>
      </c>
      <c r="G3681" s="26"/>
    </row>
    <row r="3682" spans="1:7" x14ac:dyDescent="0.25">
      <c r="A3682" s="204">
        <v>43082</v>
      </c>
      <c r="B3682" s="26" t="s">
        <v>26</v>
      </c>
      <c r="C3682" s="87" t="s">
        <v>2205</v>
      </c>
      <c r="D3682" s="8">
        <v>350</v>
      </c>
      <c r="E3682" s="8"/>
      <c r="F3682" s="91">
        <f t="shared" si="52"/>
        <v>4358</v>
      </c>
      <c r="G3682" s="26"/>
    </row>
    <row r="3683" spans="1:7" x14ac:dyDescent="0.25">
      <c r="A3683" s="204">
        <v>43082</v>
      </c>
      <c r="B3683" s="26" t="s">
        <v>26</v>
      </c>
      <c r="C3683" s="87" t="s">
        <v>2711</v>
      </c>
      <c r="D3683" s="8">
        <v>60</v>
      </c>
      <c r="E3683" s="8"/>
      <c r="F3683" s="91">
        <f t="shared" ref="F3683:F3779" si="53">F3682-D3683+E3683</f>
        <v>4298</v>
      </c>
      <c r="G3683" s="26"/>
    </row>
    <row r="3684" spans="1:7" x14ac:dyDescent="0.25">
      <c r="A3684" s="204">
        <v>43082</v>
      </c>
      <c r="B3684" s="26" t="s">
        <v>26</v>
      </c>
      <c r="C3684" s="26" t="s">
        <v>942</v>
      </c>
      <c r="D3684" s="8">
        <v>380</v>
      </c>
      <c r="E3684" s="8"/>
      <c r="F3684" s="91">
        <f t="shared" si="53"/>
        <v>3918</v>
      </c>
      <c r="G3684" s="26"/>
    </row>
    <row r="3685" spans="1:7" x14ac:dyDescent="0.25">
      <c r="A3685" s="204">
        <v>43082</v>
      </c>
      <c r="B3685" s="26" t="s">
        <v>26</v>
      </c>
      <c r="C3685" s="26" t="s">
        <v>2878</v>
      </c>
      <c r="D3685" s="8">
        <v>140</v>
      </c>
      <c r="E3685" s="8"/>
      <c r="F3685" s="91">
        <f t="shared" si="53"/>
        <v>3778</v>
      </c>
      <c r="G3685" s="26"/>
    </row>
    <row r="3686" spans="1:7" x14ac:dyDescent="0.25">
      <c r="A3686" s="204">
        <v>43082</v>
      </c>
      <c r="B3686" s="26" t="s">
        <v>26</v>
      </c>
      <c r="C3686" s="26" t="s">
        <v>2009</v>
      </c>
      <c r="D3686" s="8">
        <v>50</v>
      </c>
      <c r="E3686" s="8"/>
      <c r="F3686" s="91">
        <f t="shared" si="53"/>
        <v>3728</v>
      </c>
      <c r="G3686" s="26"/>
    </row>
    <row r="3687" spans="1:7" x14ac:dyDescent="0.25">
      <c r="A3687" s="204">
        <v>43082</v>
      </c>
      <c r="B3687" s="26" t="s">
        <v>26</v>
      </c>
      <c r="C3687" s="26" t="s">
        <v>2688</v>
      </c>
      <c r="D3687" s="8">
        <v>50</v>
      </c>
      <c r="E3687" s="8"/>
      <c r="F3687" s="91">
        <f t="shared" si="53"/>
        <v>3678</v>
      </c>
      <c r="G3687" s="26"/>
    </row>
    <row r="3688" spans="1:7" x14ac:dyDescent="0.25">
      <c r="A3688" s="204">
        <v>43082</v>
      </c>
      <c r="B3688" s="26" t="s">
        <v>26</v>
      </c>
      <c r="C3688" s="26" t="s">
        <v>2879</v>
      </c>
      <c r="D3688" s="8">
        <v>200</v>
      </c>
      <c r="E3688" s="8"/>
      <c r="F3688" s="91">
        <f t="shared" si="53"/>
        <v>3478</v>
      </c>
      <c r="G3688" s="26"/>
    </row>
    <row r="3689" spans="1:7" x14ac:dyDescent="0.25">
      <c r="A3689" s="204">
        <v>43082</v>
      </c>
      <c r="B3689" s="26" t="s">
        <v>26</v>
      </c>
      <c r="C3689" s="26" t="s">
        <v>2880</v>
      </c>
      <c r="D3689" s="8">
        <v>200</v>
      </c>
      <c r="E3689" s="8"/>
      <c r="F3689" s="91">
        <f t="shared" si="53"/>
        <v>3278</v>
      </c>
      <c r="G3689" s="26"/>
    </row>
    <row r="3690" spans="1:7" x14ac:dyDescent="0.25">
      <c r="A3690" s="204">
        <v>43082</v>
      </c>
      <c r="B3690" s="26" t="s">
        <v>26</v>
      </c>
      <c r="C3690" s="26" t="s">
        <v>2881</v>
      </c>
      <c r="D3690" s="8">
        <v>150</v>
      </c>
      <c r="E3690" s="8"/>
      <c r="F3690" s="91">
        <f t="shared" si="53"/>
        <v>3128</v>
      </c>
      <c r="G3690" s="26"/>
    </row>
    <row r="3691" spans="1:7" x14ac:dyDescent="0.25">
      <c r="A3691" s="204">
        <v>43082</v>
      </c>
      <c r="B3691" s="26" t="s">
        <v>26</v>
      </c>
      <c r="C3691" s="26" t="s">
        <v>63</v>
      </c>
      <c r="D3691" s="8">
        <v>210</v>
      </c>
      <c r="E3691" s="8"/>
      <c r="F3691" s="91">
        <f t="shared" si="53"/>
        <v>2918</v>
      </c>
      <c r="G3691" s="26"/>
    </row>
    <row r="3692" spans="1:7" x14ac:dyDescent="0.25">
      <c r="A3692" s="204">
        <v>43082</v>
      </c>
      <c r="B3692" s="26" t="s">
        <v>26</v>
      </c>
      <c r="C3692" s="26" t="s">
        <v>2882</v>
      </c>
      <c r="D3692" s="8">
        <v>30</v>
      </c>
      <c r="E3692" s="8"/>
      <c r="F3692" s="91">
        <f t="shared" si="53"/>
        <v>2888</v>
      </c>
      <c r="G3692" s="26"/>
    </row>
    <row r="3693" spans="1:7" x14ac:dyDescent="0.25">
      <c r="A3693" s="204">
        <v>43082</v>
      </c>
      <c r="B3693" s="26" t="s">
        <v>26</v>
      </c>
      <c r="C3693" s="26" t="s">
        <v>2883</v>
      </c>
      <c r="D3693" s="8">
        <v>110</v>
      </c>
      <c r="E3693" s="8"/>
      <c r="F3693" s="91">
        <f t="shared" si="53"/>
        <v>2778</v>
      </c>
      <c r="G3693" s="26"/>
    </row>
    <row r="3694" spans="1:7" x14ac:dyDescent="0.25">
      <c r="A3694" s="204">
        <v>43082</v>
      </c>
      <c r="B3694" s="26" t="s">
        <v>2856</v>
      </c>
      <c r="C3694" s="26" t="s">
        <v>2885</v>
      </c>
      <c r="D3694" s="8">
        <v>50</v>
      </c>
      <c r="E3694" s="8"/>
      <c r="F3694" s="91">
        <f t="shared" si="53"/>
        <v>2728</v>
      </c>
      <c r="G3694" s="26"/>
    </row>
    <row r="3695" spans="1:7" x14ac:dyDescent="0.25">
      <c r="A3695" s="204">
        <v>43082</v>
      </c>
      <c r="B3695" s="26" t="s">
        <v>2856</v>
      </c>
      <c r="C3695" s="29" t="s">
        <v>2886</v>
      </c>
      <c r="D3695" s="8">
        <v>100</v>
      </c>
      <c r="E3695" s="8"/>
      <c r="F3695" s="91">
        <f t="shared" si="53"/>
        <v>2628</v>
      </c>
      <c r="G3695" s="29"/>
    </row>
    <row r="3696" spans="1:7" x14ac:dyDescent="0.25">
      <c r="A3696" s="204">
        <v>43082</v>
      </c>
      <c r="B3696" s="26" t="s">
        <v>26</v>
      </c>
      <c r="C3696" s="29" t="s">
        <v>2887</v>
      </c>
      <c r="D3696" s="8">
        <v>70</v>
      </c>
      <c r="E3696" s="8"/>
      <c r="F3696" s="91">
        <f t="shared" si="53"/>
        <v>2558</v>
      </c>
      <c r="G3696" s="29"/>
    </row>
    <row r="3697" spans="1:7" x14ac:dyDescent="0.25">
      <c r="A3697" s="204">
        <v>43083</v>
      </c>
      <c r="B3697" s="29" t="s">
        <v>48</v>
      </c>
      <c r="C3697" s="29" t="s">
        <v>2888</v>
      </c>
      <c r="D3697" s="8">
        <v>500</v>
      </c>
      <c r="E3697" s="8"/>
      <c r="F3697" s="91">
        <f t="shared" si="53"/>
        <v>2058</v>
      </c>
      <c r="G3697" s="29"/>
    </row>
    <row r="3698" spans="1:7" x14ac:dyDescent="0.25">
      <c r="A3698" s="204">
        <v>43083</v>
      </c>
      <c r="B3698" s="29" t="s">
        <v>27</v>
      </c>
      <c r="C3698" s="29" t="s">
        <v>2889</v>
      </c>
      <c r="D3698" s="8">
        <v>2000</v>
      </c>
      <c r="E3698" s="8"/>
      <c r="F3698" s="91">
        <f t="shared" si="53"/>
        <v>58</v>
      </c>
      <c r="G3698" s="29"/>
    </row>
    <row r="3699" spans="1:7" x14ac:dyDescent="0.25">
      <c r="A3699" s="204">
        <v>43083</v>
      </c>
      <c r="B3699" s="460" t="s">
        <v>2668</v>
      </c>
      <c r="C3699" s="460"/>
      <c r="D3699" s="71"/>
      <c r="E3699" s="58">
        <v>35000</v>
      </c>
      <c r="F3699" s="91">
        <f t="shared" si="53"/>
        <v>35058</v>
      </c>
      <c r="G3699" s="29"/>
    </row>
    <row r="3700" spans="1:7" x14ac:dyDescent="0.25">
      <c r="A3700" s="204">
        <v>43083</v>
      </c>
      <c r="B3700" s="29" t="s">
        <v>27</v>
      </c>
      <c r="C3700" s="29" t="s">
        <v>2890</v>
      </c>
      <c r="D3700" s="8">
        <v>4000</v>
      </c>
      <c r="E3700" s="8"/>
      <c r="F3700" s="91">
        <f t="shared" si="53"/>
        <v>31058</v>
      </c>
      <c r="G3700" s="29"/>
    </row>
    <row r="3701" spans="1:7" x14ac:dyDescent="0.25">
      <c r="A3701" s="204">
        <v>43083</v>
      </c>
      <c r="B3701" s="29" t="s">
        <v>694</v>
      </c>
      <c r="C3701" s="29" t="s">
        <v>2891</v>
      </c>
      <c r="D3701" s="8">
        <v>1450</v>
      </c>
      <c r="E3701" s="8"/>
      <c r="F3701" s="91">
        <f t="shared" si="53"/>
        <v>29608</v>
      </c>
      <c r="G3701" s="29"/>
    </row>
    <row r="3702" spans="1:7" x14ac:dyDescent="0.25">
      <c r="A3702" s="204">
        <v>43083</v>
      </c>
      <c r="B3702" s="26" t="s">
        <v>2597</v>
      </c>
      <c r="C3702" s="26" t="s">
        <v>2898</v>
      </c>
      <c r="D3702" s="8">
        <v>13500</v>
      </c>
      <c r="E3702" s="8"/>
      <c r="F3702" s="91">
        <f t="shared" si="53"/>
        <v>16108</v>
      </c>
      <c r="G3702" s="26"/>
    </row>
    <row r="3703" spans="1:7" x14ac:dyDescent="0.25">
      <c r="A3703" s="204">
        <v>43083</v>
      </c>
      <c r="B3703" s="26" t="s">
        <v>61</v>
      </c>
      <c r="C3703" s="26" t="s">
        <v>2894</v>
      </c>
      <c r="D3703" s="8">
        <v>1000</v>
      </c>
      <c r="E3703" s="8"/>
      <c r="F3703" s="91">
        <f t="shared" si="53"/>
        <v>15108</v>
      </c>
      <c r="G3703" s="26"/>
    </row>
    <row r="3704" spans="1:7" x14ac:dyDescent="0.25">
      <c r="A3704" s="204">
        <v>43083</v>
      </c>
      <c r="B3704" s="26" t="s">
        <v>2597</v>
      </c>
      <c r="C3704" s="26" t="s">
        <v>2897</v>
      </c>
      <c r="D3704" s="8">
        <v>1500</v>
      </c>
      <c r="E3704" s="8"/>
      <c r="F3704" s="91">
        <f t="shared" si="53"/>
        <v>13608</v>
      </c>
      <c r="G3704" s="26"/>
    </row>
    <row r="3705" spans="1:7" x14ac:dyDescent="0.25">
      <c r="A3705" s="204">
        <v>43083</v>
      </c>
      <c r="B3705" s="26" t="s">
        <v>27</v>
      </c>
      <c r="C3705" s="26" t="s">
        <v>2892</v>
      </c>
      <c r="D3705" s="8">
        <v>3000</v>
      </c>
      <c r="E3705" s="8"/>
      <c r="F3705" s="91">
        <f t="shared" si="53"/>
        <v>10608</v>
      </c>
      <c r="G3705" s="26"/>
    </row>
    <row r="3706" spans="1:7" ht="45" x14ac:dyDescent="0.25">
      <c r="A3706" s="204">
        <v>43083</v>
      </c>
      <c r="B3706" s="199" t="s">
        <v>27</v>
      </c>
      <c r="C3706" s="207" t="s">
        <v>2893</v>
      </c>
      <c r="D3706" s="91">
        <v>3080</v>
      </c>
      <c r="E3706" s="91"/>
      <c r="F3706" s="91">
        <f t="shared" si="53"/>
        <v>7528</v>
      </c>
      <c r="G3706" s="199"/>
    </row>
    <row r="3707" spans="1:7" x14ac:dyDescent="0.25">
      <c r="A3707" s="204">
        <v>43083</v>
      </c>
      <c r="B3707" s="26" t="s">
        <v>26</v>
      </c>
      <c r="C3707" s="26" t="s">
        <v>1221</v>
      </c>
      <c r="D3707" s="8">
        <v>350</v>
      </c>
      <c r="E3707" s="8"/>
      <c r="F3707" s="91">
        <f t="shared" si="53"/>
        <v>7178</v>
      </c>
      <c r="G3707" s="26"/>
    </row>
    <row r="3708" spans="1:7" x14ac:dyDescent="0.25">
      <c r="A3708" s="204">
        <v>43083</v>
      </c>
      <c r="B3708" s="26" t="s">
        <v>85</v>
      </c>
      <c r="C3708" s="26" t="s">
        <v>2895</v>
      </c>
      <c r="D3708" s="8">
        <v>4000</v>
      </c>
      <c r="E3708" s="8"/>
      <c r="F3708" s="91">
        <f t="shared" si="53"/>
        <v>3178</v>
      </c>
      <c r="G3708" s="26"/>
    </row>
    <row r="3709" spans="1:7" x14ac:dyDescent="0.25">
      <c r="A3709" s="204">
        <v>43083</v>
      </c>
      <c r="B3709" s="26" t="s">
        <v>27</v>
      </c>
      <c r="C3709" s="26" t="s">
        <v>2896</v>
      </c>
      <c r="D3709" s="8">
        <v>100</v>
      </c>
      <c r="E3709" s="8"/>
      <c r="F3709" s="91">
        <f t="shared" si="53"/>
        <v>3078</v>
      </c>
      <c r="G3709" s="26"/>
    </row>
    <row r="3710" spans="1:7" x14ac:dyDescent="0.25">
      <c r="A3710" s="204">
        <v>43083</v>
      </c>
      <c r="B3710" s="26" t="s">
        <v>26</v>
      </c>
      <c r="C3710" s="26" t="s">
        <v>2899</v>
      </c>
      <c r="D3710" s="8">
        <v>30</v>
      </c>
      <c r="E3710" s="8"/>
      <c r="F3710" s="91">
        <f t="shared" si="53"/>
        <v>3048</v>
      </c>
      <c r="G3710" s="26"/>
    </row>
    <row r="3711" spans="1:7" x14ac:dyDescent="0.25">
      <c r="A3711" s="204">
        <v>43083</v>
      </c>
      <c r="B3711" s="26" t="s">
        <v>26</v>
      </c>
      <c r="C3711" s="26" t="s">
        <v>2626</v>
      </c>
      <c r="D3711" s="8">
        <v>30</v>
      </c>
      <c r="E3711" s="8"/>
      <c r="F3711" s="91">
        <f t="shared" si="53"/>
        <v>3018</v>
      </c>
      <c r="G3711" s="26"/>
    </row>
    <row r="3712" spans="1:7" x14ac:dyDescent="0.25">
      <c r="A3712" s="204">
        <v>43083</v>
      </c>
      <c r="B3712" s="26" t="s">
        <v>26</v>
      </c>
      <c r="C3712" s="26" t="s">
        <v>2900</v>
      </c>
      <c r="D3712" s="8">
        <v>160</v>
      </c>
      <c r="E3712" s="8"/>
      <c r="F3712" s="91">
        <f t="shared" si="53"/>
        <v>2858</v>
      </c>
      <c r="G3712" s="26"/>
    </row>
    <row r="3713" spans="1:7" x14ac:dyDescent="0.25">
      <c r="A3713" s="204">
        <v>43083</v>
      </c>
      <c r="B3713" s="26" t="s">
        <v>248</v>
      </c>
      <c r="C3713" s="26" t="s">
        <v>2901</v>
      </c>
      <c r="D3713" s="8">
        <v>780</v>
      </c>
      <c r="E3713" s="8"/>
      <c r="F3713" s="91">
        <f t="shared" si="53"/>
        <v>2078</v>
      </c>
      <c r="G3713" s="26"/>
    </row>
    <row r="3714" spans="1:7" x14ac:dyDescent="0.25">
      <c r="A3714" s="204">
        <v>43083</v>
      </c>
      <c r="B3714" s="26" t="s">
        <v>26</v>
      </c>
      <c r="C3714" s="26" t="s">
        <v>63</v>
      </c>
      <c r="D3714" s="8">
        <v>80</v>
      </c>
      <c r="E3714" s="8"/>
      <c r="F3714" s="91">
        <f t="shared" si="53"/>
        <v>1998</v>
      </c>
      <c r="G3714" s="26"/>
    </row>
    <row r="3715" spans="1:7" x14ac:dyDescent="0.25">
      <c r="A3715" s="204">
        <v>43083</v>
      </c>
      <c r="B3715" s="26" t="s">
        <v>48</v>
      </c>
      <c r="C3715" s="26" t="s">
        <v>2911</v>
      </c>
      <c r="D3715" s="8">
        <v>300</v>
      </c>
      <c r="E3715" s="8"/>
      <c r="F3715" s="91">
        <f t="shared" si="53"/>
        <v>1698</v>
      </c>
      <c r="G3715" s="26"/>
    </row>
    <row r="3716" spans="1:7" x14ac:dyDescent="0.25">
      <c r="A3716" s="204">
        <v>43083</v>
      </c>
      <c r="B3716" s="26" t="s">
        <v>26</v>
      </c>
      <c r="C3716" s="26" t="s">
        <v>2902</v>
      </c>
      <c r="D3716" s="8">
        <v>415</v>
      </c>
      <c r="E3716" s="8"/>
      <c r="F3716" s="91">
        <f t="shared" si="53"/>
        <v>1283</v>
      </c>
      <c r="G3716" s="26"/>
    </row>
    <row r="3717" spans="1:7" x14ac:dyDescent="0.25">
      <c r="A3717" s="204">
        <v>43083</v>
      </c>
      <c r="B3717" s="460" t="s">
        <v>2668</v>
      </c>
      <c r="C3717" s="460"/>
      <c r="D3717" s="71"/>
      <c r="E3717" s="58">
        <v>50000</v>
      </c>
      <c r="F3717" s="91">
        <f t="shared" si="53"/>
        <v>51283</v>
      </c>
      <c r="G3717" s="26"/>
    </row>
    <row r="3718" spans="1:7" x14ac:dyDescent="0.25">
      <c r="A3718" s="204">
        <v>43083</v>
      </c>
      <c r="B3718" s="26" t="s">
        <v>26</v>
      </c>
      <c r="C3718" s="26" t="s">
        <v>2903</v>
      </c>
      <c r="D3718" s="8">
        <v>1510</v>
      </c>
      <c r="E3718" s="8"/>
      <c r="F3718" s="91">
        <f t="shared" si="53"/>
        <v>49773</v>
      </c>
      <c r="G3718" s="26"/>
    </row>
    <row r="3719" spans="1:7" x14ac:dyDescent="0.25">
      <c r="A3719" s="204">
        <v>43083</v>
      </c>
      <c r="B3719" s="26" t="s">
        <v>26</v>
      </c>
      <c r="C3719" s="26" t="s">
        <v>2905</v>
      </c>
      <c r="D3719" s="8">
        <v>130</v>
      </c>
      <c r="E3719" s="8"/>
      <c r="F3719" s="91">
        <f t="shared" si="53"/>
        <v>49643</v>
      </c>
      <c r="G3719" s="26"/>
    </row>
    <row r="3720" spans="1:7" x14ac:dyDescent="0.25">
      <c r="A3720" s="204">
        <v>43083</v>
      </c>
      <c r="B3720" s="26" t="s">
        <v>26</v>
      </c>
      <c r="C3720" s="26" t="s">
        <v>63</v>
      </c>
      <c r="D3720" s="8">
        <v>90</v>
      </c>
      <c r="E3720" s="8"/>
      <c r="F3720" s="91">
        <f t="shared" si="53"/>
        <v>49553</v>
      </c>
      <c r="G3720" s="26"/>
    </row>
    <row r="3721" spans="1:7" x14ac:dyDescent="0.25">
      <c r="A3721" s="204">
        <v>43083</v>
      </c>
      <c r="B3721" s="26" t="s">
        <v>26</v>
      </c>
      <c r="C3721" s="26" t="s">
        <v>2688</v>
      </c>
      <c r="D3721" s="8">
        <v>60</v>
      </c>
      <c r="E3721" s="8"/>
      <c r="F3721" s="91">
        <f t="shared" si="53"/>
        <v>49493</v>
      </c>
      <c r="G3721" s="26"/>
    </row>
    <row r="3722" spans="1:7" x14ac:dyDescent="0.25">
      <c r="A3722" s="204">
        <v>43083</v>
      </c>
      <c r="B3722" s="26" t="s">
        <v>26</v>
      </c>
      <c r="C3722" s="26" t="s">
        <v>2904</v>
      </c>
      <c r="D3722" s="8">
        <v>110</v>
      </c>
      <c r="E3722" s="8"/>
      <c r="F3722" s="91">
        <f t="shared" si="53"/>
        <v>49383</v>
      </c>
      <c r="G3722" s="26"/>
    </row>
    <row r="3723" spans="1:7" x14ac:dyDescent="0.25">
      <c r="A3723" s="204">
        <v>43083</v>
      </c>
      <c r="B3723" s="26" t="s">
        <v>26</v>
      </c>
      <c r="C3723" s="26" t="s">
        <v>2878</v>
      </c>
      <c r="D3723" s="8">
        <v>140</v>
      </c>
      <c r="E3723" s="8"/>
      <c r="F3723" s="91">
        <f t="shared" si="53"/>
        <v>49243</v>
      </c>
      <c r="G3723" s="26"/>
    </row>
    <row r="3724" spans="1:7" x14ac:dyDescent="0.25">
      <c r="A3724" s="204">
        <v>43085</v>
      </c>
      <c r="B3724" s="26" t="s">
        <v>2597</v>
      </c>
      <c r="C3724" s="26" t="s">
        <v>2906</v>
      </c>
      <c r="D3724" s="8">
        <v>20000</v>
      </c>
      <c r="E3724" s="8"/>
      <c r="F3724" s="91">
        <f t="shared" si="53"/>
        <v>29243</v>
      </c>
      <c r="G3724" s="26"/>
    </row>
    <row r="3725" spans="1:7" x14ac:dyDescent="0.25">
      <c r="A3725" s="204">
        <v>43086</v>
      </c>
      <c r="B3725" s="26" t="s">
        <v>2099</v>
      </c>
      <c r="C3725" s="26" t="s">
        <v>1052</v>
      </c>
      <c r="D3725" s="8">
        <v>5000</v>
      </c>
      <c r="E3725" s="8"/>
      <c r="F3725" s="91">
        <f t="shared" si="53"/>
        <v>24243</v>
      </c>
      <c r="G3725" s="26"/>
    </row>
    <row r="3726" spans="1:7" x14ac:dyDescent="0.25">
      <c r="A3726" s="204">
        <v>43086</v>
      </c>
      <c r="B3726" s="26" t="s">
        <v>2830</v>
      </c>
      <c r="C3726" s="26" t="s">
        <v>2831</v>
      </c>
      <c r="D3726" s="8">
        <v>1200</v>
      </c>
      <c r="E3726" s="8"/>
      <c r="F3726" s="91">
        <f t="shared" si="53"/>
        <v>23043</v>
      </c>
      <c r="G3726" s="26"/>
    </row>
    <row r="3727" spans="1:7" x14ac:dyDescent="0.25">
      <c r="A3727" s="204">
        <v>43086</v>
      </c>
      <c r="B3727" s="29" t="s">
        <v>2597</v>
      </c>
      <c r="C3727" s="29" t="s">
        <v>32</v>
      </c>
      <c r="D3727" s="14">
        <v>7000</v>
      </c>
      <c r="E3727" s="8"/>
      <c r="F3727" s="91">
        <f t="shared" si="53"/>
        <v>16043</v>
      </c>
      <c r="G3727" s="26"/>
    </row>
    <row r="3728" spans="1:7" x14ac:dyDescent="0.25">
      <c r="A3728" s="204">
        <v>43086</v>
      </c>
      <c r="B3728" s="26" t="s">
        <v>542</v>
      </c>
      <c r="C3728" s="26" t="s">
        <v>2907</v>
      </c>
      <c r="D3728" s="8">
        <v>2000</v>
      </c>
      <c r="E3728" s="8"/>
      <c r="F3728" s="91">
        <f t="shared" si="53"/>
        <v>14043</v>
      </c>
      <c r="G3728" s="26"/>
    </row>
    <row r="3729" spans="1:7" x14ac:dyDescent="0.25">
      <c r="A3729" s="204">
        <v>43086</v>
      </c>
      <c r="B3729" s="26" t="s">
        <v>1196</v>
      </c>
      <c r="C3729" s="26" t="s">
        <v>2933</v>
      </c>
      <c r="D3729" s="8">
        <v>4000</v>
      </c>
      <c r="E3729" s="8"/>
      <c r="F3729" s="91">
        <f t="shared" si="53"/>
        <v>10043</v>
      </c>
      <c r="G3729" s="26"/>
    </row>
    <row r="3730" spans="1:7" x14ac:dyDescent="0.25">
      <c r="A3730" s="204">
        <v>43086</v>
      </c>
      <c r="B3730" s="26" t="s">
        <v>2333</v>
      </c>
      <c r="C3730" s="26" t="s">
        <v>2131</v>
      </c>
      <c r="D3730" s="8">
        <v>4000</v>
      </c>
      <c r="E3730" s="8"/>
      <c r="F3730" s="91">
        <f t="shared" si="53"/>
        <v>6043</v>
      </c>
      <c r="G3730" s="26"/>
    </row>
    <row r="3731" spans="1:7" x14ac:dyDescent="0.25">
      <c r="A3731" s="204">
        <v>43086</v>
      </c>
      <c r="B3731" s="26" t="s">
        <v>2856</v>
      </c>
      <c r="C3731" s="26" t="s">
        <v>2917</v>
      </c>
      <c r="D3731" s="8">
        <v>2640</v>
      </c>
      <c r="E3731" s="8"/>
      <c r="F3731" s="91">
        <f t="shared" si="53"/>
        <v>3403</v>
      </c>
      <c r="G3731" s="26"/>
    </row>
    <row r="3732" spans="1:7" x14ac:dyDescent="0.25">
      <c r="A3732" s="204">
        <v>43086</v>
      </c>
      <c r="B3732" s="26" t="s">
        <v>1196</v>
      </c>
      <c r="C3732" s="26" t="s">
        <v>2909</v>
      </c>
      <c r="D3732" s="8">
        <v>500</v>
      </c>
      <c r="E3732" s="8"/>
      <c r="F3732" s="91">
        <f t="shared" si="53"/>
        <v>2903</v>
      </c>
      <c r="G3732" s="26"/>
    </row>
    <row r="3733" spans="1:7" x14ac:dyDescent="0.25">
      <c r="A3733" s="204">
        <v>43086</v>
      </c>
      <c r="B3733" s="180" t="s">
        <v>59</v>
      </c>
      <c r="C3733" s="180" t="s">
        <v>2932</v>
      </c>
      <c r="D3733" s="57">
        <v>1100</v>
      </c>
      <c r="E3733" s="8"/>
      <c r="F3733" s="91">
        <f t="shared" si="53"/>
        <v>1803</v>
      </c>
      <c r="G3733" s="26"/>
    </row>
    <row r="3734" spans="1:7" x14ac:dyDescent="0.25">
      <c r="A3734" s="204">
        <v>43087</v>
      </c>
      <c r="B3734" s="460" t="s">
        <v>2436</v>
      </c>
      <c r="C3734" s="460"/>
      <c r="D3734" s="71"/>
      <c r="E3734" s="58">
        <v>200000</v>
      </c>
      <c r="F3734" s="91">
        <f t="shared" si="53"/>
        <v>201803</v>
      </c>
      <c r="G3734" s="26"/>
    </row>
    <row r="3735" spans="1:7" x14ac:dyDescent="0.25">
      <c r="A3735" s="204">
        <v>43087</v>
      </c>
      <c r="B3735" s="26" t="s">
        <v>182</v>
      </c>
      <c r="C3735" s="26" t="s">
        <v>2908</v>
      </c>
      <c r="D3735" s="8">
        <v>25000</v>
      </c>
      <c r="E3735" s="8"/>
      <c r="F3735" s="91">
        <f t="shared" si="53"/>
        <v>176803</v>
      </c>
      <c r="G3735" s="26"/>
    </row>
    <row r="3736" spans="1:7" x14ac:dyDescent="0.25">
      <c r="A3736" s="204">
        <v>43087</v>
      </c>
      <c r="B3736" s="29" t="s">
        <v>2597</v>
      </c>
      <c r="C3736" s="29" t="s">
        <v>2910</v>
      </c>
      <c r="D3736" s="14">
        <v>20000</v>
      </c>
      <c r="E3736" s="8"/>
      <c r="F3736" s="91">
        <f t="shared" si="53"/>
        <v>156803</v>
      </c>
      <c r="G3736" s="26"/>
    </row>
    <row r="3737" spans="1:7" x14ac:dyDescent="0.25">
      <c r="A3737" s="204">
        <v>43087</v>
      </c>
      <c r="B3737" s="26" t="s">
        <v>2349</v>
      </c>
      <c r="C3737" s="26" t="s">
        <v>2912</v>
      </c>
      <c r="D3737" s="8">
        <v>1000</v>
      </c>
      <c r="E3737" s="8"/>
      <c r="F3737" s="91">
        <f t="shared" si="53"/>
        <v>155803</v>
      </c>
      <c r="G3737" s="26"/>
    </row>
    <row r="3738" spans="1:7" x14ac:dyDescent="0.25">
      <c r="A3738" s="204">
        <v>43087</v>
      </c>
      <c r="B3738" s="26" t="s">
        <v>2099</v>
      </c>
      <c r="C3738" s="26" t="s">
        <v>2913</v>
      </c>
      <c r="D3738" s="8">
        <v>10000</v>
      </c>
      <c r="E3738" s="8"/>
      <c r="F3738" s="91">
        <f t="shared" si="53"/>
        <v>145803</v>
      </c>
      <c r="G3738" s="26"/>
    </row>
    <row r="3739" spans="1:7" x14ac:dyDescent="0.25">
      <c r="A3739" s="204">
        <v>43087</v>
      </c>
      <c r="B3739" s="26" t="s">
        <v>14</v>
      </c>
      <c r="C3739" s="26" t="s">
        <v>2915</v>
      </c>
      <c r="D3739" s="8">
        <v>50000</v>
      </c>
      <c r="E3739" s="8"/>
      <c r="F3739" s="91">
        <f t="shared" si="53"/>
        <v>95803</v>
      </c>
      <c r="G3739" s="26"/>
    </row>
    <row r="3740" spans="1:7" x14ac:dyDescent="0.25">
      <c r="A3740" s="204">
        <v>43087</v>
      </c>
      <c r="B3740" s="26" t="s">
        <v>2333</v>
      </c>
      <c r="C3740" s="26" t="s">
        <v>2914</v>
      </c>
      <c r="D3740" s="8">
        <v>5000</v>
      </c>
      <c r="E3740" s="8"/>
      <c r="F3740" s="91">
        <f t="shared" si="53"/>
        <v>90803</v>
      </c>
      <c r="G3740" s="26"/>
    </row>
    <row r="3741" spans="1:7" x14ac:dyDescent="0.25">
      <c r="A3741" s="204">
        <v>43087</v>
      </c>
      <c r="B3741" s="26" t="s">
        <v>2333</v>
      </c>
      <c r="C3741" s="26" t="s">
        <v>2016</v>
      </c>
      <c r="D3741" s="8">
        <v>1500</v>
      </c>
      <c r="E3741" s="8"/>
      <c r="F3741" s="91">
        <f t="shared" si="53"/>
        <v>89303</v>
      </c>
      <c r="G3741" s="26"/>
    </row>
    <row r="3742" spans="1:7" x14ac:dyDescent="0.25">
      <c r="A3742" s="204">
        <v>43087</v>
      </c>
      <c r="B3742" s="26" t="s">
        <v>2333</v>
      </c>
      <c r="C3742" s="26" t="s">
        <v>2131</v>
      </c>
      <c r="D3742" s="8">
        <v>910</v>
      </c>
      <c r="E3742" s="8"/>
      <c r="F3742" s="91">
        <f t="shared" si="53"/>
        <v>88393</v>
      </c>
      <c r="G3742" s="26"/>
    </row>
    <row r="3743" spans="1:7" x14ac:dyDescent="0.25">
      <c r="A3743" s="204">
        <v>43088</v>
      </c>
      <c r="B3743" s="460" t="s">
        <v>2916</v>
      </c>
      <c r="C3743" s="460"/>
      <c r="D3743" s="71"/>
      <c r="E3743" s="58">
        <v>2000</v>
      </c>
      <c r="F3743" s="91">
        <f t="shared" si="53"/>
        <v>90393</v>
      </c>
      <c r="G3743" s="26"/>
    </row>
    <row r="3744" spans="1:7" x14ac:dyDescent="0.25">
      <c r="A3744" s="204">
        <v>43088</v>
      </c>
      <c r="B3744" s="26" t="s">
        <v>2856</v>
      </c>
      <c r="C3744" s="26" t="s">
        <v>2918</v>
      </c>
      <c r="D3744" s="8">
        <v>80</v>
      </c>
      <c r="E3744" s="8"/>
      <c r="F3744" s="91">
        <f t="shared" si="53"/>
        <v>90313</v>
      </c>
      <c r="G3744" s="26"/>
    </row>
    <row r="3745" spans="1:10" x14ac:dyDescent="0.25">
      <c r="A3745" s="204">
        <v>43088</v>
      </c>
      <c r="B3745" s="26" t="s">
        <v>61</v>
      </c>
      <c r="C3745" s="26" t="s">
        <v>2919</v>
      </c>
      <c r="D3745" s="8">
        <v>3000</v>
      </c>
      <c r="E3745" s="8"/>
      <c r="F3745" s="91">
        <f t="shared" si="53"/>
        <v>87313</v>
      </c>
      <c r="G3745" s="26"/>
    </row>
    <row r="3746" spans="1:10" x14ac:dyDescent="0.25">
      <c r="A3746" s="204">
        <v>43088</v>
      </c>
      <c r="B3746" s="26" t="s">
        <v>2648</v>
      </c>
      <c r="C3746" s="26" t="s">
        <v>2920</v>
      </c>
      <c r="D3746" s="8">
        <v>5200</v>
      </c>
      <c r="E3746" s="8"/>
      <c r="F3746" s="91">
        <f t="shared" si="53"/>
        <v>82113</v>
      </c>
      <c r="G3746" s="26"/>
    </row>
    <row r="3747" spans="1:10" x14ac:dyDescent="0.25">
      <c r="A3747" s="204">
        <v>43088</v>
      </c>
      <c r="B3747" s="26" t="s">
        <v>2333</v>
      </c>
      <c r="C3747" s="26" t="s">
        <v>2921</v>
      </c>
      <c r="D3747" s="8">
        <v>15000</v>
      </c>
      <c r="E3747" s="8"/>
      <c r="F3747" s="91">
        <f t="shared" si="53"/>
        <v>67113</v>
      </c>
      <c r="G3747" s="26"/>
    </row>
    <row r="3748" spans="1:10" x14ac:dyDescent="0.25">
      <c r="A3748" s="204">
        <v>43088</v>
      </c>
      <c r="B3748" s="26" t="s">
        <v>26</v>
      </c>
      <c r="C3748" s="26" t="s">
        <v>2922</v>
      </c>
      <c r="D3748" s="8">
        <v>420</v>
      </c>
      <c r="E3748" s="8"/>
      <c r="F3748" s="91">
        <f t="shared" si="53"/>
        <v>66693</v>
      </c>
      <c r="G3748" s="26"/>
    </row>
    <row r="3749" spans="1:10" x14ac:dyDescent="0.25">
      <c r="A3749" s="204">
        <v>43088</v>
      </c>
      <c r="B3749" s="26" t="s">
        <v>26</v>
      </c>
      <c r="C3749" s="26" t="s">
        <v>2923</v>
      </c>
      <c r="D3749" s="8">
        <v>370</v>
      </c>
      <c r="E3749" s="8"/>
      <c r="F3749" s="91">
        <f t="shared" si="53"/>
        <v>66323</v>
      </c>
      <c r="G3749" s="26"/>
    </row>
    <row r="3750" spans="1:10" x14ac:dyDescent="0.25">
      <c r="A3750" s="204">
        <v>43088</v>
      </c>
      <c r="B3750" s="26" t="s">
        <v>26</v>
      </c>
      <c r="C3750" s="26" t="s">
        <v>2924</v>
      </c>
      <c r="D3750" s="8">
        <v>80</v>
      </c>
      <c r="E3750" s="8"/>
      <c r="F3750" s="91">
        <f t="shared" si="53"/>
        <v>66243</v>
      </c>
      <c r="G3750" s="26"/>
    </row>
    <row r="3751" spans="1:10" x14ac:dyDescent="0.25">
      <c r="A3751" s="204">
        <v>43088</v>
      </c>
      <c r="B3751" s="26" t="s">
        <v>26</v>
      </c>
      <c r="C3751" s="26" t="s">
        <v>2925</v>
      </c>
      <c r="D3751" s="8">
        <v>290</v>
      </c>
      <c r="E3751" s="8"/>
      <c r="F3751" s="91">
        <f t="shared" si="53"/>
        <v>65953</v>
      </c>
      <c r="G3751" s="26"/>
    </row>
    <row r="3752" spans="1:10" x14ac:dyDescent="0.25">
      <c r="A3752" s="204">
        <v>43088</v>
      </c>
      <c r="B3752" s="26" t="s">
        <v>248</v>
      </c>
      <c r="C3752" s="26" t="s">
        <v>2926</v>
      </c>
      <c r="D3752" s="8">
        <v>4970</v>
      </c>
      <c r="E3752" s="8"/>
      <c r="F3752" s="91">
        <f t="shared" si="53"/>
        <v>60983</v>
      </c>
      <c r="G3752" s="26"/>
    </row>
    <row r="3753" spans="1:10" x14ac:dyDescent="0.25">
      <c r="A3753" s="204">
        <v>43088</v>
      </c>
      <c r="B3753" s="26" t="s">
        <v>2597</v>
      </c>
      <c r="C3753" s="26" t="s">
        <v>2927</v>
      </c>
      <c r="D3753" s="8">
        <v>1000</v>
      </c>
      <c r="E3753" s="8"/>
      <c r="F3753" s="91">
        <f t="shared" si="53"/>
        <v>59983</v>
      </c>
      <c r="G3753" s="26"/>
    </row>
    <row r="3754" spans="1:10" x14ac:dyDescent="0.25">
      <c r="A3754" s="204">
        <v>43088</v>
      </c>
      <c r="B3754" s="26" t="s">
        <v>2597</v>
      </c>
      <c r="C3754" s="26" t="s">
        <v>2928</v>
      </c>
      <c r="D3754" s="8">
        <v>1250</v>
      </c>
      <c r="E3754" s="8"/>
      <c r="F3754" s="91">
        <f t="shared" si="53"/>
        <v>58733</v>
      </c>
      <c r="G3754" s="26"/>
      <c r="J3754" s="119"/>
    </row>
    <row r="3755" spans="1:10" x14ac:dyDescent="0.25">
      <c r="A3755" s="204">
        <v>43088</v>
      </c>
      <c r="B3755" s="26" t="s">
        <v>26</v>
      </c>
      <c r="C3755" s="26" t="s">
        <v>2930</v>
      </c>
      <c r="D3755" s="8">
        <v>6000</v>
      </c>
      <c r="E3755" s="8"/>
      <c r="F3755" s="91">
        <f t="shared" si="53"/>
        <v>52733</v>
      </c>
      <c r="G3755" s="26"/>
      <c r="J3755" s="119"/>
    </row>
    <row r="3756" spans="1:10" x14ac:dyDescent="0.25">
      <c r="A3756" s="204">
        <v>43088</v>
      </c>
      <c r="B3756" s="26" t="s">
        <v>17</v>
      </c>
      <c r="C3756" s="26" t="s">
        <v>2931</v>
      </c>
      <c r="D3756" s="8">
        <v>37000</v>
      </c>
      <c r="E3756" s="8"/>
      <c r="F3756" s="91">
        <f t="shared" si="53"/>
        <v>15733</v>
      </c>
      <c r="G3756" s="26"/>
    </row>
    <row r="3757" spans="1:10" x14ac:dyDescent="0.25">
      <c r="A3757" s="204">
        <v>43089</v>
      </c>
      <c r="B3757" s="26" t="s">
        <v>59</v>
      </c>
      <c r="C3757" s="26" t="s">
        <v>2934</v>
      </c>
      <c r="D3757" s="8">
        <v>1830</v>
      </c>
      <c r="E3757" s="8"/>
      <c r="F3757" s="91">
        <f t="shared" si="53"/>
        <v>13903</v>
      </c>
      <c r="G3757" s="26"/>
    </row>
    <row r="3758" spans="1:10" x14ac:dyDescent="0.25">
      <c r="A3758" s="204">
        <v>43089</v>
      </c>
      <c r="B3758" s="180" t="s">
        <v>248</v>
      </c>
      <c r="C3758" s="180" t="s">
        <v>2935</v>
      </c>
      <c r="D3758" s="57">
        <v>1000</v>
      </c>
      <c r="E3758" s="57"/>
      <c r="F3758" s="91">
        <f t="shared" si="53"/>
        <v>12903</v>
      </c>
      <c r="G3758" s="26"/>
    </row>
    <row r="3759" spans="1:10" x14ac:dyDescent="0.25">
      <c r="A3759" s="204">
        <v>43089</v>
      </c>
      <c r="B3759" s="26" t="s">
        <v>2597</v>
      </c>
      <c r="C3759" s="26" t="s">
        <v>2936</v>
      </c>
      <c r="D3759" s="8">
        <v>3000</v>
      </c>
      <c r="E3759" s="8"/>
      <c r="F3759" s="91">
        <f t="shared" si="53"/>
        <v>9903</v>
      </c>
      <c r="G3759" s="26"/>
    </row>
    <row r="3760" spans="1:10" x14ac:dyDescent="0.25">
      <c r="A3760" s="204">
        <v>43090</v>
      </c>
      <c r="B3760" s="26" t="s">
        <v>14</v>
      </c>
      <c r="C3760" s="26" t="s">
        <v>2937</v>
      </c>
      <c r="D3760" s="8">
        <v>7500</v>
      </c>
      <c r="E3760" s="8"/>
      <c r="F3760" s="91">
        <f t="shared" si="53"/>
        <v>2403</v>
      </c>
      <c r="G3760" s="26"/>
    </row>
    <row r="3761" spans="1:7" x14ac:dyDescent="0.25">
      <c r="A3761" s="204">
        <v>43090</v>
      </c>
      <c r="B3761" s="29" t="s">
        <v>26</v>
      </c>
      <c r="C3761" s="29" t="s">
        <v>2945</v>
      </c>
      <c r="D3761" s="14">
        <v>360</v>
      </c>
      <c r="E3761" s="14"/>
      <c r="F3761" s="91">
        <f t="shared" si="53"/>
        <v>2043</v>
      </c>
      <c r="G3761" s="26"/>
    </row>
    <row r="3762" spans="1:7" x14ac:dyDescent="0.25">
      <c r="A3762" s="204">
        <v>43090</v>
      </c>
      <c r="B3762" s="29" t="s">
        <v>26</v>
      </c>
      <c r="C3762" s="26" t="s">
        <v>2946</v>
      </c>
      <c r="D3762" s="8">
        <v>70</v>
      </c>
      <c r="E3762" s="8"/>
      <c r="F3762" s="91">
        <f t="shared" si="53"/>
        <v>1973</v>
      </c>
      <c r="G3762" s="26"/>
    </row>
    <row r="3763" spans="1:7" x14ac:dyDescent="0.25">
      <c r="A3763" s="204">
        <v>43090</v>
      </c>
      <c r="B3763" s="29" t="s">
        <v>26</v>
      </c>
      <c r="C3763" s="26" t="s">
        <v>2947</v>
      </c>
      <c r="D3763" s="8">
        <v>50</v>
      </c>
      <c r="E3763" s="8"/>
      <c r="F3763" s="91">
        <f t="shared" si="53"/>
        <v>1923</v>
      </c>
      <c r="G3763" s="26"/>
    </row>
    <row r="3764" spans="1:7" x14ac:dyDescent="0.25">
      <c r="A3764" s="204">
        <v>43090</v>
      </c>
      <c r="B3764" s="29" t="s">
        <v>27</v>
      </c>
      <c r="C3764" s="26" t="s">
        <v>2948</v>
      </c>
      <c r="D3764" s="8">
        <v>140</v>
      </c>
      <c r="E3764" s="8"/>
      <c r="F3764" s="91">
        <f t="shared" si="53"/>
        <v>1783</v>
      </c>
      <c r="G3764" s="26"/>
    </row>
    <row r="3765" spans="1:7" x14ac:dyDescent="0.25">
      <c r="A3765" s="204">
        <v>43090</v>
      </c>
      <c r="B3765" s="26" t="s">
        <v>26</v>
      </c>
      <c r="C3765" s="26" t="s">
        <v>2949</v>
      </c>
      <c r="D3765" s="8">
        <v>100</v>
      </c>
      <c r="E3765" s="8"/>
      <c r="F3765" s="91">
        <f t="shared" si="53"/>
        <v>1683</v>
      </c>
      <c r="G3765" s="26"/>
    </row>
    <row r="3766" spans="1:7" x14ac:dyDescent="0.25">
      <c r="A3766" s="204">
        <v>43090</v>
      </c>
      <c r="B3766" s="26" t="s">
        <v>48</v>
      </c>
      <c r="C3766" s="26" t="s">
        <v>2950</v>
      </c>
      <c r="D3766" s="8">
        <v>100</v>
      </c>
      <c r="E3766" s="8"/>
      <c r="F3766" s="91">
        <f t="shared" si="53"/>
        <v>1583</v>
      </c>
      <c r="G3766" s="26"/>
    </row>
    <row r="3767" spans="1:7" x14ac:dyDescent="0.25">
      <c r="A3767" s="204">
        <v>43090</v>
      </c>
      <c r="B3767" s="26" t="s">
        <v>2951</v>
      </c>
      <c r="C3767" s="26" t="s">
        <v>2952</v>
      </c>
      <c r="D3767" s="8">
        <v>80</v>
      </c>
      <c r="E3767" s="8"/>
      <c r="F3767" s="91">
        <f t="shared" si="53"/>
        <v>1503</v>
      </c>
      <c r="G3767" s="26"/>
    </row>
    <row r="3768" spans="1:7" x14ac:dyDescent="0.25">
      <c r="A3768" s="204">
        <v>43090</v>
      </c>
      <c r="B3768" s="26" t="s">
        <v>2333</v>
      </c>
      <c r="C3768" s="26" t="s">
        <v>2953</v>
      </c>
      <c r="D3768" s="8">
        <v>320</v>
      </c>
      <c r="E3768" s="8"/>
      <c r="F3768" s="91">
        <f t="shared" si="53"/>
        <v>1183</v>
      </c>
      <c r="G3768" s="26"/>
    </row>
    <row r="3769" spans="1:7" x14ac:dyDescent="0.25">
      <c r="A3769" s="204">
        <v>43090</v>
      </c>
      <c r="B3769" s="26" t="s">
        <v>26</v>
      </c>
      <c r="C3769" s="26" t="s">
        <v>2954</v>
      </c>
      <c r="D3769" s="8">
        <v>180</v>
      </c>
      <c r="E3769" s="8"/>
      <c r="F3769" s="91">
        <f t="shared" si="53"/>
        <v>1003</v>
      </c>
      <c r="G3769" s="26"/>
    </row>
    <row r="3770" spans="1:7" x14ac:dyDescent="0.25">
      <c r="A3770" s="204">
        <v>43090</v>
      </c>
      <c r="B3770" s="26" t="s">
        <v>26</v>
      </c>
      <c r="C3770" s="26" t="s">
        <v>2955</v>
      </c>
      <c r="D3770" s="8">
        <v>360</v>
      </c>
      <c r="E3770" s="8"/>
      <c r="F3770" s="91">
        <f t="shared" si="53"/>
        <v>643</v>
      </c>
      <c r="G3770" s="26"/>
    </row>
    <row r="3771" spans="1:7" x14ac:dyDescent="0.25">
      <c r="A3771" s="204">
        <v>43090</v>
      </c>
      <c r="B3771" s="26" t="s">
        <v>2941</v>
      </c>
      <c r="C3771" s="26" t="s">
        <v>2942</v>
      </c>
      <c r="D3771" s="8">
        <v>160</v>
      </c>
      <c r="E3771" s="8"/>
      <c r="F3771" s="91">
        <f t="shared" si="53"/>
        <v>483</v>
      </c>
      <c r="G3771" s="26"/>
    </row>
    <row r="3772" spans="1:7" x14ac:dyDescent="0.25">
      <c r="A3772" s="204">
        <v>43090</v>
      </c>
      <c r="B3772" s="26" t="s">
        <v>2856</v>
      </c>
      <c r="C3772" s="26" t="s">
        <v>2943</v>
      </c>
      <c r="D3772" s="8">
        <v>120</v>
      </c>
      <c r="E3772" s="8"/>
      <c r="F3772" s="91">
        <f t="shared" si="53"/>
        <v>363</v>
      </c>
      <c r="G3772" s="26"/>
    </row>
    <row r="3773" spans="1:7" x14ac:dyDescent="0.25">
      <c r="A3773" s="204">
        <v>43090</v>
      </c>
      <c r="B3773" s="460" t="s">
        <v>2436</v>
      </c>
      <c r="C3773" s="460"/>
      <c r="D3773" s="71"/>
      <c r="E3773" s="58">
        <v>50000</v>
      </c>
      <c r="F3773" s="91">
        <f t="shared" si="53"/>
        <v>50363</v>
      </c>
      <c r="G3773" s="26"/>
    </row>
    <row r="3774" spans="1:7" x14ac:dyDescent="0.25">
      <c r="A3774" s="204">
        <v>43090</v>
      </c>
      <c r="B3774" s="26" t="s">
        <v>2597</v>
      </c>
      <c r="C3774" s="26" t="s">
        <v>2938</v>
      </c>
      <c r="D3774" s="8">
        <v>10000</v>
      </c>
      <c r="E3774" s="8"/>
      <c r="F3774" s="91">
        <f t="shared" si="53"/>
        <v>40363</v>
      </c>
      <c r="G3774" s="26"/>
    </row>
    <row r="3775" spans="1:7" x14ac:dyDescent="0.25">
      <c r="A3775" s="204">
        <v>43090</v>
      </c>
      <c r="B3775" s="26" t="s">
        <v>182</v>
      </c>
      <c r="C3775" s="26" t="s">
        <v>2961</v>
      </c>
      <c r="D3775" s="8">
        <v>1000</v>
      </c>
      <c r="E3775" s="8"/>
      <c r="F3775" s="91">
        <f t="shared" si="53"/>
        <v>39363</v>
      </c>
      <c r="G3775" s="26"/>
    </row>
    <row r="3776" spans="1:7" ht="30" x14ac:dyDescent="0.25">
      <c r="A3776" s="204">
        <v>43090</v>
      </c>
      <c r="B3776" s="26" t="s">
        <v>26</v>
      </c>
      <c r="C3776" s="87" t="s">
        <v>2962</v>
      </c>
      <c r="D3776" s="57">
        <v>10000</v>
      </c>
      <c r="E3776" s="8"/>
      <c r="F3776" s="91">
        <f t="shared" si="53"/>
        <v>29363</v>
      </c>
      <c r="G3776" s="26"/>
    </row>
    <row r="3777" spans="1:7" x14ac:dyDescent="0.25">
      <c r="A3777" s="204">
        <v>43091</v>
      </c>
      <c r="B3777" s="26" t="s">
        <v>2333</v>
      </c>
      <c r="C3777" s="26" t="s">
        <v>2957</v>
      </c>
      <c r="D3777" s="8">
        <v>3620</v>
      </c>
      <c r="E3777" s="8"/>
      <c r="F3777" s="91">
        <f t="shared" si="53"/>
        <v>25743</v>
      </c>
      <c r="G3777" s="26"/>
    </row>
    <row r="3778" spans="1:7" x14ac:dyDescent="0.25">
      <c r="A3778" s="204">
        <v>43091</v>
      </c>
      <c r="B3778" s="26" t="s">
        <v>61</v>
      </c>
      <c r="C3778" s="26" t="s">
        <v>2939</v>
      </c>
      <c r="D3778" s="8">
        <v>2000</v>
      </c>
      <c r="E3778" s="8"/>
      <c r="F3778" s="91">
        <f t="shared" si="53"/>
        <v>23743</v>
      </c>
      <c r="G3778" s="26"/>
    </row>
    <row r="3779" spans="1:7" x14ac:dyDescent="0.25">
      <c r="A3779" s="204">
        <v>43091</v>
      </c>
      <c r="B3779" s="26" t="s">
        <v>61</v>
      </c>
      <c r="C3779" s="26" t="s">
        <v>2940</v>
      </c>
      <c r="D3779" s="8">
        <v>6000</v>
      </c>
      <c r="E3779" s="8"/>
      <c r="F3779" s="91">
        <f t="shared" si="53"/>
        <v>17743</v>
      </c>
      <c r="G3779" s="26"/>
    </row>
    <row r="3780" spans="1:7" x14ac:dyDescent="0.25">
      <c r="A3780" s="204">
        <v>43091</v>
      </c>
      <c r="B3780" s="29" t="s">
        <v>0</v>
      </c>
      <c r="C3780" s="29" t="s">
        <v>2944</v>
      </c>
      <c r="D3780" s="14">
        <v>10500</v>
      </c>
      <c r="E3780" s="14"/>
      <c r="F3780" s="91">
        <f t="shared" ref="F3780:F3870" si="54">F3779-D3780+E3780</f>
        <v>7243</v>
      </c>
      <c r="G3780" s="26"/>
    </row>
    <row r="3781" spans="1:7" x14ac:dyDescent="0.25">
      <c r="A3781" s="204">
        <v>43091</v>
      </c>
      <c r="B3781" s="26" t="s">
        <v>26</v>
      </c>
      <c r="C3781" s="26" t="s">
        <v>2956</v>
      </c>
      <c r="D3781" s="8">
        <v>40</v>
      </c>
      <c r="E3781" s="8"/>
      <c r="F3781" s="91">
        <f t="shared" si="54"/>
        <v>7203</v>
      </c>
      <c r="G3781" s="26"/>
    </row>
    <row r="3782" spans="1:7" x14ac:dyDescent="0.25">
      <c r="A3782" s="204">
        <v>43091</v>
      </c>
      <c r="B3782" s="26" t="s">
        <v>2958</v>
      </c>
      <c r="C3782" s="26" t="s">
        <v>2959</v>
      </c>
      <c r="D3782" s="8">
        <v>3000</v>
      </c>
      <c r="E3782" s="8"/>
      <c r="F3782" s="91">
        <f t="shared" si="54"/>
        <v>4203</v>
      </c>
      <c r="G3782" s="26"/>
    </row>
    <row r="3783" spans="1:7" x14ac:dyDescent="0.25">
      <c r="A3783" s="204">
        <v>43092</v>
      </c>
      <c r="B3783" s="26" t="s">
        <v>2333</v>
      </c>
      <c r="C3783" s="26" t="s">
        <v>2960</v>
      </c>
      <c r="D3783" s="8">
        <v>1560</v>
      </c>
      <c r="E3783" s="8"/>
      <c r="F3783" s="91">
        <f t="shared" si="54"/>
        <v>2643</v>
      </c>
      <c r="G3783" s="26"/>
    </row>
    <row r="3784" spans="1:7" x14ac:dyDescent="0.25">
      <c r="A3784" s="204">
        <v>43092</v>
      </c>
      <c r="B3784" s="460" t="s">
        <v>2963</v>
      </c>
      <c r="C3784" s="460"/>
      <c r="D3784" s="71"/>
      <c r="E3784" s="58">
        <v>25000</v>
      </c>
      <c r="F3784" s="91">
        <f t="shared" si="54"/>
        <v>27643</v>
      </c>
      <c r="G3784" s="26"/>
    </row>
    <row r="3785" spans="1:7" x14ac:dyDescent="0.25">
      <c r="A3785" s="204">
        <v>43092</v>
      </c>
      <c r="B3785" s="26" t="s">
        <v>2964</v>
      </c>
      <c r="C3785" s="26" t="s">
        <v>2965</v>
      </c>
      <c r="D3785" s="8">
        <v>17620</v>
      </c>
      <c r="E3785" s="8"/>
      <c r="F3785" s="91">
        <f t="shared" si="54"/>
        <v>10023</v>
      </c>
      <c r="G3785" s="26"/>
    </row>
    <row r="3786" spans="1:7" ht="30" x14ac:dyDescent="0.25">
      <c r="A3786" s="204">
        <v>43092</v>
      </c>
      <c r="B3786" s="26" t="s">
        <v>2597</v>
      </c>
      <c r="C3786" s="87" t="s">
        <v>2966</v>
      </c>
      <c r="D3786" s="14">
        <v>4880</v>
      </c>
      <c r="E3786" s="8"/>
      <c r="F3786" s="91">
        <f t="shared" si="54"/>
        <v>5143</v>
      </c>
      <c r="G3786" s="26"/>
    </row>
    <row r="3787" spans="1:7" x14ac:dyDescent="0.25">
      <c r="A3787" s="204">
        <v>43095</v>
      </c>
      <c r="B3787" s="26" t="s">
        <v>1840</v>
      </c>
      <c r="C3787" s="26" t="s">
        <v>2967</v>
      </c>
      <c r="D3787" s="8">
        <v>1500</v>
      </c>
      <c r="E3787" s="8"/>
      <c r="F3787" s="91">
        <f t="shared" si="54"/>
        <v>3643</v>
      </c>
      <c r="G3787" s="26"/>
    </row>
    <row r="3788" spans="1:7" x14ac:dyDescent="0.25">
      <c r="A3788" s="204">
        <v>43095</v>
      </c>
      <c r="B3788" s="26" t="s">
        <v>26</v>
      </c>
      <c r="C3788" s="26" t="s">
        <v>1832</v>
      </c>
      <c r="D3788" s="8">
        <v>60</v>
      </c>
      <c r="E3788" s="8"/>
      <c r="F3788" s="91">
        <f t="shared" si="54"/>
        <v>3583</v>
      </c>
      <c r="G3788" s="26"/>
    </row>
    <row r="3789" spans="1:7" x14ac:dyDescent="0.25">
      <c r="A3789" s="204">
        <v>43095</v>
      </c>
      <c r="B3789" s="26" t="s">
        <v>26</v>
      </c>
      <c r="C3789" s="26" t="s">
        <v>2968</v>
      </c>
      <c r="D3789" s="8">
        <v>120</v>
      </c>
      <c r="E3789" s="8"/>
      <c r="F3789" s="91">
        <f t="shared" si="54"/>
        <v>3463</v>
      </c>
      <c r="G3789" s="26"/>
    </row>
    <row r="3790" spans="1:7" x14ac:dyDescent="0.25">
      <c r="A3790" s="204">
        <v>43095</v>
      </c>
      <c r="B3790" s="26" t="s">
        <v>26</v>
      </c>
      <c r="C3790" s="26" t="s">
        <v>2969</v>
      </c>
      <c r="D3790" s="8">
        <v>140</v>
      </c>
      <c r="E3790" s="8"/>
      <c r="F3790" s="91">
        <f t="shared" si="54"/>
        <v>3323</v>
      </c>
      <c r="G3790" s="26"/>
    </row>
    <row r="3791" spans="1:7" x14ac:dyDescent="0.25">
      <c r="A3791" s="204">
        <v>43095</v>
      </c>
      <c r="B3791" s="26" t="s">
        <v>26</v>
      </c>
      <c r="C3791" s="26" t="s">
        <v>2970</v>
      </c>
      <c r="D3791" s="8">
        <v>350</v>
      </c>
      <c r="E3791" s="8"/>
      <c r="F3791" s="91">
        <f t="shared" si="54"/>
        <v>2973</v>
      </c>
      <c r="G3791" s="26"/>
    </row>
    <row r="3792" spans="1:7" x14ac:dyDescent="0.25">
      <c r="A3792" s="204">
        <v>43095</v>
      </c>
      <c r="B3792" s="26" t="s">
        <v>2677</v>
      </c>
      <c r="C3792" s="26" t="s">
        <v>2971</v>
      </c>
      <c r="D3792" s="8">
        <v>630</v>
      </c>
      <c r="E3792" s="8"/>
      <c r="F3792" s="91">
        <f t="shared" si="54"/>
        <v>2343</v>
      </c>
      <c r="G3792" s="26"/>
    </row>
    <row r="3793" spans="1:9" x14ac:dyDescent="0.25">
      <c r="A3793" s="204">
        <v>43095</v>
      </c>
      <c r="B3793" s="26" t="s">
        <v>2505</v>
      </c>
      <c r="C3793" s="26" t="s">
        <v>2972</v>
      </c>
      <c r="D3793" s="8">
        <v>630</v>
      </c>
      <c r="E3793" s="8"/>
      <c r="F3793" s="91">
        <f t="shared" si="54"/>
        <v>1713</v>
      </c>
      <c r="G3793" s="26"/>
    </row>
    <row r="3794" spans="1:9" x14ac:dyDescent="0.25">
      <c r="A3794" s="204">
        <v>43095</v>
      </c>
      <c r="B3794" s="26" t="s">
        <v>248</v>
      </c>
      <c r="C3794" s="26" t="s">
        <v>2472</v>
      </c>
      <c r="D3794" s="8">
        <v>160</v>
      </c>
      <c r="E3794" s="8"/>
      <c r="F3794" s="91">
        <f t="shared" si="54"/>
        <v>1553</v>
      </c>
      <c r="G3794" s="26"/>
      <c r="I3794" s="119"/>
    </row>
    <row r="3795" spans="1:9" x14ac:dyDescent="0.25">
      <c r="A3795" s="204">
        <v>43095</v>
      </c>
      <c r="B3795" s="460" t="s">
        <v>2963</v>
      </c>
      <c r="C3795" s="460"/>
      <c r="D3795" s="71"/>
      <c r="E3795" s="58">
        <v>50000</v>
      </c>
      <c r="F3795" s="91">
        <f t="shared" si="54"/>
        <v>51553</v>
      </c>
      <c r="G3795" s="26"/>
    </row>
    <row r="3796" spans="1:9" x14ac:dyDescent="0.25">
      <c r="A3796" s="204">
        <v>43095</v>
      </c>
      <c r="B3796" s="26" t="s">
        <v>59</v>
      </c>
      <c r="C3796" s="26" t="s">
        <v>2944</v>
      </c>
      <c r="D3796" s="8">
        <v>3600</v>
      </c>
      <c r="E3796" s="8"/>
      <c r="F3796" s="91">
        <f t="shared" si="54"/>
        <v>47953</v>
      </c>
      <c r="G3796" s="26"/>
    </row>
    <row r="3797" spans="1:9" ht="30" x14ac:dyDescent="0.25">
      <c r="A3797" s="204">
        <v>43095</v>
      </c>
      <c r="B3797" s="26" t="s">
        <v>59</v>
      </c>
      <c r="C3797" s="87" t="s">
        <v>2975</v>
      </c>
      <c r="D3797" s="8">
        <v>250</v>
      </c>
      <c r="E3797" s="8"/>
      <c r="F3797" s="91">
        <f t="shared" si="54"/>
        <v>47703</v>
      </c>
      <c r="G3797" s="26"/>
    </row>
    <row r="3798" spans="1:9" ht="30" x14ac:dyDescent="0.25">
      <c r="A3798" s="204">
        <v>43095</v>
      </c>
      <c r="B3798" s="26" t="s">
        <v>2597</v>
      </c>
      <c r="C3798" s="87" t="s">
        <v>2977</v>
      </c>
      <c r="D3798" s="8">
        <v>16130</v>
      </c>
      <c r="E3798" s="8"/>
      <c r="F3798" s="91">
        <f t="shared" si="54"/>
        <v>31573</v>
      </c>
      <c r="G3798" s="26"/>
    </row>
    <row r="3799" spans="1:9" x14ac:dyDescent="0.25">
      <c r="A3799" s="204">
        <v>43095</v>
      </c>
      <c r="B3799" s="26" t="s">
        <v>2597</v>
      </c>
      <c r="C3799" s="87" t="s">
        <v>2978</v>
      </c>
      <c r="D3799" s="8">
        <v>2000</v>
      </c>
      <c r="E3799" s="8"/>
      <c r="F3799" s="91">
        <f t="shared" si="54"/>
        <v>29573</v>
      </c>
      <c r="G3799" s="26"/>
    </row>
    <row r="3800" spans="1:9" x14ac:dyDescent="0.25">
      <c r="A3800" s="204">
        <v>43095</v>
      </c>
      <c r="B3800" s="26" t="s">
        <v>2099</v>
      </c>
      <c r="C3800" s="26" t="s">
        <v>1052</v>
      </c>
      <c r="D3800" s="8">
        <v>12000</v>
      </c>
      <c r="E3800" s="8"/>
      <c r="F3800" s="91">
        <f t="shared" si="54"/>
        <v>17573</v>
      </c>
      <c r="G3800" s="26"/>
    </row>
    <row r="3801" spans="1:9" x14ac:dyDescent="0.25">
      <c r="A3801" s="204">
        <v>43095</v>
      </c>
      <c r="B3801" s="26" t="s">
        <v>17</v>
      </c>
      <c r="C3801" s="26" t="s">
        <v>1052</v>
      </c>
      <c r="D3801" s="8">
        <v>3000</v>
      </c>
      <c r="E3801" s="8"/>
      <c r="F3801" s="91">
        <f t="shared" si="54"/>
        <v>14573</v>
      </c>
      <c r="G3801" s="26"/>
    </row>
    <row r="3802" spans="1:9" x14ac:dyDescent="0.25">
      <c r="A3802" s="204">
        <v>43095</v>
      </c>
      <c r="B3802" s="26" t="s">
        <v>2730</v>
      </c>
      <c r="C3802" s="26" t="s">
        <v>2973</v>
      </c>
      <c r="D3802" s="8">
        <v>5000</v>
      </c>
      <c r="E3802" s="8"/>
      <c r="F3802" s="91">
        <f t="shared" si="54"/>
        <v>9573</v>
      </c>
      <c r="G3802" s="26"/>
    </row>
    <row r="3803" spans="1:9" x14ac:dyDescent="0.25">
      <c r="A3803" s="204">
        <v>43095</v>
      </c>
      <c r="B3803" s="26" t="s">
        <v>0</v>
      </c>
      <c r="C3803" s="26" t="s">
        <v>2974</v>
      </c>
      <c r="D3803" s="8">
        <v>2000</v>
      </c>
      <c r="E3803" s="8"/>
      <c r="F3803" s="91">
        <f t="shared" si="54"/>
        <v>7573</v>
      </c>
      <c r="G3803" s="26"/>
    </row>
    <row r="3804" spans="1:9" x14ac:dyDescent="0.25">
      <c r="A3804" s="204">
        <v>43095</v>
      </c>
      <c r="B3804" s="29" t="s">
        <v>26</v>
      </c>
      <c r="C3804" s="29" t="s">
        <v>2551</v>
      </c>
      <c r="D3804" s="8">
        <v>1600</v>
      </c>
      <c r="E3804" s="8"/>
      <c r="F3804" s="91">
        <f t="shared" si="54"/>
        <v>5973</v>
      </c>
      <c r="G3804" s="9"/>
    </row>
    <row r="3805" spans="1:9" x14ac:dyDescent="0.25">
      <c r="A3805" s="204">
        <v>43095</v>
      </c>
      <c r="B3805" s="26" t="s">
        <v>26</v>
      </c>
      <c r="C3805" s="26" t="s">
        <v>2976</v>
      </c>
      <c r="D3805" s="8">
        <v>300</v>
      </c>
      <c r="E3805" s="8"/>
      <c r="F3805" s="91">
        <f t="shared" si="54"/>
        <v>5673</v>
      </c>
      <c r="G3805" s="9"/>
    </row>
    <row r="3806" spans="1:9" x14ac:dyDescent="0.25">
      <c r="A3806" s="204">
        <v>43096</v>
      </c>
      <c r="B3806" s="26" t="s">
        <v>26</v>
      </c>
      <c r="C3806" s="26" t="s">
        <v>942</v>
      </c>
      <c r="D3806" s="8">
        <v>380</v>
      </c>
      <c r="E3806" s="8"/>
      <c r="F3806" s="91">
        <f t="shared" si="54"/>
        <v>5293</v>
      </c>
      <c r="G3806" s="9"/>
    </row>
    <row r="3807" spans="1:9" x14ac:dyDescent="0.25">
      <c r="A3807" s="204">
        <v>43096</v>
      </c>
      <c r="B3807" s="26" t="s">
        <v>26</v>
      </c>
      <c r="C3807" s="29" t="s">
        <v>2205</v>
      </c>
      <c r="D3807" s="8">
        <v>360</v>
      </c>
      <c r="E3807" s="8"/>
      <c r="F3807" s="91">
        <f t="shared" si="54"/>
        <v>4933</v>
      </c>
      <c r="G3807" s="50"/>
    </row>
    <row r="3808" spans="1:9" x14ac:dyDescent="0.25">
      <c r="A3808" s="204">
        <v>43096</v>
      </c>
      <c r="B3808" s="26" t="s">
        <v>26</v>
      </c>
      <c r="C3808" s="29" t="s">
        <v>2979</v>
      </c>
      <c r="D3808" s="8">
        <v>350</v>
      </c>
      <c r="E3808" s="8"/>
      <c r="F3808" s="91">
        <f t="shared" si="54"/>
        <v>4583</v>
      </c>
    </row>
    <row r="3809" spans="1:6" x14ac:dyDescent="0.25">
      <c r="A3809" s="204">
        <v>43096</v>
      </c>
      <c r="B3809" s="26" t="s">
        <v>26</v>
      </c>
      <c r="C3809" s="29" t="s">
        <v>2984</v>
      </c>
      <c r="D3809" s="8">
        <v>160</v>
      </c>
      <c r="E3809" s="8"/>
      <c r="F3809" s="91">
        <f t="shared" si="54"/>
        <v>4423</v>
      </c>
    </row>
    <row r="3810" spans="1:6" x14ac:dyDescent="0.25">
      <c r="A3810" s="204">
        <v>43096</v>
      </c>
      <c r="B3810" s="26" t="s">
        <v>26</v>
      </c>
      <c r="C3810" s="29" t="s">
        <v>2980</v>
      </c>
      <c r="D3810" s="8">
        <v>80</v>
      </c>
      <c r="E3810" s="8"/>
      <c r="F3810" s="91">
        <f t="shared" si="54"/>
        <v>4343</v>
      </c>
    </row>
    <row r="3811" spans="1:6" x14ac:dyDescent="0.25">
      <c r="A3811" s="204">
        <v>43096</v>
      </c>
      <c r="B3811" s="460" t="s">
        <v>2963</v>
      </c>
      <c r="C3811" s="460"/>
      <c r="D3811" s="71"/>
      <c r="E3811" s="58">
        <v>45000</v>
      </c>
      <c r="F3811" s="91">
        <f t="shared" si="54"/>
        <v>49343</v>
      </c>
    </row>
    <row r="3812" spans="1:6" x14ac:dyDescent="0.25">
      <c r="A3812" s="204">
        <v>43096</v>
      </c>
      <c r="B3812" s="26" t="s">
        <v>2597</v>
      </c>
      <c r="C3812" s="26" t="s">
        <v>2981</v>
      </c>
      <c r="D3812" s="8">
        <v>25000</v>
      </c>
      <c r="E3812" s="8"/>
      <c r="F3812" s="91">
        <f t="shared" si="54"/>
        <v>24343</v>
      </c>
    </row>
    <row r="3813" spans="1:6" x14ac:dyDescent="0.25">
      <c r="A3813" s="204">
        <v>43096</v>
      </c>
      <c r="B3813" s="26" t="s">
        <v>2099</v>
      </c>
      <c r="C3813" s="26" t="s">
        <v>2982</v>
      </c>
      <c r="D3813" s="8">
        <v>20000</v>
      </c>
      <c r="E3813" s="8"/>
      <c r="F3813" s="91">
        <f t="shared" si="54"/>
        <v>4343</v>
      </c>
    </row>
    <row r="3814" spans="1:6" x14ac:dyDescent="0.25">
      <c r="A3814" s="204">
        <v>43096</v>
      </c>
      <c r="B3814" s="26" t="s">
        <v>85</v>
      </c>
      <c r="C3814" s="26" t="s">
        <v>2983</v>
      </c>
      <c r="D3814" s="8">
        <v>3000</v>
      </c>
      <c r="E3814" s="8"/>
      <c r="F3814" s="91">
        <f t="shared" si="54"/>
        <v>1343</v>
      </c>
    </row>
    <row r="3815" spans="1:6" x14ac:dyDescent="0.25">
      <c r="A3815" s="204">
        <v>43096</v>
      </c>
      <c r="B3815" s="26" t="s">
        <v>2856</v>
      </c>
      <c r="C3815" s="26" t="s">
        <v>2985</v>
      </c>
      <c r="D3815" s="8">
        <v>610</v>
      </c>
      <c r="E3815" s="8"/>
      <c r="F3815" s="91">
        <f t="shared" si="54"/>
        <v>733</v>
      </c>
    </row>
    <row r="3816" spans="1:6" x14ac:dyDescent="0.25">
      <c r="A3816" s="204">
        <v>43097</v>
      </c>
      <c r="B3816" s="460" t="s">
        <v>2668</v>
      </c>
      <c r="C3816" s="460"/>
      <c r="D3816" s="71"/>
      <c r="E3816" s="58">
        <v>50000</v>
      </c>
      <c r="F3816" s="91">
        <f t="shared" si="54"/>
        <v>50733</v>
      </c>
    </row>
    <row r="3817" spans="1:6" x14ac:dyDescent="0.25">
      <c r="A3817" s="204">
        <v>43097</v>
      </c>
      <c r="B3817" s="26" t="s">
        <v>14</v>
      </c>
      <c r="C3817" s="26" t="s">
        <v>2986</v>
      </c>
      <c r="D3817" s="161">
        <v>20000</v>
      </c>
      <c r="E3817" s="86"/>
      <c r="F3817" s="91">
        <f t="shared" si="54"/>
        <v>30733</v>
      </c>
    </row>
    <row r="3818" spans="1:6" x14ac:dyDescent="0.25">
      <c r="A3818" s="204">
        <v>43097</v>
      </c>
      <c r="B3818" s="26" t="s">
        <v>2987</v>
      </c>
      <c r="C3818" s="26" t="s">
        <v>2988</v>
      </c>
      <c r="D3818" s="8">
        <v>20000</v>
      </c>
      <c r="E3818" s="8"/>
      <c r="F3818" s="91">
        <f t="shared" si="54"/>
        <v>10733</v>
      </c>
    </row>
    <row r="3819" spans="1:6" x14ac:dyDescent="0.25">
      <c r="A3819" s="204">
        <v>43097</v>
      </c>
      <c r="B3819" s="26" t="s">
        <v>2505</v>
      </c>
      <c r="C3819" s="26" t="s">
        <v>2989</v>
      </c>
      <c r="D3819" s="8">
        <v>5000</v>
      </c>
      <c r="E3819" s="8"/>
      <c r="F3819" s="91">
        <f t="shared" si="54"/>
        <v>5733</v>
      </c>
    </row>
    <row r="3820" spans="1:6" x14ac:dyDescent="0.25">
      <c r="A3820" s="204">
        <v>43097</v>
      </c>
      <c r="B3820" s="26" t="s">
        <v>2333</v>
      </c>
      <c r="C3820" s="26" t="s">
        <v>2990</v>
      </c>
      <c r="D3820" s="8">
        <v>400</v>
      </c>
      <c r="E3820" s="8"/>
      <c r="F3820" s="91">
        <f t="shared" si="54"/>
        <v>5333</v>
      </c>
    </row>
    <row r="3821" spans="1:6" x14ac:dyDescent="0.25">
      <c r="A3821" s="204">
        <v>43097</v>
      </c>
      <c r="B3821" s="29" t="s">
        <v>59</v>
      </c>
      <c r="C3821" s="29" t="s">
        <v>2991</v>
      </c>
      <c r="D3821" s="8">
        <v>100</v>
      </c>
      <c r="E3821" s="8"/>
      <c r="F3821" s="91">
        <f t="shared" si="54"/>
        <v>5233</v>
      </c>
    </row>
    <row r="3822" spans="1:6" x14ac:dyDescent="0.25">
      <c r="A3822" s="204">
        <v>43097</v>
      </c>
      <c r="B3822" s="26" t="s">
        <v>2730</v>
      </c>
      <c r="C3822" s="26" t="s">
        <v>2992</v>
      </c>
      <c r="D3822" s="8">
        <v>1050</v>
      </c>
      <c r="E3822" s="8"/>
      <c r="F3822" s="91">
        <f t="shared" si="54"/>
        <v>4183</v>
      </c>
    </row>
    <row r="3823" spans="1:6" x14ac:dyDescent="0.25">
      <c r="A3823" s="204">
        <v>43097</v>
      </c>
      <c r="B3823" s="26" t="s">
        <v>248</v>
      </c>
      <c r="C3823" s="26" t="s">
        <v>2993</v>
      </c>
      <c r="D3823" s="8">
        <v>1780</v>
      </c>
      <c r="E3823" s="8"/>
      <c r="F3823" s="91">
        <f t="shared" si="54"/>
        <v>2403</v>
      </c>
    </row>
    <row r="3824" spans="1:6" x14ac:dyDescent="0.25">
      <c r="A3824" s="204">
        <v>43097</v>
      </c>
      <c r="B3824" s="26" t="s">
        <v>0</v>
      </c>
      <c r="C3824" s="26" t="s">
        <v>1052</v>
      </c>
      <c r="D3824" s="8">
        <v>500</v>
      </c>
      <c r="E3824" s="8"/>
      <c r="F3824" s="91">
        <f t="shared" si="54"/>
        <v>1903</v>
      </c>
    </row>
    <row r="3825" spans="1:6" x14ac:dyDescent="0.25">
      <c r="A3825" s="204">
        <v>43098</v>
      </c>
      <c r="B3825" s="460" t="s">
        <v>2994</v>
      </c>
      <c r="C3825" s="460"/>
      <c r="D3825" s="71"/>
      <c r="E3825" s="58">
        <v>1530</v>
      </c>
      <c r="F3825" s="91">
        <f t="shared" si="54"/>
        <v>3433</v>
      </c>
    </row>
    <row r="3826" spans="1:6" x14ac:dyDescent="0.25">
      <c r="A3826" s="204">
        <v>43098</v>
      </c>
      <c r="B3826" s="26" t="s">
        <v>26</v>
      </c>
      <c r="C3826" s="26" t="s">
        <v>2995</v>
      </c>
      <c r="D3826" s="8">
        <v>1720</v>
      </c>
      <c r="E3826" s="8"/>
      <c r="F3826" s="91">
        <f t="shared" si="54"/>
        <v>1713</v>
      </c>
    </row>
    <row r="3827" spans="1:6" x14ac:dyDescent="0.25">
      <c r="A3827" s="204">
        <v>43098</v>
      </c>
      <c r="B3827" s="26" t="s">
        <v>2996</v>
      </c>
      <c r="C3827" s="26" t="s">
        <v>2997</v>
      </c>
      <c r="D3827" s="8">
        <v>800</v>
      </c>
      <c r="E3827" s="8"/>
      <c r="F3827" s="91">
        <f t="shared" si="54"/>
        <v>913</v>
      </c>
    </row>
    <row r="3828" spans="1:6" x14ac:dyDescent="0.25">
      <c r="A3828" s="204">
        <v>43098</v>
      </c>
      <c r="B3828" s="460" t="s">
        <v>2963</v>
      </c>
      <c r="C3828" s="460"/>
      <c r="D3828" s="71"/>
      <c r="E3828" s="58">
        <v>25000</v>
      </c>
      <c r="F3828" s="91">
        <f t="shared" si="54"/>
        <v>25913</v>
      </c>
    </row>
    <row r="3829" spans="1:6" x14ac:dyDescent="0.25">
      <c r="A3829" s="204">
        <v>43098</v>
      </c>
      <c r="B3829" s="26" t="s">
        <v>2998</v>
      </c>
      <c r="C3829" s="26" t="s">
        <v>2999</v>
      </c>
      <c r="D3829" s="8">
        <v>22000</v>
      </c>
      <c r="E3829" s="8"/>
      <c r="F3829" s="91">
        <f t="shared" si="54"/>
        <v>3913</v>
      </c>
    </row>
    <row r="3830" spans="1:6" x14ac:dyDescent="0.25">
      <c r="A3830" s="204">
        <v>43098</v>
      </c>
      <c r="B3830" s="26" t="s">
        <v>0</v>
      </c>
      <c r="C3830" s="26" t="s">
        <v>32</v>
      </c>
      <c r="D3830" s="8">
        <v>2000</v>
      </c>
      <c r="E3830" s="8"/>
      <c r="F3830" s="91">
        <f t="shared" si="54"/>
        <v>1913</v>
      </c>
    </row>
    <row r="3831" spans="1:6" x14ac:dyDescent="0.25">
      <c r="A3831" s="204">
        <v>43098</v>
      </c>
      <c r="B3831" s="26" t="s">
        <v>59</v>
      </c>
      <c r="C3831" s="26" t="s">
        <v>3000</v>
      </c>
      <c r="D3831" s="8">
        <v>100</v>
      </c>
      <c r="E3831" s="8"/>
      <c r="F3831" s="91">
        <f t="shared" si="54"/>
        <v>1813</v>
      </c>
    </row>
    <row r="3832" spans="1:6" x14ac:dyDescent="0.25">
      <c r="A3832" s="204">
        <v>43098</v>
      </c>
      <c r="B3832" s="26" t="s">
        <v>26</v>
      </c>
      <c r="C3832" s="26" t="s">
        <v>3006</v>
      </c>
      <c r="D3832" s="8">
        <v>100</v>
      </c>
      <c r="E3832" s="8"/>
      <c r="F3832" s="91">
        <f t="shared" si="54"/>
        <v>1713</v>
      </c>
    </row>
    <row r="3833" spans="1:6" x14ac:dyDescent="0.25">
      <c r="A3833" s="204">
        <v>43098</v>
      </c>
      <c r="B3833" s="26" t="s">
        <v>26</v>
      </c>
      <c r="C3833" s="26" t="s">
        <v>3001</v>
      </c>
      <c r="D3833" s="8">
        <v>100</v>
      </c>
      <c r="E3833" s="8"/>
      <c r="F3833" s="91">
        <f t="shared" si="54"/>
        <v>1613</v>
      </c>
    </row>
    <row r="3834" spans="1:6" x14ac:dyDescent="0.25">
      <c r="A3834" s="204">
        <v>43098</v>
      </c>
      <c r="B3834" s="26" t="s">
        <v>26</v>
      </c>
      <c r="C3834" s="26" t="s">
        <v>3004</v>
      </c>
      <c r="D3834" s="8">
        <v>90</v>
      </c>
      <c r="E3834" s="8"/>
      <c r="F3834" s="91">
        <f t="shared" si="54"/>
        <v>1523</v>
      </c>
    </row>
    <row r="3835" spans="1:6" x14ac:dyDescent="0.25">
      <c r="A3835" s="204">
        <v>43098</v>
      </c>
      <c r="B3835" s="26" t="s">
        <v>26</v>
      </c>
      <c r="C3835" s="26" t="s">
        <v>3003</v>
      </c>
      <c r="D3835" s="8">
        <v>130</v>
      </c>
      <c r="E3835" s="8"/>
      <c r="F3835" s="91">
        <f t="shared" si="54"/>
        <v>1393</v>
      </c>
    </row>
    <row r="3836" spans="1:6" x14ac:dyDescent="0.25">
      <c r="A3836" s="204">
        <v>43098</v>
      </c>
      <c r="B3836" s="26" t="s">
        <v>26</v>
      </c>
      <c r="C3836" s="26" t="s">
        <v>1832</v>
      </c>
      <c r="D3836" s="8">
        <v>60</v>
      </c>
      <c r="E3836" s="8"/>
      <c r="F3836" s="91">
        <f t="shared" si="54"/>
        <v>1333</v>
      </c>
    </row>
    <row r="3837" spans="1:6" x14ac:dyDescent="0.25">
      <c r="A3837" s="204">
        <v>43098</v>
      </c>
      <c r="B3837" s="26" t="s">
        <v>26</v>
      </c>
      <c r="C3837" s="26" t="s">
        <v>3002</v>
      </c>
      <c r="D3837" s="8">
        <v>100</v>
      </c>
      <c r="E3837" s="8"/>
      <c r="F3837" s="91">
        <f t="shared" si="54"/>
        <v>1233</v>
      </c>
    </row>
    <row r="3838" spans="1:6" x14ac:dyDescent="0.25">
      <c r="A3838" s="204">
        <v>43098</v>
      </c>
      <c r="B3838" s="26" t="s">
        <v>26</v>
      </c>
      <c r="C3838" s="26" t="s">
        <v>2878</v>
      </c>
      <c r="D3838" s="8">
        <v>140</v>
      </c>
      <c r="E3838" s="8"/>
      <c r="F3838" s="91">
        <f t="shared" si="54"/>
        <v>1093</v>
      </c>
    </row>
    <row r="3839" spans="1:6" x14ac:dyDescent="0.25">
      <c r="A3839" s="204">
        <v>43098</v>
      </c>
      <c r="B3839" s="26" t="s">
        <v>26</v>
      </c>
      <c r="C3839" s="26" t="s">
        <v>3005</v>
      </c>
      <c r="D3839" s="8">
        <v>180</v>
      </c>
      <c r="E3839" s="8"/>
      <c r="F3839" s="91">
        <f t="shared" si="54"/>
        <v>913</v>
      </c>
    </row>
    <row r="3840" spans="1:6" x14ac:dyDescent="0.25">
      <c r="A3840" s="204">
        <v>43098</v>
      </c>
      <c r="B3840" s="26" t="s">
        <v>26</v>
      </c>
      <c r="C3840" s="26" t="s">
        <v>3007</v>
      </c>
      <c r="D3840" s="8">
        <v>100</v>
      </c>
      <c r="E3840" s="8"/>
      <c r="F3840" s="91">
        <f t="shared" si="54"/>
        <v>813</v>
      </c>
    </row>
    <row r="3841" spans="1:6" x14ac:dyDescent="0.25">
      <c r="A3841" s="204">
        <v>43098</v>
      </c>
      <c r="B3841" s="26" t="s">
        <v>26</v>
      </c>
      <c r="C3841" s="26" t="s">
        <v>2627</v>
      </c>
      <c r="D3841" s="8">
        <v>750</v>
      </c>
      <c r="E3841" s="8"/>
      <c r="F3841" s="91">
        <f t="shared" si="54"/>
        <v>63</v>
      </c>
    </row>
    <row r="3842" spans="1:6" x14ac:dyDescent="0.25">
      <c r="A3842" s="204">
        <v>43102</v>
      </c>
      <c r="B3842" s="460" t="s">
        <v>2668</v>
      </c>
      <c r="C3842" s="460"/>
      <c r="D3842" s="71"/>
      <c r="E3842" s="58">
        <v>50000</v>
      </c>
      <c r="F3842" s="91">
        <f t="shared" si="54"/>
        <v>50063</v>
      </c>
    </row>
    <row r="3843" spans="1:6" x14ac:dyDescent="0.25">
      <c r="A3843" s="204">
        <v>43102</v>
      </c>
      <c r="B3843" s="26" t="s">
        <v>3008</v>
      </c>
      <c r="C3843" s="26" t="s">
        <v>3010</v>
      </c>
      <c r="D3843" s="8">
        <v>2000</v>
      </c>
      <c r="E3843" s="8"/>
      <c r="F3843" s="91">
        <f t="shared" si="54"/>
        <v>48063</v>
      </c>
    </row>
    <row r="3844" spans="1:6" x14ac:dyDescent="0.25">
      <c r="A3844" s="204">
        <v>43102</v>
      </c>
      <c r="B3844" s="26" t="s">
        <v>3008</v>
      </c>
      <c r="C3844" s="26" t="s">
        <v>3009</v>
      </c>
      <c r="D3844" s="8">
        <v>4300</v>
      </c>
      <c r="E3844" s="8"/>
      <c r="F3844" s="91">
        <f t="shared" si="54"/>
        <v>43763</v>
      </c>
    </row>
    <row r="3845" spans="1:6" x14ac:dyDescent="0.25">
      <c r="A3845" s="204">
        <v>43102</v>
      </c>
      <c r="B3845" s="26" t="s">
        <v>2099</v>
      </c>
      <c r="C3845" s="26" t="s">
        <v>3015</v>
      </c>
      <c r="D3845" s="8">
        <v>700</v>
      </c>
      <c r="E3845" s="8"/>
      <c r="F3845" s="91">
        <f t="shared" si="54"/>
        <v>43063</v>
      </c>
    </row>
    <row r="3846" spans="1:6" x14ac:dyDescent="0.25">
      <c r="A3846" s="204">
        <v>43102</v>
      </c>
      <c r="B3846" s="460" t="s">
        <v>3013</v>
      </c>
      <c r="C3846" s="460"/>
      <c r="D3846" s="71"/>
      <c r="E3846" s="58">
        <v>1600</v>
      </c>
      <c r="F3846" s="91">
        <f t="shared" si="54"/>
        <v>44663</v>
      </c>
    </row>
    <row r="3847" spans="1:6" x14ac:dyDescent="0.25">
      <c r="A3847" s="204">
        <v>43102</v>
      </c>
      <c r="B3847" s="26" t="s">
        <v>542</v>
      </c>
      <c r="C3847" s="26" t="s">
        <v>3011</v>
      </c>
      <c r="D3847" s="8">
        <v>600</v>
      </c>
      <c r="E3847" s="8"/>
      <c r="F3847" s="91">
        <f t="shared" si="54"/>
        <v>44063</v>
      </c>
    </row>
    <row r="3848" spans="1:6" x14ac:dyDescent="0.25">
      <c r="A3848" s="204">
        <v>43102</v>
      </c>
      <c r="B3848" s="26" t="s">
        <v>26</v>
      </c>
      <c r="C3848" s="26" t="s">
        <v>3012</v>
      </c>
      <c r="D3848" s="8">
        <v>200</v>
      </c>
      <c r="E3848" s="8"/>
      <c r="F3848" s="91">
        <f t="shared" si="54"/>
        <v>43863</v>
      </c>
    </row>
    <row r="3849" spans="1:6" x14ac:dyDescent="0.25">
      <c r="A3849" s="204">
        <v>43102</v>
      </c>
      <c r="B3849" s="26" t="s">
        <v>2349</v>
      </c>
      <c r="C3849" s="26" t="s">
        <v>3014</v>
      </c>
      <c r="D3849" s="8">
        <v>1500</v>
      </c>
      <c r="E3849" s="8"/>
      <c r="F3849" s="91">
        <f t="shared" si="54"/>
        <v>42363</v>
      </c>
    </row>
    <row r="3850" spans="1:6" x14ac:dyDescent="0.25">
      <c r="A3850" s="204">
        <v>43102</v>
      </c>
      <c r="B3850" s="26" t="s">
        <v>2573</v>
      </c>
      <c r="C3850" s="26" t="s">
        <v>3016</v>
      </c>
      <c r="D3850" s="8">
        <v>430</v>
      </c>
      <c r="E3850" s="8"/>
      <c r="F3850" s="91">
        <f t="shared" si="54"/>
        <v>41933</v>
      </c>
    </row>
    <row r="3851" spans="1:6" x14ac:dyDescent="0.25">
      <c r="A3851" s="204">
        <v>43102</v>
      </c>
      <c r="B3851" s="26" t="s">
        <v>17</v>
      </c>
      <c r="C3851" s="26" t="s">
        <v>3020</v>
      </c>
      <c r="D3851" s="8">
        <v>70</v>
      </c>
      <c r="E3851" s="8"/>
      <c r="F3851" s="91">
        <f t="shared" si="54"/>
        <v>41863</v>
      </c>
    </row>
    <row r="3852" spans="1:6" x14ac:dyDescent="0.25">
      <c r="A3852" s="204">
        <v>43102</v>
      </c>
      <c r="B3852" s="26" t="s">
        <v>11</v>
      </c>
      <c r="C3852" s="26" t="s">
        <v>3017</v>
      </c>
      <c r="D3852" s="8">
        <v>260</v>
      </c>
      <c r="E3852" s="8"/>
      <c r="F3852" s="91">
        <f t="shared" si="54"/>
        <v>41603</v>
      </c>
    </row>
    <row r="3853" spans="1:6" x14ac:dyDescent="0.25">
      <c r="A3853" s="204">
        <v>43102</v>
      </c>
      <c r="B3853" s="26" t="s">
        <v>11</v>
      </c>
      <c r="C3853" s="26" t="s">
        <v>3018</v>
      </c>
      <c r="D3853" s="8">
        <v>85</v>
      </c>
      <c r="E3853" s="8"/>
      <c r="F3853" s="91">
        <f t="shared" si="54"/>
        <v>41518</v>
      </c>
    </row>
    <row r="3854" spans="1:6" x14ac:dyDescent="0.25">
      <c r="A3854" s="204">
        <v>43102</v>
      </c>
      <c r="B3854" s="26" t="s">
        <v>11</v>
      </c>
      <c r="C3854" s="26" t="s">
        <v>3019</v>
      </c>
      <c r="D3854" s="8">
        <v>2000</v>
      </c>
      <c r="E3854" s="8"/>
      <c r="F3854" s="91">
        <f t="shared" si="54"/>
        <v>39518</v>
      </c>
    </row>
    <row r="3855" spans="1:6" x14ac:dyDescent="0.25">
      <c r="A3855" s="204">
        <v>43103</v>
      </c>
      <c r="B3855" s="26" t="s">
        <v>2677</v>
      </c>
      <c r="C3855" s="26" t="s">
        <v>3026</v>
      </c>
      <c r="D3855" s="8">
        <v>140</v>
      </c>
      <c r="E3855" s="8"/>
      <c r="F3855" s="91">
        <f t="shared" si="54"/>
        <v>39378</v>
      </c>
    </row>
    <row r="3856" spans="1:6" x14ac:dyDescent="0.25">
      <c r="A3856" s="204">
        <v>43102</v>
      </c>
      <c r="B3856" s="26" t="s">
        <v>55</v>
      </c>
      <c r="C3856" s="26" t="s">
        <v>3024</v>
      </c>
      <c r="D3856" s="8">
        <v>2000</v>
      </c>
      <c r="E3856" s="8"/>
      <c r="F3856" s="91">
        <f t="shared" si="54"/>
        <v>37378</v>
      </c>
    </row>
    <row r="3857" spans="1:6" x14ac:dyDescent="0.25">
      <c r="A3857" s="204">
        <v>43102</v>
      </c>
      <c r="B3857" s="26" t="s">
        <v>2333</v>
      </c>
      <c r="C3857" s="26" t="s">
        <v>3021</v>
      </c>
      <c r="D3857" s="8">
        <v>1700</v>
      </c>
      <c r="E3857" s="8"/>
      <c r="F3857" s="91">
        <f t="shared" si="54"/>
        <v>35678</v>
      </c>
    </row>
    <row r="3858" spans="1:6" x14ac:dyDescent="0.25">
      <c r="A3858" s="204">
        <v>43102</v>
      </c>
      <c r="B3858" s="26" t="s">
        <v>26</v>
      </c>
      <c r="C3858" s="26" t="s">
        <v>942</v>
      </c>
      <c r="D3858" s="8">
        <v>380</v>
      </c>
      <c r="E3858" s="8"/>
      <c r="F3858" s="91">
        <f t="shared" si="54"/>
        <v>35298</v>
      </c>
    </row>
    <row r="3859" spans="1:6" x14ac:dyDescent="0.25">
      <c r="A3859" s="204">
        <v>43102</v>
      </c>
      <c r="B3859" s="26" t="s">
        <v>26</v>
      </c>
      <c r="C3859" s="26" t="s">
        <v>3038</v>
      </c>
      <c r="D3859" s="8">
        <v>100</v>
      </c>
      <c r="E3859" s="8"/>
      <c r="F3859" s="91">
        <f t="shared" si="54"/>
        <v>35198</v>
      </c>
    </row>
    <row r="3860" spans="1:6" x14ac:dyDescent="0.25">
      <c r="A3860" s="204">
        <v>43102</v>
      </c>
      <c r="B3860" s="26" t="s">
        <v>26</v>
      </c>
      <c r="C3860" s="26" t="s">
        <v>3032</v>
      </c>
      <c r="D3860" s="8">
        <v>120</v>
      </c>
      <c r="E3860" s="8"/>
      <c r="F3860" s="91">
        <f t="shared" si="54"/>
        <v>35078</v>
      </c>
    </row>
    <row r="3861" spans="1:6" x14ac:dyDescent="0.25">
      <c r="A3861" s="204">
        <v>43102</v>
      </c>
      <c r="B3861" s="26" t="s">
        <v>26</v>
      </c>
      <c r="C3861" s="26" t="s">
        <v>3033</v>
      </c>
      <c r="D3861" s="8">
        <v>100</v>
      </c>
      <c r="E3861" s="8"/>
      <c r="F3861" s="91">
        <f t="shared" si="54"/>
        <v>34978</v>
      </c>
    </row>
    <row r="3862" spans="1:6" x14ac:dyDescent="0.25">
      <c r="A3862" s="204">
        <v>43102</v>
      </c>
      <c r="B3862" s="26" t="s">
        <v>26</v>
      </c>
      <c r="C3862" s="26" t="s">
        <v>63</v>
      </c>
      <c r="D3862" s="8">
        <v>90</v>
      </c>
      <c r="E3862" s="8"/>
      <c r="F3862" s="91">
        <f t="shared" si="54"/>
        <v>34888</v>
      </c>
    </row>
    <row r="3863" spans="1:6" x14ac:dyDescent="0.25">
      <c r="A3863" s="204">
        <v>43102</v>
      </c>
      <c r="B3863" s="26" t="s">
        <v>26</v>
      </c>
      <c r="C3863" s="26" t="s">
        <v>3034</v>
      </c>
      <c r="D3863" s="8">
        <v>220</v>
      </c>
      <c r="E3863" s="8"/>
      <c r="F3863" s="91">
        <f t="shared" si="54"/>
        <v>34668</v>
      </c>
    </row>
    <row r="3864" spans="1:6" x14ac:dyDescent="0.25">
      <c r="A3864" s="204">
        <v>43103</v>
      </c>
      <c r="B3864" s="26" t="s">
        <v>1619</v>
      </c>
      <c r="C3864" s="26" t="s">
        <v>2438</v>
      </c>
      <c r="D3864" s="8">
        <v>520</v>
      </c>
      <c r="E3864" s="8"/>
      <c r="F3864" s="91">
        <f t="shared" si="54"/>
        <v>34148</v>
      </c>
    </row>
    <row r="3865" spans="1:6" x14ac:dyDescent="0.25">
      <c r="A3865" s="204">
        <v>43103</v>
      </c>
      <c r="B3865" s="26" t="s">
        <v>1619</v>
      </c>
      <c r="C3865" s="26" t="s">
        <v>2675</v>
      </c>
      <c r="D3865" s="8">
        <v>1500</v>
      </c>
      <c r="E3865" s="8"/>
      <c r="F3865" s="91">
        <f t="shared" si="54"/>
        <v>32648</v>
      </c>
    </row>
    <row r="3866" spans="1:6" x14ac:dyDescent="0.25">
      <c r="A3866" s="204">
        <v>43103</v>
      </c>
      <c r="B3866" s="26" t="s">
        <v>1840</v>
      </c>
      <c r="C3866" s="26" t="s">
        <v>3022</v>
      </c>
      <c r="D3866" s="8">
        <v>1000</v>
      </c>
      <c r="E3866" s="8"/>
      <c r="F3866" s="91">
        <f t="shared" si="54"/>
        <v>31648</v>
      </c>
    </row>
    <row r="3867" spans="1:6" x14ac:dyDescent="0.25">
      <c r="A3867" s="204">
        <v>43103</v>
      </c>
      <c r="B3867" s="26" t="s">
        <v>85</v>
      </c>
      <c r="C3867" s="26" t="s">
        <v>3031</v>
      </c>
      <c r="D3867" s="8">
        <v>500</v>
      </c>
      <c r="E3867" s="8"/>
      <c r="F3867" s="91">
        <f t="shared" si="54"/>
        <v>31148</v>
      </c>
    </row>
    <row r="3868" spans="1:6" x14ac:dyDescent="0.25">
      <c r="A3868" s="204">
        <v>43103</v>
      </c>
      <c r="B3868" s="26" t="s">
        <v>61</v>
      </c>
      <c r="C3868" s="26" t="s">
        <v>3023</v>
      </c>
      <c r="D3868" s="8">
        <v>2000</v>
      </c>
      <c r="E3868" s="8"/>
      <c r="F3868" s="91">
        <f t="shared" si="54"/>
        <v>29148</v>
      </c>
    </row>
    <row r="3869" spans="1:6" x14ac:dyDescent="0.25">
      <c r="A3869" s="204">
        <v>43103</v>
      </c>
      <c r="B3869" s="26" t="s">
        <v>248</v>
      </c>
      <c r="C3869" s="26" t="s">
        <v>3025</v>
      </c>
      <c r="D3869" s="8">
        <v>1400</v>
      </c>
      <c r="E3869" s="8"/>
      <c r="F3869" s="91">
        <f t="shared" si="54"/>
        <v>27748</v>
      </c>
    </row>
    <row r="3870" spans="1:6" x14ac:dyDescent="0.25">
      <c r="A3870" s="204">
        <v>43103</v>
      </c>
      <c r="B3870" s="26" t="s">
        <v>248</v>
      </c>
      <c r="C3870" s="26" t="s">
        <v>3025</v>
      </c>
      <c r="D3870" s="8">
        <v>2215</v>
      </c>
      <c r="E3870" s="8"/>
      <c r="F3870" s="91">
        <f t="shared" si="54"/>
        <v>25533</v>
      </c>
    </row>
    <row r="3871" spans="1:6" x14ac:dyDescent="0.25">
      <c r="A3871" s="204">
        <v>43103</v>
      </c>
      <c r="B3871" s="26" t="s">
        <v>2677</v>
      </c>
      <c r="C3871" s="26" t="s">
        <v>3027</v>
      </c>
      <c r="D3871" s="8">
        <v>140</v>
      </c>
      <c r="E3871" s="8"/>
      <c r="F3871" s="91">
        <f t="shared" ref="F3871:F3969" si="55">F3870-D3871+E3871</f>
        <v>25393</v>
      </c>
    </row>
    <row r="3872" spans="1:6" x14ac:dyDescent="0.25">
      <c r="A3872" s="204">
        <v>43103</v>
      </c>
      <c r="B3872" s="26" t="s">
        <v>2597</v>
      </c>
      <c r="C3872" s="26" t="s">
        <v>3028</v>
      </c>
      <c r="D3872" s="8">
        <v>2250</v>
      </c>
      <c r="E3872" s="8"/>
      <c r="F3872" s="91">
        <f t="shared" si="55"/>
        <v>23143</v>
      </c>
    </row>
    <row r="3873" spans="1:6" x14ac:dyDescent="0.25">
      <c r="A3873" s="204">
        <v>43103</v>
      </c>
      <c r="B3873" s="26" t="s">
        <v>2333</v>
      </c>
      <c r="C3873" s="26" t="s">
        <v>3029</v>
      </c>
      <c r="D3873" s="8">
        <v>2725</v>
      </c>
      <c r="E3873" s="8"/>
      <c r="F3873" s="91">
        <f t="shared" si="55"/>
        <v>20418</v>
      </c>
    </row>
    <row r="3874" spans="1:6" x14ac:dyDescent="0.25">
      <c r="A3874" s="204">
        <v>43103</v>
      </c>
      <c r="B3874" s="192" t="s">
        <v>2597</v>
      </c>
      <c r="C3874" s="192" t="s">
        <v>3030</v>
      </c>
      <c r="D3874" s="15">
        <v>1100</v>
      </c>
      <c r="E3874" s="15"/>
      <c r="F3874" s="323">
        <f t="shared" si="55"/>
        <v>19318</v>
      </c>
    </row>
    <row r="3875" spans="1:6" ht="30" x14ac:dyDescent="0.25">
      <c r="A3875" s="204">
        <v>43103</v>
      </c>
      <c r="B3875" s="29" t="s">
        <v>1619</v>
      </c>
      <c r="C3875" s="89" t="s">
        <v>3035</v>
      </c>
      <c r="D3875" s="14">
        <v>520</v>
      </c>
      <c r="E3875" s="14"/>
      <c r="F3875" s="92">
        <f t="shared" si="55"/>
        <v>18798</v>
      </c>
    </row>
    <row r="3876" spans="1:6" x14ac:dyDescent="0.25">
      <c r="A3876" s="204">
        <v>43103</v>
      </c>
      <c r="B3876" s="29" t="s">
        <v>26</v>
      </c>
      <c r="C3876" s="29" t="s">
        <v>3036</v>
      </c>
      <c r="D3876" s="14">
        <v>100</v>
      </c>
      <c r="E3876" s="14"/>
      <c r="F3876" s="92">
        <f t="shared" si="55"/>
        <v>18698</v>
      </c>
    </row>
    <row r="3877" spans="1:6" x14ac:dyDescent="0.25">
      <c r="A3877" s="204">
        <v>43103</v>
      </c>
      <c r="B3877" s="29" t="s">
        <v>26</v>
      </c>
      <c r="C3877" s="29" t="s">
        <v>3037</v>
      </c>
      <c r="D3877" s="14">
        <v>240</v>
      </c>
      <c r="E3877" s="14"/>
      <c r="F3877" s="92">
        <f t="shared" si="55"/>
        <v>18458</v>
      </c>
    </row>
    <row r="3878" spans="1:6" x14ac:dyDescent="0.25">
      <c r="A3878" s="204">
        <v>43103</v>
      </c>
      <c r="B3878" s="29" t="s">
        <v>26</v>
      </c>
      <c r="C3878" s="29" t="s">
        <v>2662</v>
      </c>
      <c r="D3878" s="14">
        <v>350</v>
      </c>
      <c r="E3878" s="14"/>
      <c r="F3878" s="92">
        <f t="shared" si="55"/>
        <v>18108</v>
      </c>
    </row>
    <row r="3879" spans="1:6" x14ac:dyDescent="0.25">
      <c r="A3879" s="204">
        <v>43103</v>
      </c>
      <c r="B3879" s="460" t="s">
        <v>3048</v>
      </c>
      <c r="C3879" s="460"/>
      <c r="D3879" s="71"/>
      <c r="E3879" s="58">
        <v>5000</v>
      </c>
      <c r="F3879" s="92">
        <f t="shared" si="55"/>
        <v>23108</v>
      </c>
    </row>
    <row r="3880" spans="1:6" ht="30" x14ac:dyDescent="0.25">
      <c r="A3880" s="204">
        <v>43103</v>
      </c>
      <c r="B3880" s="29" t="s">
        <v>59</v>
      </c>
      <c r="C3880" s="89" t="s">
        <v>3045</v>
      </c>
      <c r="D3880" s="14">
        <v>21200</v>
      </c>
      <c r="E3880" s="14"/>
      <c r="F3880" s="92">
        <f t="shared" si="55"/>
        <v>1908</v>
      </c>
    </row>
    <row r="3881" spans="1:6" x14ac:dyDescent="0.25">
      <c r="A3881" s="204">
        <v>43105</v>
      </c>
      <c r="B3881" s="29" t="s">
        <v>26</v>
      </c>
      <c r="C3881" s="29" t="s">
        <v>3039</v>
      </c>
      <c r="D3881" s="14">
        <v>260</v>
      </c>
      <c r="E3881" s="14"/>
      <c r="F3881" s="92">
        <f t="shared" si="55"/>
        <v>1648</v>
      </c>
    </row>
    <row r="3882" spans="1:6" x14ac:dyDescent="0.25">
      <c r="A3882" s="204">
        <v>43106</v>
      </c>
      <c r="B3882" s="26" t="s">
        <v>59</v>
      </c>
      <c r="C3882" s="26" t="s">
        <v>3044</v>
      </c>
      <c r="D3882" s="8">
        <v>1000</v>
      </c>
      <c r="E3882" s="8"/>
      <c r="F3882" s="92">
        <f t="shared" si="55"/>
        <v>648</v>
      </c>
    </row>
    <row r="3883" spans="1:6" x14ac:dyDescent="0.25">
      <c r="A3883" s="204">
        <v>43105</v>
      </c>
      <c r="B3883" s="29" t="s">
        <v>26</v>
      </c>
      <c r="C3883" s="26" t="s">
        <v>3040</v>
      </c>
      <c r="D3883" s="8">
        <v>150</v>
      </c>
      <c r="E3883" s="8"/>
      <c r="F3883" s="92">
        <f t="shared" si="55"/>
        <v>498</v>
      </c>
    </row>
    <row r="3884" spans="1:6" x14ac:dyDescent="0.25">
      <c r="A3884" s="204">
        <v>43105</v>
      </c>
      <c r="B3884" s="29" t="s">
        <v>26</v>
      </c>
      <c r="C3884" s="26" t="s">
        <v>3007</v>
      </c>
      <c r="D3884" s="8">
        <v>100</v>
      </c>
      <c r="E3884" s="8"/>
      <c r="F3884" s="92">
        <f t="shared" si="55"/>
        <v>398</v>
      </c>
    </row>
    <row r="3885" spans="1:6" x14ac:dyDescent="0.25">
      <c r="A3885" s="204">
        <v>43105</v>
      </c>
      <c r="B3885" s="29" t="s">
        <v>26</v>
      </c>
      <c r="C3885" s="26" t="s">
        <v>3041</v>
      </c>
      <c r="D3885" s="8">
        <v>150</v>
      </c>
      <c r="E3885" s="8"/>
      <c r="F3885" s="92">
        <f t="shared" si="55"/>
        <v>248</v>
      </c>
    </row>
    <row r="3886" spans="1:6" x14ac:dyDescent="0.25">
      <c r="A3886" s="204">
        <v>43105</v>
      </c>
      <c r="B3886" s="26" t="s">
        <v>59</v>
      </c>
      <c r="C3886" s="26" t="s">
        <v>3042</v>
      </c>
      <c r="D3886" s="8">
        <v>100</v>
      </c>
      <c r="E3886" s="8"/>
      <c r="F3886" s="92">
        <f t="shared" si="55"/>
        <v>148</v>
      </c>
    </row>
    <row r="3887" spans="1:6" x14ac:dyDescent="0.25">
      <c r="A3887" s="204">
        <v>43106</v>
      </c>
      <c r="B3887" s="26" t="s">
        <v>26</v>
      </c>
      <c r="C3887" s="26" t="s">
        <v>3007</v>
      </c>
      <c r="D3887" s="8">
        <v>100</v>
      </c>
      <c r="E3887" s="8"/>
      <c r="F3887" s="92">
        <f t="shared" si="55"/>
        <v>48</v>
      </c>
    </row>
    <row r="3888" spans="1:6" x14ac:dyDescent="0.25">
      <c r="A3888" s="204">
        <v>43106</v>
      </c>
      <c r="B3888" s="26" t="s">
        <v>26</v>
      </c>
      <c r="C3888" s="26" t="s">
        <v>2904</v>
      </c>
      <c r="D3888" s="8">
        <v>50</v>
      </c>
      <c r="E3888" s="8"/>
      <c r="F3888" s="92">
        <f t="shared" si="55"/>
        <v>-2</v>
      </c>
    </row>
    <row r="3889" spans="1:6" x14ac:dyDescent="0.25">
      <c r="A3889" s="204">
        <v>43106</v>
      </c>
      <c r="B3889" s="460" t="s">
        <v>3049</v>
      </c>
      <c r="C3889" s="460"/>
      <c r="D3889" s="71"/>
      <c r="E3889" s="58">
        <v>25000</v>
      </c>
      <c r="F3889" s="92">
        <f>F3886-D3889+E3889</f>
        <v>25148</v>
      </c>
    </row>
    <row r="3890" spans="1:6" x14ac:dyDescent="0.25">
      <c r="A3890" s="204">
        <v>43106</v>
      </c>
      <c r="B3890" s="29" t="s">
        <v>1840</v>
      </c>
      <c r="C3890" s="29" t="s">
        <v>3050</v>
      </c>
      <c r="D3890" s="14">
        <v>5000</v>
      </c>
      <c r="E3890" s="14"/>
      <c r="F3890" s="92">
        <f t="shared" si="55"/>
        <v>20148</v>
      </c>
    </row>
    <row r="3891" spans="1:6" x14ac:dyDescent="0.25">
      <c r="A3891" s="204">
        <v>43106</v>
      </c>
      <c r="B3891" s="29" t="s">
        <v>2597</v>
      </c>
      <c r="C3891" s="29" t="s">
        <v>3053</v>
      </c>
      <c r="D3891" s="14">
        <v>8870</v>
      </c>
      <c r="E3891" s="14"/>
      <c r="F3891" s="92">
        <f t="shared" si="55"/>
        <v>11278</v>
      </c>
    </row>
    <row r="3892" spans="1:6" x14ac:dyDescent="0.25">
      <c r="A3892" s="204">
        <v>43106</v>
      </c>
      <c r="B3892" s="29" t="s">
        <v>2597</v>
      </c>
      <c r="C3892" s="29" t="s">
        <v>3052</v>
      </c>
      <c r="D3892" s="14">
        <v>1000</v>
      </c>
      <c r="E3892" s="14"/>
      <c r="F3892" s="92">
        <f t="shared" si="55"/>
        <v>10278</v>
      </c>
    </row>
    <row r="3893" spans="1:6" ht="30" x14ac:dyDescent="0.25">
      <c r="A3893" s="204">
        <v>43106</v>
      </c>
      <c r="B3893" s="26" t="s">
        <v>26</v>
      </c>
      <c r="C3893" s="87" t="s">
        <v>3051</v>
      </c>
      <c r="D3893" s="8">
        <v>7000</v>
      </c>
      <c r="E3893" s="8"/>
      <c r="F3893" s="92">
        <f t="shared" si="55"/>
        <v>3278</v>
      </c>
    </row>
    <row r="3894" spans="1:6" x14ac:dyDescent="0.25">
      <c r="A3894" s="204">
        <v>43106</v>
      </c>
      <c r="B3894" s="26" t="s">
        <v>59</v>
      </c>
      <c r="C3894" s="26" t="s">
        <v>3043</v>
      </c>
      <c r="D3894" s="8">
        <v>500</v>
      </c>
      <c r="E3894" s="8"/>
      <c r="F3894" s="92">
        <f t="shared" si="55"/>
        <v>2778</v>
      </c>
    </row>
    <row r="3895" spans="1:6" x14ac:dyDescent="0.25">
      <c r="A3895" s="204">
        <v>43103</v>
      </c>
      <c r="B3895" s="29" t="s">
        <v>26</v>
      </c>
      <c r="C3895" s="29" t="s">
        <v>3046</v>
      </c>
      <c r="D3895" s="14">
        <v>800</v>
      </c>
      <c r="E3895" s="14"/>
      <c r="F3895" s="92">
        <f t="shared" si="55"/>
        <v>1978</v>
      </c>
    </row>
    <row r="3896" spans="1:6" x14ac:dyDescent="0.25">
      <c r="A3896" s="204">
        <v>43106</v>
      </c>
      <c r="B3896" s="26" t="s">
        <v>26</v>
      </c>
      <c r="C3896" s="26" t="s">
        <v>3047</v>
      </c>
      <c r="D3896" s="8">
        <v>1700</v>
      </c>
      <c r="E3896" s="8"/>
      <c r="F3896" s="92">
        <f t="shared" si="55"/>
        <v>278</v>
      </c>
    </row>
    <row r="3897" spans="1:6" x14ac:dyDescent="0.25">
      <c r="A3897" s="204">
        <v>43106</v>
      </c>
      <c r="B3897" s="460" t="s">
        <v>95</v>
      </c>
      <c r="C3897" s="460"/>
      <c r="D3897" s="8"/>
      <c r="E3897" s="8">
        <v>21883</v>
      </c>
      <c r="F3897" s="92">
        <f t="shared" si="55"/>
        <v>22161</v>
      </c>
    </row>
    <row r="3898" spans="1:6" x14ac:dyDescent="0.25">
      <c r="A3898" s="204">
        <v>43108</v>
      </c>
      <c r="B3898" s="26" t="s">
        <v>2333</v>
      </c>
      <c r="C3898" s="26" t="s">
        <v>2314</v>
      </c>
      <c r="D3898" s="8">
        <v>3100</v>
      </c>
      <c r="E3898" s="8"/>
      <c r="F3898" s="92">
        <f t="shared" si="55"/>
        <v>19061</v>
      </c>
    </row>
    <row r="3899" spans="1:6" x14ac:dyDescent="0.25">
      <c r="A3899" s="204">
        <v>43108</v>
      </c>
      <c r="B3899" s="26" t="s">
        <v>2597</v>
      </c>
      <c r="C3899" s="26" t="s">
        <v>3055</v>
      </c>
      <c r="D3899" s="8">
        <v>5800</v>
      </c>
      <c r="E3899" s="8"/>
      <c r="F3899" s="92">
        <f t="shared" si="55"/>
        <v>13261</v>
      </c>
    </row>
    <row r="3900" spans="1:6" x14ac:dyDescent="0.25">
      <c r="A3900" s="204">
        <v>43108</v>
      </c>
      <c r="B3900" s="26" t="s">
        <v>1196</v>
      </c>
      <c r="C3900" s="26" t="s">
        <v>3062</v>
      </c>
      <c r="D3900" s="8">
        <v>1500</v>
      </c>
      <c r="E3900" s="8"/>
      <c r="F3900" s="92">
        <f t="shared" si="55"/>
        <v>11761</v>
      </c>
    </row>
    <row r="3901" spans="1:6" x14ac:dyDescent="0.25">
      <c r="A3901" s="204">
        <v>43108</v>
      </c>
      <c r="B3901" s="26" t="s">
        <v>2573</v>
      </c>
      <c r="C3901" s="26" t="s">
        <v>3056</v>
      </c>
      <c r="D3901" s="8">
        <v>1140</v>
      </c>
      <c r="E3901" s="8"/>
      <c r="F3901" s="92">
        <f t="shared" si="55"/>
        <v>10621</v>
      </c>
    </row>
    <row r="3902" spans="1:6" x14ac:dyDescent="0.25">
      <c r="A3902" s="204">
        <v>43108</v>
      </c>
      <c r="B3902" s="26" t="s">
        <v>2158</v>
      </c>
      <c r="C3902" s="26" t="s">
        <v>3054</v>
      </c>
      <c r="D3902" s="8">
        <v>50</v>
      </c>
      <c r="E3902" s="8"/>
      <c r="F3902" s="92">
        <f t="shared" si="55"/>
        <v>10571</v>
      </c>
    </row>
    <row r="3903" spans="1:6" x14ac:dyDescent="0.25">
      <c r="A3903" s="204">
        <v>43108</v>
      </c>
      <c r="B3903" s="26" t="s">
        <v>10</v>
      </c>
      <c r="C3903" s="26" t="s">
        <v>3060</v>
      </c>
      <c r="D3903" s="8">
        <v>50</v>
      </c>
      <c r="E3903" s="8"/>
      <c r="F3903" s="92">
        <f t="shared" si="55"/>
        <v>10521</v>
      </c>
    </row>
    <row r="3904" spans="1:6" x14ac:dyDescent="0.25">
      <c r="A3904" s="204">
        <v>43108</v>
      </c>
      <c r="B3904" s="26" t="s">
        <v>2597</v>
      </c>
      <c r="C3904" s="26" t="s">
        <v>3057</v>
      </c>
      <c r="D3904" s="8">
        <v>5000</v>
      </c>
      <c r="E3904" s="8"/>
      <c r="F3904" s="92">
        <f t="shared" si="55"/>
        <v>5521</v>
      </c>
    </row>
    <row r="3905" spans="1:6" x14ac:dyDescent="0.25">
      <c r="A3905" s="204">
        <v>43108</v>
      </c>
      <c r="B3905" s="26" t="s">
        <v>17</v>
      </c>
      <c r="C3905" s="26" t="s">
        <v>1533</v>
      </c>
      <c r="D3905" s="8">
        <v>2000</v>
      </c>
      <c r="E3905" s="8"/>
      <c r="F3905" s="92">
        <f t="shared" si="55"/>
        <v>3521</v>
      </c>
    </row>
    <row r="3906" spans="1:6" x14ac:dyDescent="0.25">
      <c r="A3906" s="204">
        <v>43108</v>
      </c>
      <c r="B3906" s="26" t="s">
        <v>26</v>
      </c>
      <c r="C3906" s="26" t="s">
        <v>2205</v>
      </c>
      <c r="D3906" s="8">
        <v>410</v>
      </c>
      <c r="E3906" s="8"/>
      <c r="F3906" s="92">
        <f t="shared" si="55"/>
        <v>3111</v>
      </c>
    </row>
    <row r="3907" spans="1:6" x14ac:dyDescent="0.25">
      <c r="A3907" s="204">
        <v>43108</v>
      </c>
      <c r="B3907" s="26" t="s">
        <v>26</v>
      </c>
      <c r="C3907" s="26" t="s">
        <v>942</v>
      </c>
      <c r="D3907" s="8">
        <v>380</v>
      </c>
      <c r="E3907" s="8"/>
      <c r="F3907" s="92">
        <f t="shared" si="55"/>
        <v>2731</v>
      </c>
    </row>
    <row r="3908" spans="1:6" x14ac:dyDescent="0.25">
      <c r="A3908" s="204">
        <v>43108</v>
      </c>
      <c r="B3908" s="26" t="s">
        <v>26</v>
      </c>
      <c r="C3908" s="26" t="s">
        <v>3058</v>
      </c>
      <c r="D3908" s="8">
        <v>100</v>
      </c>
      <c r="E3908" s="8"/>
      <c r="F3908" s="92">
        <f t="shared" si="55"/>
        <v>2631</v>
      </c>
    </row>
    <row r="3909" spans="1:6" x14ac:dyDescent="0.25">
      <c r="A3909" s="204">
        <v>43108</v>
      </c>
      <c r="B3909" s="26" t="s">
        <v>26</v>
      </c>
      <c r="C3909" s="26" t="s">
        <v>3059</v>
      </c>
      <c r="D3909" s="8">
        <v>150</v>
      </c>
      <c r="E3909" s="8"/>
      <c r="F3909" s="92">
        <f t="shared" si="55"/>
        <v>2481</v>
      </c>
    </row>
    <row r="3910" spans="1:6" x14ac:dyDescent="0.25">
      <c r="A3910" s="204">
        <v>43108</v>
      </c>
      <c r="B3910" s="26" t="s">
        <v>26</v>
      </c>
      <c r="C3910" s="26" t="s">
        <v>3007</v>
      </c>
      <c r="D3910" s="8">
        <v>100</v>
      </c>
      <c r="E3910" s="8"/>
      <c r="F3910" s="92">
        <f t="shared" si="55"/>
        <v>2381</v>
      </c>
    </row>
    <row r="3911" spans="1:6" x14ac:dyDescent="0.25">
      <c r="A3911" s="204">
        <v>43109</v>
      </c>
      <c r="B3911" s="26" t="s">
        <v>14</v>
      </c>
      <c r="C3911" s="26" t="s">
        <v>3055</v>
      </c>
      <c r="D3911" s="8">
        <v>250</v>
      </c>
      <c r="E3911" s="8"/>
      <c r="F3911" s="92">
        <f t="shared" si="55"/>
        <v>2131</v>
      </c>
    </row>
    <row r="3912" spans="1:6" x14ac:dyDescent="0.25">
      <c r="A3912" s="204">
        <v>43109</v>
      </c>
      <c r="B3912" s="26" t="s">
        <v>2597</v>
      </c>
      <c r="C3912" s="26" t="s">
        <v>3061</v>
      </c>
      <c r="D3912" s="8">
        <v>1000</v>
      </c>
      <c r="E3912" s="8"/>
      <c r="F3912" s="92">
        <f t="shared" si="55"/>
        <v>1131</v>
      </c>
    </row>
    <row r="3913" spans="1:6" x14ac:dyDescent="0.25">
      <c r="A3913" s="204">
        <v>43109</v>
      </c>
      <c r="B3913" s="26" t="s">
        <v>59</v>
      </c>
      <c r="C3913" s="26" t="s">
        <v>3063</v>
      </c>
      <c r="D3913" s="8">
        <v>50</v>
      </c>
      <c r="E3913" s="8"/>
      <c r="F3913" s="92">
        <f t="shared" si="55"/>
        <v>1081</v>
      </c>
    </row>
    <row r="3914" spans="1:6" x14ac:dyDescent="0.25">
      <c r="A3914" s="204">
        <v>43109</v>
      </c>
      <c r="B3914" s="26" t="s">
        <v>2677</v>
      </c>
      <c r="C3914" s="26" t="s">
        <v>3064</v>
      </c>
      <c r="D3914" s="8">
        <v>100</v>
      </c>
      <c r="E3914" s="8"/>
      <c r="F3914" s="92">
        <f t="shared" si="55"/>
        <v>981</v>
      </c>
    </row>
    <row r="3915" spans="1:6" x14ac:dyDescent="0.25">
      <c r="A3915" s="204">
        <v>43109</v>
      </c>
      <c r="B3915" s="26" t="s">
        <v>26</v>
      </c>
      <c r="C3915" s="26" t="s">
        <v>3038</v>
      </c>
      <c r="D3915" s="8">
        <v>100</v>
      </c>
      <c r="E3915" s="8"/>
      <c r="F3915" s="92">
        <f t="shared" si="55"/>
        <v>881</v>
      </c>
    </row>
    <row r="3916" spans="1:6" x14ac:dyDescent="0.25">
      <c r="A3916" s="204">
        <v>43110</v>
      </c>
      <c r="B3916" s="26" t="s">
        <v>26</v>
      </c>
      <c r="C3916" s="26" t="s">
        <v>2662</v>
      </c>
      <c r="D3916" s="8">
        <v>360</v>
      </c>
      <c r="E3916" s="8"/>
      <c r="F3916" s="92">
        <f t="shared" si="55"/>
        <v>521</v>
      </c>
    </row>
    <row r="3917" spans="1:6" x14ac:dyDescent="0.25">
      <c r="A3917" s="204">
        <v>43110</v>
      </c>
      <c r="B3917" s="26" t="s">
        <v>26</v>
      </c>
      <c r="C3917" s="26" t="s">
        <v>3068</v>
      </c>
      <c r="D3917" s="8">
        <v>90</v>
      </c>
      <c r="E3917" s="8"/>
      <c r="F3917" s="92">
        <f t="shared" si="55"/>
        <v>431</v>
      </c>
    </row>
    <row r="3918" spans="1:6" x14ac:dyDescent="0.25">
      <c r="A3918" s="204">
        <v>43111</v>
      </c>
      <c r="B3918" s="460" t="s">
        <v>1984</v>
      </c>
      <c r="C3918" s="460"/>
      <c r="D3918" s="8"/>
      <c r="E3918" s="8">
        <v>20000</v>
      </c>
      <c r="F3918" s="92">
        <f t="shared" si="55"/>
        <v>20431</v>
      </c>
    </row>
    <row r="3919" spans="1:6" x14ac:dyDescent="0.25">
      <c r="A3919" s="204">
        <v>43111</v>
      </c>
      <c r="B3919" s="26" t="s">
        <v>14</v>
      </c>
      <c r="C3919" s="26" t="s">
        <v>1534</v>
      </c>
      <c r="D3919" s="8">
        <v>4000</v>
      </c>
      <c r="E3919" s="8"/>
      <c r="F3919" s="92">
        <f t="shared" si="55"/>
        <v>16431</v>
      </c>
    </row>
    <row r="3920" spans="1:6" x14ac:dyDescent="0.25">
      <c r="A3920" s="204">
        <v>43111</v>
      </c>
      <c r="B3920" s="26" t="s">
        <v>26</v>
      </c>
      <c r="C3920" s="26" t="s">
        <v>3065</v>
      </c>
      <c r="D3920" s="8">
        <v>4000</v>
      </c>
      <c r="E3920" s="8"/>
      <c r="F3920" s="92">
        <f t="shared" si="55"/>
        <v>12431</v>
      </c>
    </row>
    <row r="3921" spans="1:6" x14ac:dyDescent="0.25">
      <c r="A3921" s="204">
        <v>43111</v>
      </c>
      <c r="B3921" s="26" t="s">
        <v>26</v>
      </c>
      <c r="C3921" s="26" t="s">
        <v>3066</v>
      </c>
      <c r="D3921" s="8">
        <v>7500</v>
      </c>
      <c r="E3921" s="8"/>
      <c r="F3921" s="92">
        <f t="shared" si="55"/>
        <v>4931</v>
      </c>
    </row>
    <row r="3922" spans="1:6" x14ac:dyDescent="0.25">
      <c r="A3922" s="204">
        <v>43111</v>
      </c>
      <c r="B3922" s="26" t="s">
        <v>26</v>
      </c>
      <c r="C3922" s="26" t="s">
        <v>3038</v>
      </c>
      <c r="D3922" s="8">
        <v>100</v>
      </c>
      <c r="E3922" s="8"/>
      <c r="F3922" s="92">
        <f t="shared" si="55"/>
        <v>4831</v>
      </c>
    </row>
    <row r="3923" spans="1:6" x14ac:dyDescent="0.25">
      <c r="A3923" s="204">
        <v>43111</v>
      </c>
      <c r="B3923" s="26" t="s">
        <v>2597</v>
      </c>
      <c r="C3923" s="26" t="s">
        <v>3055</v>
      </c>
      <c r="D3923" s="8">
        <v>1000</v>
      </c>
      <c r="E3923" s="8"/>
      <c r="F3923" s="92">
        <f t="shared" si="55"/>
        <v>3831</v>
      </c>
    </row>
    <row r="3924" spans="1:6" x14ac:dyDescent="0.25">
      <c r="A3924" s="204">
        <v>43111</v>
      </c>
      <c r="B3924" s="180" t="s">
        <v>59</v>
      </c>
      <c r="C3924" s="180" t="s">
        <v>439</v>
      </c>
      <c r="D3924" s="57">
        <v>500</v>
      </c>
      <c r="E3924" s="8"/>
      <c r="F3924" s="92">
        <f t="shared" si="55"/>
        <v>3331</v>
      </c>
    </row>
    <row r="3925" spans="1:6" x14ac:dyDescent="0.25">
      <c r="A3925" s="204">
        <v>43111</v>
      </c>
      <c r="B3925" s="26" t="s">
        <v>1840</v>
      </c>
      <c r="C3925" s="26" t="s">
        <v>3069</v>
      </c>
      <c r="D3925" s="8">
        <v>600</v>
      </c>
      <c r="E3925" s="8"/>
      <c r="F3925" s="92">
        <f t="shared" si="55"/>
        <v>2731</v>
      </c>
    </row>
    <row r="3926" spans="1:6" x14ac:dyDescent="0.25">
      <c r="A3926" s="204">
        <v>43111</v>
      </c>
      <c r="B3926" s="26" t="s">
        <v>248</v>
      </c>
      <c r="C3926" s="26" t="s">
        <v>3074</v>
      </c>
      <c r="D3926" s="8">
        <v>915</v>
      </c>
      <c r="E3926" s="8"/>
      <c r="F3926" s="92">
        <f t="shared" si="55"/>
        <v>1816</v>
      </c>
    </row>
    <row r="3927" spans="1:6" x14ac:dyDescent="0.25">
      <c r="A3927" s="204">
        <v>43111</v>
      </c>
      <c r="B3927" s="26" t="s">
        <v>248</v>
      </c>
      <c r="C3927" s="26" t="s">
        <v>3075</v>
      </c>
      <c r="D3927" s="8">
        <v>70</v>
      </c>
      <c r="E3927" s="8"/>
      <c r="F3927" s="92">
        <f t="shared" si="55"/>
        <v>1746</v>
      </c>
    </row>
    <row r="3928" spans="1:6" x14ac:dyDescent="0.25">
      <c r="A3928" s="204">
        <v>43111</v>
      </c>
      <c r="B3928" s="26" t="s">
        <v>26</v>
      </c>
      <c r="C3928" s="26" t="s">
        <v>1832</v>
      </c>
      <c r="D3928" s="8">
        <v>70</v>
      </c>
      <c r="E3928" s="8"/>
      <c r="F3928" s="92">
        <f t="shared" si="55"/>
        <v>1676</v>
      </c>
    </row>
    <row r="3929" spans="1:6" x14ac:dyDescent="0.25">
      <c r="A3929" s="204">
        <v>43111</v>
      </c>
      <c r="B3929" s="26" t="s">
        <v>26</v>
      </c>
      <c r="C3929" s="26" t="s">
        <v>3082</v>
      </c>
      <c r="D3929" s="8">
        <v>120</v>
      </c>
      <c r="E3929" s="8"/>
      <c r="F3929" s="92">
        <f t="shared" si="55"/>
        <v>1556</v>
      </c>
    </row>
    <row r="3930" spans="1:6" x14ac:dyDescent="0.25">
      <c r="A3930" s="204">
        <v>43112</v>
      </c>
      <c r="B3930" s="26" t="s">
        <v>26</v>
      </c>
      <c r="C3930" s="26" t="s">
        <v>3083</v>
      </c>
      <c r="D3930" s="8">
        <v>260</v>
      </c>
      <c r="E3930" s="8"/>
      <c r="F3930" s="92">
        <f t="shared" si="55"/>
        <v>1296</v>
      </c>
    </row>
    <row r="3931" spans="1:6" x14ac:dyDescent="0.25">
      <c r="A3931" s="204">
        <v>43112</v>
      </c>
      <c r="B3931" s="26" t="s">
        <v>26</v>
      </c>
      <c r="C3931" s="26" t="s">
        <v>2662</v>
      </c>
      <c r="D3931" s="8">
        <v>360</v>
      </c>
      <c r="E3931" s="8"/>
      <c r="F3931" s="92">
        <f t="shared" si="55"/>
        <v>936</v>
      </c>
    </row>
    <row r="3932" spans="1:6" x14ac:dyDescent="0.25">
      <c r="A3932" s="204">
        <v>43112</v>
      </c>
      <c r="B3932" s="460" t="s">
        <v>3087</v>
      </c>
      <c r="C3932" s="460"/>
      <c r="D3932" s="8"/>
      <c r="E3932" s="8">
        <v>100000</v>
      </c>
      <c r="F3932" s="92">
        <f t="shared" si="55"/>
        <v>100936</v>
      </c>
    </row>
    <row r="3933" spans="1:6" x14ac:dyDescent="0.25">
      <c r="A3933" s="204">
        <v>43112</v>
      </c>
      <c r="B3933" s="26" t="s">
        <v>17</v>
      </c>
      <c r="C3933" s="26" t="s">
        <v>1052</v>
      </c>
      <c r="D3933" s="8">
        <v>5000</v>
      </c>
      <c r="E3933" s="8"/>
      <c r="F3933" s="92">
        <f t="shared" si="55"/>
        <v>95936</v>
      </c>
    </row>
    <row r="3934" spans="1:6" x14ac:dyDescent="0.25">
      <c r="A3934" s="204">
        <v>43112</v>
      </c>
      <c r="B3934" s="26" t="s">
        <v>17</v>
      </c>
      <c r="C3934" s="26" t="s">
        <v>3070</v>
      </c>
      <c r="D3934" s="8">
        <v>20000</v>
      </c>
      <c r="E3934" s="8"/>
      <c r="F3934" s="92">
        <f t="shared" si="55"/>
        <v>75936</v>
      </c>
    </row>
    <row r="3935" spans="1:6" x14ac:dyDescent="0.25">
      <c r="A3935" s="204">
        <v>43112</v>
      </c>
      <c r="B3935" s="26" t="s">
        <v>118</v>
      </c>
      <c r="C3935" s="26" t="s">
        <v>3071</v>
      </c>
      <c r="D3935" s="8">
        <v>25000</v>
      </c>
      <c r="E3935" s="8"/>
      <c r="F3935" s="92">
        <f t="shared" si="55"/>
        <v>50936</v>
      </c>
    </row>
    <row r="3936" spans="1:6" x14ac:dyDescent="0.25">
      <c r="A3936" s="204">
        <v>43112</v>
      </c>
      <c r="B3936" s="26" t="s">
        <v>29</v>
      </c>
      <c r="C3936" s="26" t="s">
        <v>3072</v>
      </c>
      <c r="D3936" s="8">
        <v>5000</v>
      </c>
      <c r="E3936" s="8"/>
      <c r="F3936" s="92">
        <f t="shared" si="55"/>
        <v>45936</v>
      </c>
    </row>
    <row r="3937" spans="1:10" x14ac:dyDescent="0.25">
      <c r="A3937" s="204">
        <v>43112</v>
      </c>
      <c r="B3937" s="26" t="s">
        <v>94</v>
      </c>
      <c r="C3937" s="26" t="s">
        <v>3067</v>
      </c>
      <c r="D3937" s="8">
        <v>5000</v>
      </c>
      <c r="E3937" s="8"/>
      <c r="F3937" s="92">
        <f t="shared" si="55"/>
        <v>40936</v>
      </c>
    </row>
    <row r="3938" spans="1:10" ht="30" x14ac:dyDescent="0.25">
      <c r="A3938" s="204">
        <v>43113</v>
      </c>
      <c r="B3938" s="199" t="s">
        <v>2597</v>
      </c>
      <c r="C3938" s="207" t="s">
        <v>3073</v>
      </c>
      <c r="D3938" s="91">
        <v>30000</v>
      </c>
      <c r="E3938" s="91"/>
      <c r="F3938" s="92">
        <f t="shared" si="55"/>
        <v>10936</v>
      </c>
    </row>
    <row r="3939" spans="1:10" x14ac:dyDescent="0.25">
      <c r="A3939" s="204">
        <v>43113</v>
      </c>
      <c r="B3939" s="26" t="s">
        <v>85</v>
      </c>
      <c r="C3939" s="26" t="s">
        <v>3076</v>
      </c>
      <c r="D3939" s="8">
        <v>1000</v>
      </c>
      <c r="E3939" s="8"/>
      <c r="F3939" s="92">
        <f t="shared" si="55"/>
        <v>9936</v>
      </c>
    </row>
    <row r="3940" spans="1:10" x14ac:dyDescent="0.25">
      <c r="A3940" s="204">
        <v>43113</v>
      </c>
      <c r="B3940" s="26" t="s">
        <v>85</v>
      </c>
      <c r="C3940" s="26" t="s">
        <v>3077</v>
      </c>
      <c r="D3940" s="8">
        <v>2000</v>
      </c>
      <c r="E3940" s="8"/>
      <c r="F3940" s="92">
        <f t="shared" si="55"/>
        <v>7936</v>
      </c>
    </row>
    <row r="3941" spans="1:10" x14ac:dyDescent="0.25">
      <c r="A3941" s="204">
        <v>43113</v>
      </c>
      <c r="B3941" s="26" t="s">
        <v>14</v>
      </c>
      <c r="C3941" s="26" t="s">
        <v>3078</v>
      </c>
      <c r="D3941" s="8">
        <v>5000</v>
      </c>
      <c r="E3941" s="8"/>
      <c r="F3941" s="92">
        <f t="shared" si="55"/>
        <v>2936</v>
      </c>
    </row>
    <row r="3942" spans="1:10" x14ac:dyDescent="0.25">
      <c r="A3942" s="204">
        <v>43113</v>
      </c>
      <c r="B3942" s="460" t="s">
        <v>3079</v>
      </c>
      <c r="C3942" s="460"/>
      <c r="D3942" s="8"/>
      <c r="E3942" s="8">
        <v>18150</v>
      </c>
      <c r="F3942" s="92">
        <f t="shared" si="55"/>
        <v>21086</v>
      </c>
    </row>
    <row r="3943" spans="1:10" x14ac:dyDescent="0.25">
      <c r="A3943" s="204">
        <v>43113</v>
      </c>
      <c r="B3943" s="26" t="s">
        <v>3080</v>
      </c>
      <c r="C3943" s="26" t="s">
        <v>3081</v>
      </c>
      <c r="D3943" s="8">
        <v>20000</v>
      </c>
      <c r="E3943" s="8"/>
      <c r="F3943" s="92">
        <f t="shared" si="55"/>
        <v>1086</v>
      </c>
    </row>
    <row r="3944" spans="1:10" x14ac:dyDescent="0.25">
      <c r="A3944" s="204">
        <v>43115</v>
      </c>
      <c r="B3944" s="26" t="s">
        <v>1840</v>
      </c>
      <c r="C3944" s="26" t="s">
        <v>3085</v>
      </c>
      <c r="D3944" s="8">
        <v>1000</v>
      </c>
      <c r="E3944" s="8"/>
      <c r="F3944" s="92">
        <f t="shared" si="55"/>
        <v>86</v>
      </c>
    </row>
    <row r="3945" spans="1:10" x14ac:dyDescent="0.25">
      <c r="A3945" s="204">
        <v>43115</v>
      </c>
      <c r="B3945" s="26" t="s">
        <v>248</v>
      </c>
      <c r="C3945" s="26" t="s">
        <v>3084</v>
      </c>
      <c r="D3945" s="8">
        <v>70</v>
      </c>
      <c r="E3945" s="8"/>
      <c r="F3945" s="92">
        <f t="shared" si="55"/>
        <v>16</v>
      </c>
    </row>
    <row r="3946" spans="1:10" x14ac:dyDescent="0.25">
      <c r="A3946" s="204">
        <v>43115</v>
      </c>
      <c r="B3946" s="460" t="s">
        <v>3087</v>
      </c>
      <c r="C3946" s="460"/>
      <c r="D3946" s="8"/>
      <c r="E3946" s="8">
        <v>100000</v>
      </c>
      <c r="F3946" s="92">
        <f t="shared" si="55"/>
        <v>100016</v>
      </c>
    </row>
    <row r="3947" spans="1:10" s="20" customFormat="1" x14ac:dyDescent="0.25">
      <c r="A3947" s="232">
        <v>43115</v>
      </c>
      <c r="B3947" s="28" t="s">
        <v>14</v>
      </c>
      <c r="C3947" s="28" t="s">
        <v>3088</v>
      </c>
      <c r="D3947" s="14">
        <v>42500</v>
      </c>
      <c r="E3947" s="14"/>
      <c r="F3947" s="92">
        <f t="shared" si="55"/>
        <v>57516</v>
      </c>
      <c r="H3947" s="24"/>
      <c r="I3947" s="24"/>
      <c r="J3947" s="24"/>
    </row>
    <row r="3948" spans="1:10" s="20" customFormat="1" x14ac:dyDescent="0.25">
      <c r="A3948" s="232">
        <v>43115</v>
      </c>
      <c r="B3948" s="28" t="s">
        <v>26</v>
      </c>
      <c r="C3948" s="28" t="s">
        <v>3091</v>
      </c>
      <c r="D3948" s="14">
        <v>70</v>
      </c>
      <c r="E3948" s="14"/>
      <c r="F3948" s="92">
        <f t="shared" si="55"/>
        <v>57446</v>
      </c>
      <c r="H3948" s="24"/>
      <c r="I3948" s="24"/>
      <c r="J3948" s="24"/>
    </row>
    <row r="3949" spans="1:10" s="20" customFormat="1" x14ac:dyDescent="0.25">
      <c r="A3949" s="232">
        <v>43115</v>
      </c>
      <c r="B3949" s="28" t="s">
        <v>26</v>
      </c>
      <c r="C3949" s="28" t="s">
        <v>3092</v>
      </c>
      <c r="D3949" s="14">
        <v>25</v>
      </c>
      <c r="E3949" s="14"/>
      <c r="F3949" s="92">
        <f t="shared" si="55"/>
        <v>57421</v>
      </c>
      <c r="H3949" s="24"/>
      <c r="I3949" s="24"/>
      <c r="J3949" s="24"/>
    </row>
    <row r="3950" spans="1:10" s="20" customFormat="1" x14ac:dyDescent="0.25">
      <c r="A3950" s="232">
        <v>43115</v>
      </c>
      <c r="B3950" s="28" t="s">
        <v>26</v>
      </c>
      <c r="C3950" s="28" t="s">
        <v>3093</v>
      </c>
      <c r="D3950" s="14">
        <v>50</v>
      </c>
      <c r="E3950" s="14"/>
      <c r="F3950" s="92">
        <f t="shared" si="55"/>
        <v>57371</v>
      </c>
      <c r="H3950" s="24"/>
      <c r="I3950" s="24"/>
      <c r="J3950" s="24"/>
    </row>
    <row r="3951" spans="1:10" s="20" customFormat="1" x14ac:dyDescent="0.25">
      <c r="A3951" s="232">
        <v>43115</v>
      </c>
      <c r="B3951" s="28" t="s">
        <v>26</v>
      </c>
      <c r="C3951" s="28" t="s">
        <v>942</v>
      </c>
      <c r="D3951" s="14">
        <v>380</v>
      </c>
      <c r="E3951" s="14"/>
      <c r="F3951" s="92">
        <f t="shared" si="55"/>
        <v>56991</v>
      </c>
      <c r="H3951" s="24"/>
      <c r="I3951" s="24"/>
      <c r="J3951" s="24"/>
    </row>
    <row r="3952" spans="1:10" x14ac:dyDescent="0.25">
      <c r="A3952" s="232">
        <v>43115</v>
      </c>
      <c r="B3952" s="26" t="s">
        <v>61</v>
      </c>
      <c r="C3952" s="26" t="s">
        <v>3086</v>
      </c>
      <c r="D3952" s="8">
        <v>8000</v>
      </c>
      <c r="E3952" s="8"/>
      <c r="F3952" s="92">
        <f t="shared" si="55"/>
        <v>48991</v>
      </c>
    </row>
    <row r="3953" spans="1:6" x14ac:dyDescent="0.25">
      <c r="A3953" s="232">
        <v>43115</v>
      </c>
      <c r="B3953" s="26" t="s">
        <v>2099</v>
      </c>
      <c r="C3953" s="26" t="s">
        <v>3089</v>
      </c>
      <c r="D3953" s="8">
        <v>45000</v>
      </c>
      <c r="E3953" s="8"/>
      <c r="F3953" s="92">
        <f t="shared" si="55"/>
        <v>3991</v>
      </c>
    </row>
    <row r="3954" spans="1:6" x14ac:dyDescent="0.25">
      <c r="A3954" s="232">
        <v>43115</v>
      </c>
      <c r="B3954" s="26" t="s">
        <v>85</v>
      </c>
      <c r="C3954" s="26" t="s">
        <v>3090</v>
      </c>
      <c r="D3954" s="8">
        <v>4000</v>
      </c>
      <c r="E3954" s="8"/>
      <c r="F3954" s="92">
        <f t="shared" si="55"/>
        <v>-9</v>
      </c>
    </row>
    <row r="3955" spans="1:6" x14ac:dyDescent="0.25">
      <c r="A3955" s="232">
        <v>43116</v>
      </c>
      <c r="B3955" s="460" t="s">
        <v>2668</v>
      </c>
      <c r="C3955" s="460"/>
      <c r="D3955" s="71"/>
      <c r="E3955" s="58">
        <v>50000</v>
      </c>
      <c r="F3955" s="92">
        <v>50000</v>
      </c>
    </row>
    <row r="3956" spans="1:6" x14ac:dyDescent="0.25">
      <c r="A3956" s="232">
        <v>43116</v>
      </c>
      <c r="B3956" s="26" t="s">
        <v>14</v>
      </c>
      <c r="C3956" s="26" t="s">
        <v>641</v>
      </c>
      <c r="D3956" s="8">
        <v>1000</v>
      </c>
      <c r="E3956" s="8"/>
      <c r="F3956" s="92">
        <f t="shared" si="55"/>
        <v>49000</v>
      </c>
    </row>
    <row r="3957" spans="1:6" x14ac:dyDescent="0.25">
      <c r="A3957" s="232">
        <v>43116</v>
      </c>
      <c r="B3957" s="26" t="s">
        <v>59</v>
      </c>
      <c r="C3957" s="26" t="s">
        <v>3094</v>
      </c>
      <c r="D3957" s="8">
        <v>4800</v>
      </c>
      <c r="E3957" s="8"/>
      <c r="F3957" s="92">
        <f t="shared" si="55"/>
        <v>44200</v>
      </c>
    </row>
    <row r="3958" spans="1:6" x14ac:dyDescent="0.25">
      <c r="A3958" s="232">
        <v>43116</v>
      </c>
      <c r="B3958" s="26" t="s">
        <v>2089</v>
      </c>
      <c r="C3958" s="26" t="s">
        <v>3095</v>
      </c>
      <c r="D3958" s="8">
        <v>1610</v>
      </c>
      <c r="E3958" s="8"/>
      <c r="F3958" s="92">
        <f t="shared" si="55"/>
        <v>42590</v>
      </c>
    </row>
    <row r="3959" spans="1:6" x14ac:dyDescent="0.25">
      <c r="A3959" s="232">
        <v>43116</v>
      </c>
      <c r="B3959" s="26" t="s">
        <v>26</v>
      </c>
      <c r="C3959" s="26" t="s">
        <v>1832</v>
      </c>
      <c r="D3959" s="8">
        <v>60</v>
      </c>
      <c r="E3959" s="8"/>
      <c r="F3959" s="92">
        <f t="shared" si="55"/>
        <v>42530</v>
      </c>
    </row>
    <row r="3960" spans="1:6" x14ac:dyDescent="0.25">
      <c r="A3960" s="232">
        <v>43116</v>
      </c>
      <c r="B3960" s="26" t="s">
        <v>26</v>
      </c>
      <c r="C3960" s="26" t="s">
        <v>3101</v>
      </c>
      <c r="D3960" s="8">
        <v>40</v>
      </c>
      <c r="E3960" s="8"/>
      <c r="F3960" s="92">
        <f t="shared" si="55"/>
        <v>42490</v>
      </c>
    </row>
    <row r="3961" spans="1:6" x14ac:dyDescent="0.25">
      <c r="A3961" s="232">
        <v>43116</v>
      </c>
      <c r="B3961" s="26" t="s">
        <v>26</v>
      </c>
      <c r="C3961" s="26" t="s">
        <v>3100</v>
      </c>
      <c r="D3961" s="8">
        <v>120</v>
      </c>
      <c r="E3961" s="8"/>
      <c r="F3961" s="92">
        <f t="shared" si="55"/>
        <v>42370</v>
      </c>
    </row>
    <row r="3962" spans="1:6" x14ac:dyDescent="0.25">
      <c r="A3962" s="232">
        <v>43116</v>
      </c>
      <c r="B3962" s="26" t="s">
        <v>26</v>
      </c>
      <c r="C3962" s="26" t="s">
        <v>3103</v>
      </c>
      <c r="D3962" s="8">
        <v>140</v>
      </c>
      <c r="E3962" s="8"/>
      <c r="F3962" s="92">
        <f t="shared" si="55"/>
        <v>42230</v>
      </c>
    </row>
    <row r="3963" spans="1:6" x14ac:dyDescent="0.25">
      <c r="A3963" s="232">
        <v>43116</v>
      </c>
      <c r="B3963" s="26" t="s">
        <v>59</v>
      </c>
      <c r="C3963" s="26" t="s">
        <v>3096</v>
      </c>
      <c r="D3963" s="8">
        <v>5000</v>
      </c>
      <c r="E3963" s="8"/>
      <c r="F3963" s="92">
        <f t="shared" si="55"/>
        <v>37230</v>
      </c>
    </row>
    <row r="3964" spans="1:6" x14ac:dyDescent="0.25">
      <c r="A3964" s="232">
        <v>43116</v>
      </c>
      <c r="B3964" s="26" t="s">
        <v>1196</v>
      </c>
      <c r="C3964" s="26" t="s">
        <v>3097</v>
      </c>
      <c r="D3964" s="8">
        <v>2400</v>
      </c>
      <c r="E3964" s="8"/>
      <c r="F3964" s="92">
        <f t="shared" si="55"/>
        <v>34830</v>
      </c>
    </row>
    <row r="3965" spans="1:6" x14ac:dyDescent="0.25">
      <c r="A3965" s="232">
        <v>43116</v>
      </c>
      <c r="B3965" s="29" t="s">
        <v>2089</v>
      </c>
      <c r="C3965" s="29" t="s">
        <v>3099</v>
      </c>
      <c r="D3965" s="14">
        <v>12000</v>
      </c>
      <c r="E3965" s="8"/>
      <c r="F3965" s="92">
        <f t="shared" si="55"/>
        <v>22830</v>
      </c>
    </row>
    <row r="3966" spans="1:6" x14ac:dyDescent="0.25">
      <c r="A3966" s="232">
        <v>43117</v>
      </c>
      <c r="B3966" s="26" t="s">
        <v>26</v>
      </c>
      <c r="C3966" s="26" t="s">
        <v>2662</v>
      </c>
      <c r="D3966" s="8">
        <v>360</v>
      </c>
      <c r="E3966" s="8"/>
      <c r="F3966" s="92">
        <f t="shared" si="55"/>
        <v>22470</v>
      </c>
    </row>
    <row r="3967" spans="1:6" x14ac:dyDescent="0.25">
      <c r="A3967" s="232">
        <v>43117</v>
      </c>
      <c r="B3967" s="26" t="s">
        <v>26</v>
      </c>
      <c r="C3967" s="26" t="s">
        <v>1464</v>
      </c>
      <c r="D3967" s="8">
        <v>180</v>
      </c>
      <c r="E3967" s="8"/>
      <c r="F3967" s="92">
        <f t="shared" si="55"/>
        <v>22290</v>
      </c>
    </row>
    <row r="3968" spans="1:6" x14ac:dyDescent="0.25">
      <c r="A3968" s="232">
        <v>43117</v>
      </c>
      <c r="B3968" s="26" t="s">
        <v>2089</v>
      </c>
      <c r="C3968" s="26" t="s">
        <v>3102</v>
      </c>
      <c r="D3968" s="8">
        <v>150</v>
      </c>
      <c r="E3968" s="8"/>
      <c r="F3968" s="92">
        <f t="shared" si="55"/>
        <v>22140</v>
      </c>
    </row>
    <row r="3969" spans="1:6" x14ac:dyDescent="0.25">
      <c r="A3969" s="232">
        <v>43117</v>
      </c>
      <c r="B3969" s="26" t="s">
        <v>87</v>
      </c>
      <c r="C3969" s="26" t="s">
        <v>3105</v>
      </c>
      <c r="D3969" s="8">
        <v>15000</v>
      </c>
      <c r="E3969" s="8"/>
      <c r="F3969" s="92">
        <f t="shared" si="55"/>
        <v>7140</v>
      </c>
    </row>
    <row r="3970" spans="1:6" x14ac:dyDescent="0.25">
      <c r="A3970" s="232">
        <v>43117</v>
      </c>
      <c r="B3970" s="460" t="s">
        <v>3104</v>
      </c>
      <c r="C3970" s="460"/>
      <c r="D3970" s="44"/>
      <c r="E3970" s="58">
        <v>500</v>
      </c>
      <c r="F3970" s="92">
        <f t="shared" ref="F3970:F4063" si="56">F3969-D3970+E3970</f>
        <v>7640</v>
      </c>
    </row>
    <row r="3971" spans="1:6" x14ac:dyDescent="0.25">
      <c r="A3971" s="232">
        <v>43117</v>
      </c>
      <c r="B3971" s="26" t="s">
        <v>2597</v>
      </c>
      <c r="C3971" s="26" t="s">
        <v>3098</v>
      </c>
      <c r="D3971" s="8">
        <v>7500</v>
      </c>
      <c r="E3971" s="8"/>
      <c r="F3971" s="92">
        <f t="shared" si="56"/>
        <v>140</v>
      </c>
    </row>
    <row r="3972" spans="1:6" x14ac:dyDescent="0.25">
      <c r="A3972" s="232">
        <v>43118</v>
      </c>
      <c r="B3972" s="460" t="s">
        <v>2668</v>
      </c>
      <c r="C3972" s="460"/>
      <c r="D3972" s="71"/>
      <c r="E3972" s="58">
        <v>50000</v>
      </c>
      <c r="F3972" s="92">
        <f t="shared" si="56"/>
        <v>50140</v>
      </c>
    </row>
    <row r="3973" spans="1:6" x14ac:dyDescent="0.25">
      <c r="A3973" s="232">
        <v>43118</v>
      </c>
      <c r="B3973" s="26" t="s">
        <v>1319</v>
      </c>
      <c r="C3973" s="26" t="s">
        <v>3117</v>
      </c>
      <c r="D3973" s="8">
        <v>15000</v>
      </c>
      <c r="E3973" s="8"/>
      <c r="F3973" s="92">
        <f t="shared" si="56"/>
        <v>35140</v>
      </c>
    </row>
    <row r="3974" spans="1:6" x14ac:dyDescent="0.25">
      <c r="A3974" s="232">
        <v>43118</v>
      </c>
      <c r="B3974" s="460" t="s">
        <v>3106</v>
      </c>
      <c r="C3974" s="460"/>
      <c r="D3974" s="44"/>
      <c r="E3974" s="58">
        <v>600</v>
      </c>
      <c r="F3974" s="92">
        <f t="shared" si="56"/>
        <v>35740</v>
      </c>
    </row>
    <row r="3975" spans="1:6" x14ac:dyDescent="0.25">
      <c r="A3975" s="232">
        <v>43118</v>
      </c>
      <c r="B3975" s="26" t="s">
        <v>85</v>
      </c>
      <c r="C3975" s="26" t="s">
        <v>3107</v>
      </c>
      <c r="D3975" s="8">
        <v>1000</v>
      </c>
      <c r="E3975" s="8"/>
      <c r="F3975" s="92">
        <f t="shared" si="56"/>
        <v>34740</v>
      </c>
    </row>
    <row r="3976" spans="1:6" x14ac:dyDescent="0.25">
      <c r="A3976" s="232">
        <v>43118</v>
      </c>
      <c r="B3976" s="26" t="s">
        <v>55</v>
      </c>
      <c r="C3976" s="26" t="s">
        <v>3108</v>
      </c>
      <c r="D3976" s="8">
        <v>7800</v>
      </c>
      <c r="E3976" s="8"/>
      <c r="F3976" s="92">
        <f t="shared" si="56"/>
        <v>26940</v>
      </c>
    </row>
    <row r="3977" spans="1:6" x14ac:dyDescent="0.25">
      <c r="A3977" s="232">
        <v>43118</v>
      </c>
      <c r="B3977" s="26" t="s">
        <v>87</v>
      </c>
      <c r="C3977" s="26" t="s">
        <v>3109</v>
      </c>
      <c r="D3977" s="8">
        <v>7000</v>
      </c>
      <c r="E3977" s="8"/>
      <c r="F3977" s="92">
        <f t="shared" si="56"/>
        <v>19940</v>
      </c>
    </row>
    <row r="3978" spans="1:6" x14ac:dyDescent="0.25">
      <c r="A3978" s="232">
        <v>43118</v>
      </c>
      <c r="B3978" s="26" t="s">
        <v>61</v>
      </c>
      <c r="C3978" s="26" t="s">
        <v>3110</v>
      </c>
      <c r="D3978" s="8">
        <v>1620</v>
      </c>
      <c r="E3978" s="8"/>
      <c r="F3978" s="92">
        <f t="shared" si="56"/>
        <v>18320</v>
      </c>
    </row>
    <row r="3979" spans="1:6" ht="30" x14ac:dyDescent="0.25">
      <c r="A3979" s="232">
        <v>43118</v>
      </c>
      <c r="B3979" s="26" t="s">
        <v>61</v>
      </c>
      <c r="C3979" s="87" t="s">
        <v>3111</v>
      </c>
      <c r="D3979" s="8">
        <v>1000</v>
      </c>
      <c r="E3979" s="8"/>
      <c r="F3979" s="92">
        <f t="shared" si="56"/>
        <v>17320</v>
      </c>
    </row>
    <row r="3980" spans="1:6" x14ac:dyDescent="0.25">
      <c r="A3980" s="232">
        <v>43118</v>
      </c>
      <c r="B3980" s="26" t="s">
        <v>1413</v>
      </c>
      <c r="C3980" s="26" t="s">
        <v>3112</v>
      </c>
      <c r="D3980" s="8">
        <v>4000</v>
      </c>
      <c r="E3980" s="8"/>
      <c r="F3980" s="92">
        <f t="shared" si="56"/>
        <v>13320</v>
      </c>
    </row>
    <row r="3981" spans="1:6" x14ac:dyDescent="0.25">
      <c r="A3981" s="232">
        <v>43118</v>
      </c>
      <c r="B3981" s="26" t="s">
        <v>17</v>
      </c>
      <c r="C3981" s="26" t="s">
        <v>32</v>
      </c>
      <c r="D3981" s="8">
        <v>1700</v>
      </c>
      <c r="E3981" s="8"/>
      <c r="F3981" s="92">
        <f t="shared" si="56"/>
        <v>11620</v>
      </c>
    </row>
    <row r="3982" spans="1:6" x14ac:dyDescent="0.25">
      <c r="A3982" s="232">
        <v>43118</v>
      </c>
      <c r="B3982" s="26" t="s">
        <v>248</v>
      </c>
      <c r="C3982" s="26" t="s">
        <v>3113</v>
      </c>
      <c r="D3982" s="8">
        <v>80</v>
      </c>
      <c r="E3982" s="8"/>
      <c r="F3982" s="92">
        <f t="shared" si="56"/>
        <v>11540</v>
      </c>
    </row>
    <row r="3983" spans="1:6" x14ac:dyDescent="0.25">
      <c r="A3983" s="232">
        <v>43119</v>
      </c>
      <c r="B3983" s="26" t="s">
        <v>85</v>
      </c>
      <c r="C3983" s="26" t="s">
        <v>3114</v>
      </c>
      <c r="D3983" s="8">
        <v>2000</v>
      </c>
      <c r="E3983" s="8"/>
      <c r="F3983" s="92">
        <f t="shared" si="56"/>
        <v>9540</v>
      </c>
    </row>
    <row r="3984" spans="1:6" x14ac:dyDescent="0.25">
      <c r="A3984" s="232">
        <v>43119</v>
      </c>
      <c r="B3984" s="26" t="s">
        <v>1840</v>
      </c>
      <c r="C3984" s="26" t="s">
        <v>3115</v>
      </c>
      <c r="D3984" s="8">
        <v>1000</v>
      </c>
      <c r="E3984" s="8"/>
      <c r="F3984" s="92">
        <f t="shared" si="56"/>
        <v>8540</v>
      </c>
    </row>
    <row r="3985" spans="1:6" x14ac:dyDescent="0.25">
      <c r="A3985" s="232">
        <v>43119</v>
      </c>
      <c r="B3985" s="180" t="s">
        <v>1840</v>
      </c>
      <c r="C3985" s="180" t="s">
        <v>3116</v>
      </c>
      <c r="D3985" s="57">
        <v>1500</v>
      </c>
      <c r="E3985" s="8"/>
      <c r="F3985" s="92">
        <f t="shared" si="56"/>
        <v>7040</v>
      </c>
    </row>
    <row r="3986" spans="1:6" x14ac:dyDescent="0.25">
      <c r="A3986" s="232">
        <v>43119</v>
      </c>
      <c r="B3986" s="26" t="s">
        <v>2333</v>
      </c>
      <c r="C3986" s="26" t="s">
        <v>3118</v>
      </c>
      <c r="D3986" s="8">
        <v>4050</v>
      </c>
      <c r="E3986" s="8"/>
      <c r="F3986" s="92">
        <f t="shared" si="56"/>
        <v>2990</v>
      </c>
    </row>
    <row r="3987" spans="1:6" x14ac:dyDescent="0.25">
      <c r="A3987" s="232">
        <v>43119</v>
      </c>
      <c r="B3987" s="26" t="s">
        <v>26</v>
      </c>
      <c r="C3987" s="26" t="s">
        <v>3119</v>
      </c>
      <c r="D3987" s="8">
        <v>370</v>
      </c>
      <c r="E3987" s="8"/>
      <c r="F3987" s="92">
        <f t="shared" si="56"/>
        <v>2620</v>
      </c>
    </row>
    <row r="3988" spans="1:6" x14ac:dyDescent="0.25">
      <c r="A3988" s="232">
        <v>43119</v>
      </c>
      <c r="B3988" s="26" t="s">
        <v>26</v>
      </c>
      <c r="C3988" s="26" t="s">
        <v>1832</v>
      </c>
      <c r="D3988" s="8">
        <v>60</v>
      </c>
      <c r="E3988" s="8"/>
      <c r="F3988" s="92">
        <f t="shared" si="56"/>
        <v>2560</v>
      </c>
    </row>
    <row r="3989" spans="1:6" x14ac:dyDescent="0.25">
      <c r="A3989" s="232">
        <v>43119</v>
      </c>
      <c r="B3989" s="26" t="s">
        <v>26</v>
      </c>
      <c r="C3989" s="26" t="s">
        <v>3120</v>
      </c>
      <c r="D3989" s="8">
        <v>100</v>
      </c>
      <c r="E3989" s="8"/>
      <c r="F3989" s="92">
        <f t="shared" si="56"/>
        <v>2460</v>
      </c>
    </row>
    <row r="3990" spans="1:6" x14ac:dyDescent="0.25">
      <c r="A3990" s="232">
        <v>43119</v>
      </c>
      <c r="B3990" s="26" t="s">
        <v>26</v>
      </c>
      <c r="C3990" s="26" t="s">
        <v>3121</v>
      </c>
      <c r="D3990" s="8">
        <v>84</v>
      </c>
      <c r="E3990" s="8"/>
      <c r="F3990" s="92">
        <f t="shared" si="56"/>
        <v>2376</v>
      </c>
    </row>
    <row r="3991" spans="1:6" x14ac:dyDescent="0.25">
      <c r="A3991" s="232">
        <v>43122</v>
      </c>
      <c r="B3991" s="460" t="s">
        <v>1984</v>
      </c>
      <c r="C3991" s="460"/>
      <c r="D3991" s="44"/>
      <c r="E3991" s="58">
        <v>20000</v>
      </c>
      <c r="F3991" s="92">
        <f t="shared" si="56"/>
        <v>22376</v>
      </c>
    </row>
    <row r="3992" spans="1:6" x14ac:dyDescent="0.25">
      <c r="A3992" s="232">
        <v>43122</v>
      </c>
      <c r="B3992" s="26" t="s">
        <v>55</v>
      </c>
      <c r="C3992" s="26" t="s">
        <v>3122</v>
      </c>
      <c r="D3992" s="8">
        <v>15980</v>
      </c>
      <c r="E3992" s="8"/>
      <c r="F3992" s="92">
        <f t="shared" si="56"/>
        <v>6396</v>
      </c>
    </row>
    <row r="3993" spans="1:6" x14ac:dyDescent="0.25">
      <c r="A3993" s="232">
        <v>43122</v>
      </c>
      <c r="B3993" s="26" t="s">
        <v>2597</v>
      </c>
      <c r="C3993" s="26" t="s">
        <v>3123</v>
      </c>
      <c r="D3993" s="8">
        <v>1150</v>
      </c>
      <c r="E3993" s="8"/>
      <c r="F3993" s="92">
        <f t="shared" si="56"/>
        <v>5246</v>
      </c>
    </row>
    <row r="3994" spans="1:6" x14ac:dyDescent="0.25">
      <c r="A3994" s="232">
        <v>43122</v>
      </c>
      <c r="B3994" s="26" t="s">
        <v>2597</v>
      </c>
      <c r="C3994" s="26" t="s">
        <v>3137</v>
      </c>
      <c r="D3994" s="8">
        <v>2000</v>
      </c>
      <c r="E3994" s="8"/>
      <c r="F3994" s="92">
        <f t="shared" si="56"/>
        <v>3246</v>
      </c>
    </row>
    <row r="3995" spans="1:6" x14ac:dyDescent="0.25">
      <c r="A3995" s="232">
        <v>43122</v>
      </c>
      <c r="B3995" s="180" t="s">
        <v>29</v>
      </c>
      <c r="C3995" s="180" t="s">
        <v>3124</v>
      </c>
      <c r="D3995" s="57">
        <v>2000</v>
      </c>
      <c r="E3995" s="8"/>
      <c r="F3995" s="92">
        <f t="shared" si="56"/>
        <v>1246</v>
      </c>
    </row>
    <row r="3996" spans="1:6" x14ac:dyDescent="0.25">
      <c r="A3996" s="232">
        <v>43122</v>
      </c>
      <c r="B3996" s="26" t="s">
        <v>26</v>
      </c>
      <c r="C3996" s="26" t="s">
        <v>3125</v>
      </c>
      <c r="D3996" s="8">
        <v>218</v>
      </c>
      <c r="E3996" s="8"/>
      <c r="F3996" s="92">
        <f t="shared" si="56"/>
        <v>1028</v>
      </c>
    </row>
    <row r="3997" spans="1:6" x14ac:dyDescent="0.25">
      <c r="A3997" s="232">
        <v>43122</v>
      </c>
      <c r="B3997" s="26" t="s">
        <v>26</v>
      </c>
      <c r="C3997" s="26" t="s">
        <v>3126</v>
      </c>
      <c r="D3997" s="8">
        <f>380+220</f>
        <v>600</v>
      </c>
      <c r="E3997" s="8"/>
      <c r="F3997" s="92">
        <f t="shared" si="56"/>
        <v>428</v>
      </c>
    </row>
    <row r="3998" spans="1:6" x14ac:dyDescent="0.25">
      <c r="A3998" s="232">
        <v>43122</v>
      </c>
      <c r="B3998" s="26" t="s">
        <v>2730</v>
      </c>
      <c r="C3998" s="26" t="s">
        <v>3127</v>
      </c>
      <c r="D3998" s="8">
        <v>260</v>
      </c>
      <c r="E3998" s="8"/>
      <c r="F3998" s="92">
        <f t="shared" si="56"/>
        <v>168</v>
      </c>
    </row>
    <row r="3999" spans="1:6" x14ac:dyDescent="0.25">
      <c r="A3999" s="232">
        <v>43123</v>
      </c>
      <c r="B3999" s="460" t="s">
        <v>2668</v>
      </c>
      <c r="C3999" s="460"/>
      <c r="D3999" s="71"/>
      <c r="E3999" s="58">
        <v>50000</v>
      </c>
      <c r="F3999" s="92">
        <f t="shared" si="56"/>
        <v>50168</v>
      </c>
    </row>
    <row r="4000" spans="1:6" x14ac:dyDescent="0.25">
      <c r="A4000" s="232">
        <v>43123</v>
      </c>
      <c r="B4000" s="26" t="s">
        <v>85</v>
      </c>
      <c r="C4000" s="26" t="s">
        <v>3128</v>
      </c>
      <c r="D4000" s="8">
        <v>2000</v>
      </c>
      <c r="E4000" s="8"/>
      <c r="F4000" s="92">
        <f t="shared" si="56"/>
        <v>48168</v>
      </c>
    </row>
    <row r="4001" spans="1:6" x14ac:dyDescent="0.25">
      <c r="A4001" s="232">
        <v>43123</v>
      </c>
      <c r="B4001" s="26" t="s">
        <v>2597</v>
      </c>
      <c r="C4001" s="26" t="s">
        <v>3129</v>
      </c>
      <c r="D4001" s="8">
        <v>30000</v>
      </c>
      <c r="E4001" s="8"/>
      <c r="F4001" s="92">
        <f t="shared" si="56"/>
        <v>18168</v>
      </c>
    </row>
    <row r="4002" spans="1:6" x14ac:dyDescent="0.25">
      <c r="A4002" s="232">
        <v>43123</v>
      </c>
      <c r="B4002" s="26" t="s">
        <v>1346</v>
      </c>
      <c r="C4002" s="26" t="s">
        <v>3130</v>
      </c>
      <c r="D4002" s="8">
        <v>7000</v>
      </c>
      <c r="E4002" s="8"/>
      <c r="F4002" s="92">
        <f t="shared" si="56"/>
        <v>11168</v>
      </c>
    </row>
    <row r="4003" spans="1:6" x14ac:dyDescent="0.25">
      <c r="A4003" s="232">
        <v>43123</v>
      </c>
      <c r="B4003" s="26" t="s">
        <v>2333</v>
      </c>
      <c r="C4003" s="26" t="s">
        <v>3131</v>
      </c>
      <c r="D4003" s="8">
        <v>5284</v>
      </c>
      <c r="E4003" s="8"/>
      <c r="F4003" s="92">
        <f t="shared" si="56"/>
        <v>5884</v>
      </c>
    </row>
    <row r="4004" spans="1:6" x14ac:dyDescent="0.25">
      <c r="A4004" s="232">
        <v>43123</v>
      </c>
      <c r="B4004" s="26" t="s">
        <v>1196</v>
      </c>
      <c r="C4004" s="26" t="s">
        <v>3132</v>
      </c>
      <c r="D4004" s="8">
        <v>1800</v>
      </c>
      <c r="E4004" s="8"/>
      <c r="F4004" s="92">
        <f t="shared" si="56"/>
        <v>4084</v>
      </c>
    </row>
    <row r="4005" spans="1:6" x14ac:dyDescent="0.25">
      <c r="A4005" s="232">
        <v>43123</v>
      </c>
      <c r="B4005" s="26" t="s">
        <v>26</v>
      </c>
      <c r="C4005" s="26" t="s">
        <v>3038</v>
      </c>
      <c r="D4005" s="8">
        <v>70</v>
      </c>
      <c r="E4005" s="8"/>
      <c r="F4005" s="92">
        <f t="shared" si="56"/>
        <v>4014</v>
      </c>
    </row>
    <row r="4006" spans="1:6" x14ac:dyDescent="0.25">
      <c r="A4006" s="232">
        <v>43123</v>
      </c>
      <c r="B4006" s="26" t="s">
        <v>87</v>
      </c>
      <c r="C4006" s="26" t="s">
        <v>3133</v>
      </c>
      <c r="D4006" s="8">
        <v>500</v>
      </c>
      <c r="E4006" s="8"/>
      <c r="F4006" s="92">
        <f t="shared" si="56"/>
        <v>3514</v>
      </c>
    </row>
    <row r="4007" spans="1:6" x14ac:dyDescent="0.25">
      <c r="A4007" s="232">
        <v>43123</v>
      </c>
      <c r="B4007" s="26" t="s">
        <v>0</v>
      </c>
      <c r="C4007" s="26" t="s">
        <v>3134</v>
      </c>
      <c r="D4007" s="8">
        <v>170</v>
      </c>
      <c r="E4007" s="8"/>
      <c r="F4007" s="92">
        <f t="shared" si="56"/>
        <v>3344</v>
      </c>
    </row>
    <row r="4008" spans="1:6" x14ac:dyDescent="0.25">
      <c r="A4008" s="232">
        <v>43123</v>
      </c>
      <c r="B4008" s="26" t="s">
        <v>26</v>
      </c>
      <c r="C4008" s="26" t="s">
        <v>2662</v>
      </c>
      <c r="D4008" s="8">
        <v>360</v>
      </c>
      <c r="E4008" s="8"/>
      <c r="F4008" s="92">
        <f t="shared" si="56"/>
        <v>2984</v>
      </c>
    </row>
    <row r="4009" spans="1:6" x14ac:dyDescent="0.25">
      <c r="A4009" s="232">
        <v>43123</v>
      </c>
      <c r="B4009" s="26" t="s">
        <v>17</v>
      </c>
      <c r="C4009" s="26" t="s">
        <v>3135</v>
      </c>
      <c r="D4009" s="8">
        <v>566</v>
      </c>
      <c r="E4009" s="8"/>
      <c r="F4009" s="92">
        <f t="shared" si="56"/>
        <v>2418</v>
      </c>
    </row>
    <row r="4010" spans="1:6" x14ac:dyDescent="0.25">
      <c r="A4010" s="232">
        <v>43123</v>
      </c>
      <c r="B4010" s="26" t="s">
        <v>26</v>
      </c>
      <c r="C4010" s="26" t="s">
        <v>668</v>
      </c>
      <c r="D4010" s="8">
        <v>100</v>
      </c>
      <c r="E4010" s="8"/>
      <c r="F4010" s="92">
        <f t="shared" si="56"/>
        <v>2318</v>
      </c>
    </row>
    <row r="4011" spans="1:6" x14ac:dyDescent="0.25">
      <c r="A4011" s="232">
        <v>43123</v>
      </c>
      <c r="B4011" s="26" t="s">
        <v>61</v>
      </c>
      <c r="C4011" s="26" t="s">
        <v>3136</v>
      </c>
      <c r="D4011" s="8">
        <v>2100</v>
      </c>
      <c r="E4011" s="8"/>
      <c r="F4011" s="92">
        <f t="shared" si="56"/>
        <v>218</v>
      </c>
    </row>
    <row r="4012" spans="1:6" x14ac:dyDescent="0.25">
      <c r="A4012" s="232">
        <v>43124</v>
      </c>
      <c r="B4012" s="460" t="s">
        <v>2668</v>
      </c>
      <c r="C4012" s="460"/>
      <c r="D4012" s="71"/>
      <c r="E4012" s="58">
        <v>75000</v>
      </c>
      <c r="F4012" s="92">
        <f t="shared" si="56"/>
        <v>75218</v>
      </c>
    </row>
    <row r="4013" spans="1:6" ht="30" x14ac:dyDescent="0.25">
      <c r="A4013" s="232">
        <v>43124</v>
      </c>
      <c r="B4013" s="26" t="s">
        <v>26</v>
      </c>
      <c r="C4013" s="87" t="s">
        <v>3138</v>
      </c>
      <c r="D4013" s="8">
        <v>300</v>
      </c>
      <c r="E4013" s="8"/>
      <c r="F4013" s="92">
        <f t="shared" si="56"/>
        <v>74918</v>
      </c>
    </row>
    <row r="4014" spans="1:6" x14ac:dyDescent="0.25">
      <c r="A4014" s="232">
        <v>43124</v>
      </c>
      <c r="B4014" s="26" t="s">
        <v>59</v>
      </c>
      <c r="C4014" s="87" t="s">
        <v>2016</v>
      </c>
      <c r="D4014" s="8">
        <v>50</v>
      </c>
      <c r="E4014" s="8"/>
      <c r="F4014" s="92">
        <f t="shared" si="56"/>
        <v>74868</v>
      </c>
    </row>
    <row r="4015" spans="1:6" x14ac:dyDescent="0.25">
      <c r="A4015" s="232">
        <v>43124</v>
      </c>
      <c r="B4015" s="26" t="s">
        <v>2597</v>
      </c>
      <c r="C4015" s="26" t="s">
        <v>3139</v>
      </c>
      <c r="D4015" s="8">
        <v>40000</v>
      </c>
      <c r="E4015" s="8"/>
      <c r="F4015" s="92">
        <f t="shared" si="56"/>
        <v>34868</v>
      </c>
    </row>
    <row r="4016" spans="1:6" x14ac:dyDescent="0.25">
      <c r="A4016" s="232">
        <v>43124</v>
      </c>
      <c r="B4016" s="26" t="s">
        <v>1840</v>
      </c>
      <c r="C4016" s="26" t="s">
        <v>3140</v>
      </c>
      <c r="D4016" s="8">
        <v>1500</v>
      </c>
      <c r="E4016" s="8"/>
      <c r="F4016" s="92">
        <f t="shared" si="56"/>
        <v>33368</v>
      </c>
    </row>
    <row r="4017" spans="1:6" x14ac:dyDescent="0.25">
      <c r="A4017" s="232">
        <v>43124</v>
      </c>
      <c r="B4017" s="26" t="s">
        <v>3141</v>
      </c>
      <c r="C4017" s="26" t="s">
        <v>3142</v>
      </c>
      <c r="D4017" s="8">
        <v>21494</v>
      </c>
      <c r="E4017" s="8"/>
      <c r="F4017" s="92">
        <f t="shared" si="56"/>
        <v>11874</v>
      </c>
    </row>
    <row r="4018" spans="1:6" x14ac:dyDescent="0.25">
      <c r="A4018" s="232">
        <v>43124</v>
      </c>
      <c r="B4018" s="26" t="s">
        <v>17</v>
      </c>
      <c r="C4018" s="26" t="s">
        <v>3143</v>
      </c>
      <c r="D4018" s="8">
        <v>1550</v>
      </c>
      <c r="E4018" s="8"/>
      <c r="F4018" s="92">
        <f t="shared" si="56"/>
        <v>10324</v>
      </c>
    </row>
    <row r="4019" spans="1:6" x14ac:dyDescent="0.25">
      <c r="A4019" s="232">
        <v>43124</v>
      </c>
      <c r="B4019" s="26" t="s">
        <v>694</v>
      </c>
      <c r="C4019" s="26" t="s">
        <v>3144</v>
      </c>
      <c r="D4019" s="8">
        <v>8000</v>
      </c>
      <c r="E4019" s="8"/>
      <c r="F4019" s="92">
        <f t="shared" si="56"/>
        <v>2324</v>
      </c>
    </row>
    <row r="4020" spans="1:6" x14ac:dyDescent="0.25">
      <c r="A4020" s="232">
        <v>43124</v>
      </c>
      <c r="B4020" s="26" t="s">
        <v>14</v>
      </c>
      <c r="C4020" s="26" t="s">
        <v>1533</v>
      </c>
      <c r="D4020" s="8">
        <v>450</v>
      </c>
      <c r="E4020" s="8"/>
      <c r="F4020" s="92">
        <f t="shared" si="56"/>
        <v>1874</v>
      </c>
    </row>
    <row r="4021" spans="1:6" x14ac:dyDescent="0.25">
      <c r="A4021" s="232">
        <v>43124</v>
      </c>
      <c r="B4021" s="26" t="s">
        <v>2958</v>
      </c>
      <c r="C4021" s="26" t="s">
        <v>3145</v>
      </c>
      <c r="D4021" s="8">
        <v>1624</v>
      </c>
      <c r="E4021" s="8"/>
      <c r="F4021" s="92">
        <f t="shared" si="56"/>
        <v>250</v>
      </c>
    </row>
    <row r="4022" spans="1:6" x14ac:dyDescent="0.25">
      <c r="A4022" s="232">
        <v>43125</v>
      </c>
      <c r="B4022" s="460" t="s">
        <v>2668</v>
      </c>
      <c r="C4022" s="460"/>
      <c r="D4022" s="71"/>
      <c r="E4022" s="58">
        <v>50000</v>
      </c>
      <c r="F4022" s="92">
        <f t="shared" si="56"/>
        <v>50250</v>
      </c>
    </row>
    <row r="4023" spans="1:6" x14ac:dyDescent="0.25">
      <c r="A4023" s="232">
        <v>43125</v>
      </c>
      <c r="B4023" s="26" t="s">
        <v>2597</v>
      </c>
      <c r="C4023" s="26" t="s">
        <v>3146</v>
      </c>
      <c r="D4023" s="8">
        <v>25000</v>
      </c>
      <c r="E4023" s="8"/>
      <c r="F4023" s="92">
        <f t="shared" si="56"/>
        <v>25250</v>
      </c>
    </row>
    <row r="4024" spans="1:6" x14ac:dyDescent="0.25">
      <c r="A4024" s="232">
        <v>43125</v>
      </c>
      <c r="B4024" s="26" t="s">
        <v>59</v>
      </c>
      <c r="C4024" s="26" t="s">
        <v>3150</v>
      </c>
      <c r="D4024" s="8">
        <v>300</v>
      </c>
      <c r="E4024" s="8"/>
      <c r="F4024" s="92">
        <f t="shared" si="56"/>
        <v>24950</v>
      </c>
    </row>
    <row r="4025" spans="1:6" x14ac:dyDescent="0.25">
      <c r="A4025" s="232">
        <v>43125</v>
      </c>
      <c r="B4025" s="26" t="s">
        <v>2677</v>
      </c>
      <c r="C4025" s="26" t="s">
        <v>3147</v>
      </c>
      <c r="D4025" s="8">
        <v>3360</v>
      </c>
      <c r="E4025" s="8"/>
      <c r="F4025" s="92">
        <f t="shared" si="56"/>
        <v>21590</v>
      </c>
    </row>
    <row r="4026" spans="1:6" x14ac:dyDescent="0.25">
      <c r="A4026" s="232">
        <v>43125</v>
      </c>
      <c r="B4026" s="26" t="s">
        <v>2099</v>
      </c>
      <c r="C4026" s="26" t="s">
        <v>439</v>
      </c>
      <c r="D4026" s="8">
        <v>10000</v>
      </c>
      <c r="E4026" s="8"/>
      <c r="F4026" s="92">
        <f>F4025-D4026+E4026</f>
        <v>11590</v>
      </c>
    </row>
    <row r="4027" spans="1:6" x14ac:dyDescent="0.25">
      <c r="A4027" s="232">
        <v>43125</v>
      </c>
      <c r="B4027" s="26" t="s">
        <v>2333</v>
      </c>
      <c r="C4027" s="26" t="s">
        <v>2131</v>
      </c>
      <c r="D4027" s="8">
        <v>4840</v>
      </c>
      <c r="E4027" s="8"/>
      <c r="F4027" s="92">
        <f t="shared" si="56"/>
        <v>6750</v>
      </c>
    </row>
    <row r="4028" spans="1:6" x14ac:dyDescent="0.25">
      <c r="A4028" s="232">
        <v>43125</v>
      </c>
      <c r="B4028" s="26" t="s">
        <v>1840</v>
      </c>
      <c r="C4028" s="26" t="s">
        <v>3148</v>
      </c>
      <c r="D4028" s="8">
        <v>70</v>
      </c>
      <c r="E4028" s="8"/>
      <c r="F4028" s="92">
        <f t="shared" si="56"/>
        <v>6680</v>
      </c>
    </row>
    <row r="4029" spans="1:6" x14ac:dyDescent="0.25">
      <c r="A4029" s="232">
        <v>43125</v>
      </c>
      <c r="B4029" s="26" t="s">
        <v>17</v>
      </c>
      <c r="C4029" s="26" t="s">
        <v>3149</v>
      </c>
      <c r="D4029" s="8">
        <v>1100</v>
      </c>
      <c r="E4029" s="8"/>
      <c r="F4029" s="92">
        <f t="shared" si="56"/>
        <v>5580</v>
      </c>
    </row>
    <row r="4030" spans="1:6" x14ac:dyDescent="0.25">
      <c r="A4030" s="232">
        <v>43125</v>
      </c>
      <c r="B4030" s="26" t="s">
        <v>85</v>
      </c>
      <c r="C4030" s="26" t="s">
        <v>3151</v>
      </c>
      <c r="D4030" s="8">
        <v>5000</v>
      </c>
      <c r="E4030" s="8"/>
      <c r="F4030" s="92">
        <f t="shared" si="56"/>
        <v>580</v>
      </c>
    </row>
    <row r="4031" spans="1:6" x14ac:dyDescent="0.25">
      <c r="A4031" s="232">
        <v>43125</v>
      </c>
      <c r="B4031" s="26" t="s">
        <v>26</v>
      </c>
      <c r="C4031" s="26" t="s">
        <v>3152</v>
      </c>
      <c r="D4031" s="8">
        <v>100</v>
      </c>
      <c r="E4031" s="8"/>
      <c r="F4031" s="92">
        <f t="shared" si="56"/>
        <v>480</v>
      </c>
    </row>
    <row r="4032" spans="1:6" x14ac:dyDescent="0.25">
      <c r="A4032" s="232">
        <v>43125</v>
      </c>
      <c r="B4032" s="26" t="s">
        <v>26</v>
      </c>
      <c r="C4032" s="26" t="s">
        <v>3153</v>
      </c>
      <c r="D4032" s="8">
        <v>90</v>
      </c>
      <c r="E4032" s="8"/>
      <c r="F4032" s="92">
        <f t="shared" si="56"/>
        <v>390</v>
      </c>
    </row>
    <row r="4033" spans="1:6" x14ac:dyDescent="0.25">
      <c r="A4033" s="232">
        <v>43125</v>
      </c>
      <c r="B4033" s="26" t="s">
        <v>26</v>
      </c>
      <c r="C4033" s="26" t="s">
        <v>1832</v>
      </c>
      <c r="D4033" s="8">
        <v>60</v>
      </c>
      <c r="E4033" s="8"/>
      <c r="F4033" s="92">
        <f t="shared" si="56"/>
        <v>330</v>
      </c>
    </row>
    <row r="4034" spans="1:6" x14ac:dyDescent="0.25">
      <c r="A4034" s="232">
        <v>43125</v>
      </c>
      <c r="B4034" s="26" t="s">
        <v>26</v>
      </c>
      <c r="C4034" s="26" t="s">
        <v>2205</v>
      </c>
      <c r="D4034" s="8">
        <v>360</v>
      </c>
      <c r="E4034" s="8"/>
      <c r="F4034" s="92">
        <f t="shared" si="56"/>
        <v>-30</v>
      </c>
    </row>
    <row r="4035" spans="1:6" x14ac:dyDescent="0.25">
      <c r="A4035" s="232">
        <v>43125</v>
      </c>
      <c r="B4035" s="26" t="s">
        <v>26</v>
      </c>
      <c r="C4035" s="26" t="s">
        <v>3032</v>
      </c>
      <c r="D4035" s="8">
        <v>40</v>
      </c>
      <c r="E4035" s="8"/>
      <c r="F4035" s="92">
        <f t="shared" si="56"/>
        <v>-70</v>
      </c>
    </row>
    <row r="4036" spans="1:6" x14ac:dyDescent="0.25">
      <c r="A4036" s="232">
        <v>43126</v>
      </c>
      <c r="B4036" s="460" t="s">
        <v>2668</v>
      </c>
      <c r="C4036" s="460"/>
      <c r="D4036" s="71"/>
      <c r="E4036" s="58">
        <v>50000</v>
      </c>
      <c r="F4036" s="92">
        <f t="shared" si="56"/>
        <v>49930</v>
      </c>
    </row>
    <row r="4037" spans="1:6" x14ac:dyDescent="0.25">
      <c r="A4037" s="233">
        <v>43126</v>
      </c>
      <c r="B4037" s="180" t="s">
        <v>1840</v>
      </c>
      <c r="C4037" s="180" t="s">
        <v>3154</v>
      </c>
      <c r="D4037" s="57">
        <v>1000</v>
      </c>
      <c r="E4037" s="57"/>
      <c r="F4037" s="291">
        <f t="shared" si="56"/>
        <v>48930</v>
      </c>
    </row>
    <row r="4038" spans="1:6" ht="30" x14ac:dyDescent="0.25">
      <c r="A4038" s="232">
        <v>43126</v>
      </c>
      <c r="B4038" s="26" t="s">
        <v>59</v>
      </c>
      <c r="C4038" s="87" t="s">
        <v>3155</v>
      </c>
      <c r="D4038" s="8">
        <v>150</v>
      </c>
      <c r="E4038" s="8"/>
      <c r="F4038" s="92">
        <f t="shared" si="56"/>
        <v>48780</v>
      </c>
    </row>
    <row r="4039" spans="1:6" x14ac:dyDescent="0.25">
      <c r="A4039" s="232">
        <v>43126</v>
      </c>
      <c r="B4039" s="26" t="s">
        <v>542</v>
      </c>
      <c r="C4039" s="26" t="s">
        <v>3168</v>
      </c>
      <c r="D4039" s="8">
        <v>9500</v>
      </c>
      <c r="E4039" s="8"/>
      <c r="F4039" s="92">
        <f t="shared" si="56"/>
        <v>39280</v>
      </c>
    </row>
    <row r="4040" spans="1:6" x14ac:dyDescent="0.25">
      <c r="A4040" s="232">
        <v>43126</v>
      </c>
      <c r="B4040" s="26" t="s">
        <v>85</v>
      </c>
      <c r="C4040" s="26" t="s">
        <v>3156</v>
      </c>
      <c r="D4040" s="8">
        <v>500</v>
      </c>
      <c r="E4040" s="8"/>
      <c r="F4040" s="92">
        <f t="shared" si="56"/>
        <v>38780</v>
      </c>
    </row>
    <row r="4041" spans="1:6" x14ac:dyDescent="0.25">
      <c r="A4041" s="232">
        <v>43126</v>
      </c>
      <c r="B4041" s="26" t="s">
        <v>248</v>
      </c>
      <c r="C4041" s="26" t="s">
        <v>3157</v>
      </c>
      <c r="D4041" s="8">
        <f>140+420</f>
        <v>560</v>
      </c>
      <c r="E4041" s="8"/>
      <c r="F4041" s="92">
        <f t="shared" si="56"/>
        <v>38220</v>
      </c>
    </row>
    <row r="4042" spans="1:6" x14ac:dyDescent="0.25">
      <c r="A4042" s="232">
        <v>43126</v>
      </c>
      <c r="B4042" s="26" t="s">
        <v>61</v>
      </c>
      <c r="C4042" s="26" t="s">
        <v>2748</v>
      </c>
      <c r="D4042" s="8">
        <v>2500</v>
      </c>
      <c r="E4042" s="8"/>
      <c r="F4042" s="92">
        <f t="shared" si="56"/>
        <v>35720</v>
      </c>
    </row>
    <row r="4043" spans="1:6" x14ac:dyDescent="0.25">
      <c r="A4043" s="232">
        <v>43127</v>
      </c>
      <c r="B4043" s="26" t="s">
        <v>1346</v>
      </c>
      <c r="C4043" s="26" t="s">
        <v>3169</v>
      </c>
      <c r="D4043" s="8">
        <v>5000</v>
      </c>
      <c r="E4043" s="8"/>
      <c r="F4043" s="92">
        <f t="shared" si="56"/>
        <v>30720</v>
      </c>
    </row>
    <row r="4044" spans="1:6" x14ac:dyDescent="0.25">
      <c r="A4044" s="232">
        <v>43127</v>
      </c>
      <c r="B4044" s="26" t="s">
        <v>2597</v>
      </c>
      <c r="C4044" s="26" t="s">
        <v>3158</v>
      </c>
      <c r="D4044" s="8">
        <v>20000</v>
      </c>
      <c r="E4044" s="8"/>
      <c r="F4044" s="92">
        <f t="shared" si="56"/>
        <v>10720</v>
      </c>
    </row>
    <row r="4045" spans="1:6" x14ac:dyDescent="0.25">
      <c r="A4045" s="232">
        <v>43127</v>
      </c>
      <c r="B4045" s="26" t="s">
        <v>14</v>
      </c>
      <c r="C4045" s="26" t="s">
        <v>3158</v>
      </c>
      <c r="D4045" s="8">
        <v>10000</v>
      </c>
      <c r="E4045" s="8"/>
      <c r="F4045" s="92">
        <f t="shared" si="56"/>
        <v>720</v>
      </c>
    </row>
    <row r="4046" spans="1:6" x14ac:dyDescent="0.25">
      <c r="A4046" s="232">
        <v>43127</v>
      </c>
      <c r="B4046" s="26" t="s">
        <v>17</v>
      </c>
      <c r="C4046" s="26" t="s">
        <v>3011</v>
      </c>
      <c r="D4046" s="8">
        <v>600</v>
      </c>
      <c r="E4046" s="8"/>
      <c r="F4046" s="92">
        <f t="shared" si="56"/>
        <v>120</v>
      </c>
    </row>
    <row r="4047" spans="1:6" x14ac:dyDescent="0.25">
      <c r="A4047" s="232">
        <v>43127</v>
      </c>
      <c r="B4047" s="460" t="s">
        <v>3162</v>
      </c>
      <c r="C4047" s="460"/>
      <c r="D4047" s="71"/>
      <c r="E4047" s="58">
        <v>20000</v>
      </c>
      <c r="F4047" s="92">
        <f t="shared" si="56"/>
        <v>20120</v>
      </c>
    </row>
    <row r="4048" spans="1:6" x14ac:dyDescent="0.25">
      <c r="A4048" s="232">
        <v>43127</v>
      </c>
      <c r="B4048" s="26" t="s">
        <v>17</v>
      </c>
      <c r="C4048" s="26" t="s">
        <v>3159</v>
      </c>
      <c r="D4048" s="8">
        <v>240</v>
      </c>
      <c r="E4048" s="8"/>
      <c r="F4048" s="92">
        <f t="shared" si="56"/>
        <v>19880</v>
      </c>
    </row>
    <row r="4049" spans="1:6" x14ac:dyDescent="0.25">
      <c r="A4049" s="232">
        <v>43127</v>
      </c>
      <c r="B4049" s="26" t="s">
        <v>26</v>
      </c>
      <c r="C4049" s="26" t="s">
        <v>3160</v>
      </c>
      <c r="D4049" s="8">
        <v>450</v>
      </c>
      <c r="E4049" s="8"/>
      <c r="F4049" s="92">
        <f t="shared" si="56"/>
        <v>19430</v>
      </c>
    </row>
    <row r="4050" spans="1:6" x14ac:dyDescent="0.25">
      <c r="A4050" s="232">
        <v>43127</v>
      </c>
      <c r="B4050" s="26" t="s">
        <v>3161</v>
      </c>
      <c r="C4050" s="26" t="s">
        <v>3170</v>
      </c>
      <c r="D4050" s="8">
        <v>90</v>
      </c>
      <c r="E4050" s="8"/>
      <c r="F4050" s="92">
        <f t="shared" si="56"/>
        <v>19340</v>
      </c>
    </row>
    <row r="4051" spans="1:6" x14ac:dyDescent="0.25">
      <c r="A4051" s="232">
        <v>43127</v>
      </c>
      <c r="B4051" s="26" t="s">
        <v>85</v>
      </c>
      <c r="C4051" s="26" t="s">
        <v>3164</v>
      </c>
      <c r="D4051" s="8">
        <v>7000</v>
      </c>
      <c r="E4051" s="8"/>
      <c r="F4051" s="92">
        <f t="shared" si="56"/>
        <v>12340</v>
      </c>
    </row>
    <row r="4052" spans="1:6" x14ac:dyDescent="0.25">
      <c r="A4052" s="232">
        <v>43127</v>
      </c>
      <c r="B4052" s="26" t="s">
        <v>17</v>
      </c>
      <c r="C4052" s="26" t="s">
        <v>3163</v>
      </c>
      <c r="D4052" s="8">
        <v>1000</v>
      </c>
      <c r="E4052" s="8"/>
      <c r="F4052" s="92">
        <f t="shared" si="56"/>
        <v>11340</v>
      </c>
    </row>
    <row r="4053" spans="1:6" x14ac:dyDescent="0.25">
      <c r="A4053" s="232">
        <v>43127</v>
      </c>
      <c r="B4053" s="26" t="s">
        <v>248</v>
      </c>
      <c r="C4053" s="26" t="s">
        <v>3165</v>
      </c>
      <c r="D4053" s="8">
        <v>255</v>
      </c>
      <c r="E4053" s="8"/>
      <c r="F4053" s="92">
        <f t="shared" si="56"/>
        <v>11085</v>
      </c>
    </row>
    <row r="4054" spans="1:6" x14ac:dyDescent="0.25">
      <c r="A4054" s="232">
        <v>43127</v>
      </c>
      <c r="B4054" s="26" t="s">
        <v>248</v>
      </c>
      <c r="C4054" s="26" t="s">
        <v>2971</v>
      </c>
      <c r="D4054" s="8">
        <v>140</v>
      </c>
      <c r="E4054" s="8"/>
      <c r="F4054" s="92">
        <f t="shared" si="56"/>
        <v>10945</v>
      </c>
    </row>
    <row r="4055" spans="1:6" x14ac:dyDescent="0.25">
      <c r="A4055" s="232">
        <v>43127</v>
      </c>
      <c r="B4055" s="26" t="s">
        <v>248</v>
      </c>
      <c r="C4055" s="26" t="s">
        <v>3166</v>
      </c>
      <c r="D4055" s="8">
        <v>50</v>
      </c>
      <c r="E4055" s="8"/>
      <c r="F4055" s="92">
        <f t="shared" si="56"/>
        <v>10895</v>
      </c>
    </row>
    <row r="4056" spans="1:6" x14ac:dyDescent="0.25">
      <c r="A4056" s="232">
        <v>43127</v>
      </c>
      <c r="B4056" s="26" t="s">
        <v>2573</v>
      </c>
      <c r="C4056" s="26" t="s">
        <v>3167</v>
      </c>
      <c r="D4056" s="8">
        <v>200</v>
      </c>
      <c r="E4056" s="8"/>
      <c r="F4056" s="92">
        <f t="shared" si="56"/>
        <v>10695</v>
      </c>
    </row>
    <row r="4057" spans="1:6" x14ac:dyDescent="0.25">
      <c r="A4057" s="232">
        <v>43129</v>
      </c>
      <c r="B4057" s="26" t="s">
        <v>26</v>
      </c>
      <c r="C4057" s="26" t="s">
        <v>2971</v>
      </c>
      <c r="D4057" s="8">
        <v>140</v>
      </c>
      <c r="E4057" s="8"/>
      <c r="F4057" s="92">
        <f t="shared" si="56"/>
        <v>10555</v>
      </c>
    </row>
    <row r="4058" spans="1:6" x14ac:dyDescent="0.25">
      <c r="A4058" s="232">
        <v>43129</v>
      </c>
      <c r="B4058" s="26" t="s">
        <v>26</v>
      </c>
      <c r="C4058" s="26" t="s">
        <v>3171</v>
      </c>
      <c r="D4058" s="8">
        <v>280</v>
      </c>
      <c r="E4058" s="8"/>
      <c r="F4058" s="92">
        <f t="shared" si="56"/>
        <v>10275</v>
      </c>
    </row>
    <row r="4059" spans="1:6" x14ac:dyDescent="0.25">
      <c r="A4059" s="232">
        <v>43129</v>
      </c>
      <c r="B4059" s="26" t="s">
        <v>26</v>
      </c>
      <c r="C4059" s="26" t="s">
        <v>82</v>
      </c>
      <c r="D4059" s="8">
        <v>50</v>
      </c>
      <c r="E4059" s="8"/>
      <c r="F4059" s="92">
        <f t="shared" si="56"/>
        <v>10225</v>
      </c>
    </row>
    <row r="4060" spans="1:6" x14ac:dyDescent="0.25">
      <c r="A4060" s="232">
        <v>43129</v>
      </c>
      <c r="B4060" s="26" t="s">
        <v>26</v>
      </c>
      <c r="C4060" s="26" t="s">
        <v>942</v>
      </c>
      <c r="D4060" s="8">
        <v>380</v>
      </c>
      <c r="E4060" s="8"/>
      <c r="F4060" s="92">
        <f t="shared" si="56"/>
        <v>9845</v>
      </c>
    </row>
    <row r="4061" spans="1:6" x14ac:dyDescent="0.25">
      <c r="A4061" s="232">
        <v>43129</v>
      </c>
      <c r="B4061" s="26" t="s">
        <v>85</v>
      </c>
      <c r="C4061" s="26" t="s">
        <v>3172</v>
      </c>
      <c r="D4061" s="8">
        <v>1000</v>
      </c>
      <c r="E4061" s="8"/>
      <c r="F4061" s="92">
        <f t="shared" si="56"/>
        <v>8845</v>
      </c>
    </row>
    <row r="4062" spans="1:6" x14ac:dyDescent="0.25">
      <c r="A4062" s="232">
        <v>43129</v>
      </c>
      <c r="B4062" s="26" t="s">
        <v>59</v>
      </c>
      <c r="C4062" s="26" t="s">
        <v>3173</v>
      </c>
      <c r="D4062" s="8">
        <v>4800</v>
      </c>
      <c r="E4062" s="8"/>
      <c r="F4062" s="92">
        <f t="shared" si="56"/>
        <v>4045</v>
      </c>
    </row>
    <row r="4063" spans="1:6" x14ac:dyDescent="0.25">
      <c r="A4063" s="232">
        <v>43129</v>
      </c>
      <c r="B4063" s="26" t="s">
        <v>17</v>
      </c>
      <c r="C4063" s="26" t="s">
        <v>3174</v>
      </c>
      <c r="D4063" s="8">
        <v>1000</v>
      </c>
      <c r="E4063" s="8"/>
      <c r="F4063" s="92">
        <f t="shared" si="56"/>
        <v>3045</v>
      </c>
    </row>
    <row r="4064" spans="1:6" x14ac:dyDescent="0.25">
      <c r="A4064" s="232">
        <v>43129</v>
      </c>
      <c r="B4064" s="460" t="s">
        <v>2668</v>
      </c>
      <c r="C4064" s="460"/>
      <c r="D4064" s="71"/>
      <c r="E4064" s="58">
        <v>100000</v>
      </c>
      <c r="F4064" s="92">
        <f t="shared" ref="F4064:F4160" si="57">F4063-D4064+E4064</f>
        <v>103045</v>
      </c>
    </row>
    <row r="4065" spans="1:6" x14ac:dyDescent="0.25">
      <c r="A4065" s="232">
        <v>43129</v>
      </c>
      <c r="B4065" s="26" t="s">
        <v>14</v>
      </c>
      <c r="C4065" s="26" t="s">
        <v>3186</v>
      </c>
      <c r="D4065" s="8">
        <v>10000</v>
      </c>
      <c r="E4065" s="8"/>
      <c r="F4065" s="92">
        <f t="shared" si="57"/>
        <v>93045</v>
      </c>
    </row>
    <row r="4066" spans="1:6" x14ac:dyDescent="0.25">
      <c r="A4066" s="232">
        <v>43129</v>
      </c>
      <c r="B4066" s="26" t="s">
        <v>2333</v>
      </c>
      <c r="C4066" s="26" t="s">
        <v>3187</v>
      </c>
      <c r="D4066" s="8">
        <v>20000</v>
      </c>
      <c r="E4066" s="8"/>
      <c r="F4066" s="92">
        <f t="shared" si="57"/>
        <v>73045</v>
      </c>
    </row>
    <row r="4067" spans="1:6" x14ac:dyDescent="0.25">
      <c r="A4067" s="232">
        <v>43129</v>
      </c>
      <c r="B4067" s="26" t="s">
        <v>2333</v>
      </c>
      <c r="C4067" s="26" t="s">
        <v>3175</v>
      </c>
      <c r="D4067" s="8">
        <v>12311</v>
      </c>
      <c r="E4067" s="8"/>
      <c r="F4067" s="92">
        <f t="shared" si="57"/>
        <v>60734</v>
      </c>
    </row>
    <row r="4068" spans="1:6" x14ac:dyDescent="0.25">
      <c r="A4068" s="232">
        <v>43129</v>
      </c>
      <c r="B4068" s="180" t="s">
        <v>59</v>
      </c>
      <c r="C4068" s="180" t="s">
        <v>3176</v>
      </c>
      <c r="D4068" s="57">
        <v>3500</v>
      </c>
      <c r="E4068" s="8"/>
      <c r="F4068" s="92">
        <f t="shared" si="57"/>
        <v>57234</v>
      </c>
    </row>
    <row r="4069" spans="1:6" x14ac:dyDescent="0.25">
      <c r="A4069" s="232">
        <v>43129</v>
      </c>
      <c r="B4069" s="26" t="s">
        <v>2158</v>
      </c>
      <c r="C4069" s="26" t="s">
        <v>3177</v>
      </c>
      <c r="D4069" s="8">
        <v>50</v>
      </c>
      <c r="E4069" s="8"/>
      <c r="F4069" s="92">
        <f t="shared" si="57"/>
        <v>57184</v>
      </c>
    </row>
    <row r="4070" spans="1:6" x14ac:dyDescent="0.25">
      <c r="A4070" s="232">
        <v>43129</v>
      </c>
      <c r="B4070" s="26" t="s">
        <v>29</v>
      </c>
      <c r="C4070" s="26" t="s">
        <v>3178</v>
      </c>
      <c r="D4070" s="8">
        <v>4000</v>
      </c>
      <c r="E4070" s="8"/>
      <c r="F4070" s="92">
        <f t="shared" si="57"/>
        <v>53184</v>
      </c>
    </row>
    <row r="4071" spans="1:6" ht="30" x14ac:dyDescent="0.25">
      <c r="A4071" s="232">
        <v>43130</v>
      </c>
      <c r="B4071" s="199" t="s">
        <v>61</v>
      </c>
      <c r="C4071" s="87" t="s">
        <v>3179</v>
      </c>
      <c r="D4071" s="91">
        <v>26000</v>
      </c>
      <c r="E4071" s="8"/>
      <c r="F4071" s="92">
        <f t="shared" si="57"/>
        <v>27184</v>
      </c>
    </row>
    <row r="4072" spans="1:6" x14ac:dyDescent="0.25">
      <c r="A4072" s="232">
        <v>43130</v>
      </c>
      <c r="B4072" s="26" t="s">
        <v>59</v>
      </c>
      <c r="C4072" s="26" t="s">
        <v>3180</v>
      </c>
      <c r="D4072" s="8">
        <v>9000</v>
      </c>
      <c r="E4072" s="8"/>
      <c r="F4072" s="92">
        <f t="shared" si="57"/>
        <v>18184</v>
      </c>
    </row>
    <row r="4073" spans="1:6" x14ac:dyDescent="0.25">
      <c r="A4073" s="232">
        <v>43130</v>
      </c>
      <c r="B4073" s="26" t="s">
        <v>248</v>
      </c>
      <c r="C4073" s="26" t="s">
        <v>3157</v>
      </c>
      <c r="D4073" s="8">
        <v>140</v>
      </c>
      <c r="E4073" s="8"/>
      <c r="F4073" s="92">
        <f t="shared" si="57"/>
        <v>18044</v>
      </c>
    </row>
    <row r="4074" spans="1:6" x14ac:dyDescent="0.25">
      <c r="A4074" s="232">
        <v>43130</v>
      </c>
      <c r="B4074" s="26" t="s">
        <v>29</v>
      </c>
      <c r="C4074" s="26" t="s">
        <v>3181</v>
      </c>
      <c r="D4074" s="8">
        <v>8000</v>
      </c>
      <c r="E4074" s="8"/>
      <c r="F4074" s="92">
        <f t="shared" si="57"/>
        <v>10044</v>
      </c>
    </row>
    <row r="4075" spans="1:6" x14ac:dyDescent="0.25">
      <c r="A4075" s="232">
        <v>43130</v>
      </c>
      <c r="B4075" s="26" t="s">
        <v>85</v>
      </c>
      <c r="C4075" s="26" t="s">
        <v>3182</v>
      </c>
      <c r="D4075" s="8">
        <v>1000</v>
      </c>
      <c r="E4075" s="8"/>
      <c r="F4075" s="92">
        <f t="shared" si="57"/>
        <v>9044</v>
      </c>
    </row>
    <row r="4076" spans="1:6" x14ac:dyDescent="0.25">
      <c r="A4076" s="232">
        <v>43130</v>
      </c>
      <c r="B4076" s="26" t="s">
        <v>59</v>
      </c>
      <c r="C4076" s="26" t="s">
        <v>3183</v>
      </c>
      <c r="D4076" s="8">
        <v>5000</v>
      </c>
      <c r="E4076" s="8"/>
      <c r="F4076" s="92">
        <f t="shared" si="57"/>
        <v>4044</v>
      </c>
    </row>
    <row r="4077" spans="1:6" x14ac:dyDescent="0.25">
      <c r="A4077" s="232">
        <v>43130</v>
      </c>
      <c r="B4077" s="26" t="s">
        <v>248</v>
      </c>
      <c r="C4077" s="26" t="s">
        <v>3166</v>
      </c>
      <c r="D4077" s="8">
        <v>50</v>
      </c>
      <c r="E4077" s="8"/>
      <c r="F4077" s="92">
        <f t="shared" si="57"/>
        <v>3994</v>
      </c>
    </row>
    <row r="4078" spans="1:6" x14ac:dyDescent="0.25">
      <c r="A4078" s="232">
        <v>43130</v>
      </c>
      <c r="B4078" s="26" t="s">
        <v>26</v>
      </c>
      <c r="C4078" s="26" t="s">
        <v>2205</v>
      </c>
      <c r="D4078" s="8">
        <v>360</v>
      </c>
      <c r="E4078" s="8"/>
      <c r="F4078" s="92">
        <f t="shared" si="57"/>
        <v>3634</v>
      </c>
    </row>
    <row r="4079" spans="1:6" x14ac:dyDescent="0.25">
      <c r="A4079" s="232">
        <v>43130</v>
      </c>
      <c r="B4079" s="26" t="s">
        <v>26</v>
      </c>
      <c r="C4079" s="26" t="s">
        <v>1832</v>
      </c>
      <c r="D4079" s="8">
        <v>60</v>
      </c>
      <c r="E4079" s="8"/>
      <c r="F4079" s="92">
        <f t="shared" si="57"/>
        <v>3574</v>
      </c>
    </row>
    <row r="4080" spans="1:6" x14ac:dyDescent="0.25">
      <c r="A4080" s="232">
        <v>43130</v>
      </c>
      <c r="B4080" s="26" t="s">
        <v>26</v>
      </c>
      <c r="C4080" s="26" t="s">
        <v>3058</v>
      </c>
      <c r="D4080" s="8">
        <v>100</v>
      </c>
      <c r="E4080" s="8"/>
      <c r="F4080" s="92">
        <f t="shared" si="57"/>
        <v>3474</v>
      </c>
    </row>
    <row r="4081" spans="1:6" x14ac:dyDescent="0.25">
      <c r="A4081" s="232">
        <v>43130</v>
      </c>
      <c r="B4081" s="26" t="s">
        <v>26</v>
      </c>
      <c r="C4081" s="26" t="s">
        <v>3093</v>
      </c>
      <c r="D4081" s="8">
        <v>30</v>
      </c>
      <c r="E4081" s="8"/>
      <c r="F4081" s="92">
        <f t="shared" si="57"/>
        <v>3444</v>
      </c>
    </row>
    <row r="4082" spans="1:6" x14ac:dyDescent="0.25">
      <c r="A4082" s="232">
        <v>43130</v>
      </c>
      <c r="B4082" s="26" t="s">
        <v>26</v>
      </c>
      <c r="C4082" s="26" t="s">
        <v>3184</v>
      </c>
      <c r="D4082" s="8">
        <v>90</v>
      </c>
      <c r="E4082" s="8"/>
      <c r="F4082" s="92">
        <f t="shared" si="57"/>
        <v>3354</v>
      </c>
    </row>
    <row r="4083" spans="1:6" x14ac:dyDescent="0.25">
      <c r="A4083" s="232">
        <v>43130</v>
      </c>
      <c r="B4083" s="26" t="s">
        <v>26</v>
      </c>
      <c r="C4083" s="26" t="s">
        <v>3185</v>
      </c>
      <c r="D4083" s="8">
        <v>90</v>
      </c>
      <c r="E4083" s="8"/>
      <c r="F4083" s="92">
        <f t="shared" si="57"/>
        <v>3264</v>
      </c>
    </row>
    <row r="4084" spans="1:6" x14ac:dyDescent="0.25">
      <c r="A4084" s="232">
        <v>43131</v>
      </c>
      <c r="B4084" s="26" t="s">
        <v>1619</v>
      </c>
      <c r="C4084" s="26" t="s">
        <v>2438</v>
      </c>
      <c r="D4084" s="8">
        <v>520</v>
      </c>
      <c r="E4084" s="8"/>
      <c r="F4084" s="92">
        <f t="shared" si="57"/>
        <v>2744</v>
      </c>
    </row>
    <row r="4085" spans="1:6" x14ac:dyDescent="0.25">
      <c r="A4085" s="232">
        <v>43131</v>
      </c>
      <c r="B4085" s="460" t="s">
        <v>3188</v>
      </c>
      <c r="C4085" s="460"/>
      <c r="D4085" s="71"/>
      <c r="E4085" s="58">
        <v>500</v>
      </c>
      <c r="F4085" s="92">
        <f t="shared" si="57"/>
        <v>3244</v>
      </c>
    </row>
    <row r="4086" spans="1:6" ht="30" x14ac:dyDescent="0.25">
      <c r="A4086" s="232">
        <v>43131</v>
      </c>
      <c r="B4086" s="199" t="s">
        <v>11</v>
      </c>
      <c r="C4086" s="207" t="s">
        <v>3189</v>
      </c>
      <c r="D4086" s="91">
        <v>2190</v>
      </c>
      <c r="E4086" s="91"/>
      <c r="F4086" s="92">
        <f t="shared" si="57"/>
        <v>1054</v>
      </c>
    </row>
    <row r="4087" spans="1:6" x14ac:dyDescent="0.25">
      <c r="A4087" s="232">
        <v>43131</v>
      </c>
      <c r="B4087" s="199" t="s">
        <v>59</v>
      </c>
      <c r="C4087" s="207" t="s">
        <v>3195</v>
      </c>
      <c r="D4087" s="91">
        <v>500</v>
      </c>
      <c r="E4087" s="91"/>
      <c r="F4087" s="92">
        <f t="shared" si="57"/>
        <v>554</v>
      </c>
    </row>
    <row r="4088" spans="1:6" x14ac:dyDescent="0.25">
      <c r="A4088" s="232">
        <v>43131</v>
      </c>
      <c r="B4088" s="26" t="s">
        <v>61</v>
      </c>
      <c r="C4088" s="26" t="s">
        <v>3190</v>
      </c>
      <c r="D4088" s="8">
        <v>500</v>
      </c>
      <c r="E4088" s="8"/>
      <c r="F4088" s="92">
        <f t="shared" si="57"/>
        <v>54</v>
      </c>
    </row>
    <row r="4089" spans="1:6" x14ac:dyDescent="0.25">
      <c r="A4089" s="232">
        <v>43132</v>
      </c>
      <c r="B4089" s="26" t="s">
        <v>248</v>
      </c>
      <c r="C4089" s="26" t="s">
        <v>2016</v>
      </c>
      <c r="D4089" s="8">
        <v>50</v>
      </c>
      <c r="E4089" s="8"/>
      <c r="F4089" s="92">
        <f t="shared" si="57"/>
        <v>4</v>
      </c>
    </row>
    <row r="4090" spans="1:6" x14ac:dyDescent="0.25">
      <c r="A4090" s="232">
        <v>43137</v>
      </c>
      <c r="B4090" s="460" t="s">
        <v>3197</v>
      </c>
      <c r="C4090" s="460"/>
      <c r="D4090" s="71"/>
      <c r="E4090" s="58">
        <v>49000</v>
      </c>
      <c r="F4090" s="92">
        <f t="shared" si="57"/>
        <v>49004</v>
      </c>
    </row>
    <row r="4091" spans="1:6" x14ac:dyDescent="0.25">
      <c r="A4091" s="232">
        <v>43137</v>
      </c>
      <c r="B4091" s="26" t="s">
        <v>14</v>
      </c>
      <c r="C4091" s="26" t="s">
        <v>3186</v>
      </c>
      <c r="D4091" s="8">
        <v>14000</v>
      </c>
      <c r="E4091" s="8"/>
      <c r="F4091" s="92">
        <f t="shared" si="57"/>
        <v>35004</v>
      </c>
    </row>
    <row r="4092" spans="1:6" x14ac:dyDescent="0.25">
      <c r="A4092" s="232">
        <v>43137</v>
      </c>
      <c r="B4092" s="26" t="s">
        <v>17</v>
      </c>
      <c r="C4092" s="26" t="s">
        <v>1052</v>
      </c>
      <c r="D4092" s="8">
        <v>8000</v>
      </c>
      <c r="E4092" s="8"/>
      <c r="F4092" s="92">
        <f t="shared" si="57"/>
        <v>27004</v>
      </c>
    </row>
    <row r="4093" spans="1:6" x14ac:dyDescent="0.25">
      <c r="A4093" s="232">
        <v>43137</v>
      </c>
      <c r="B4093" s="29" t="s">
        <v>248</v>
      </c>
      <c r="C4093" s="29" t="s">
        <v>3025</v>
      </c>
      <c r="D4093" s="14">
        <v>255</v>
      </c>
      <c r="E4093" s="8"/>
      <c r="F4093" s="92">
        <f t="shared" si="57"/>
        <v>26749</v>
      </c>
    </row>
    <row r="4094" spans="1:6" x14ac:dyDescent="0.25">
      <c r="A4094" s="232">
        <v>43137</v>
      </c>
      <c r="B4094" s="29" t="s">
        <v>248</v>
      </c>
      <c r="C4094" s="29" t="s">
        <v>3025</v>
      </c>
      <c r="D4094" s="14">
        <v>910</v>
      </c>
      <c r="E4094" s="8"/>
      <c r="F4094" s="92">
        <f t="shared" si="57"/>
        <v>25839</v>
      </c>
    </row>
    <row r="4095" spans="1:6" x14ac:dyDescent="0.25">
      <c r="A4095" s="232">
        <v>43137</v>
      </c>
      <c r="B4095" s="26" t="s">
        <v>14</v>
      </c>
      <c r="C4095" s="26" t="s">
        <v>641</v>
      </c>
      <c r="D4095" s="8">
        <v>1000</v>
      </c>
      <c r="E4095" s="8"/>
      <c r="F4095" s="92">
        <f t="shared" si="57"/>
        <v>24839</v>
      </c>
    </row>
    <row r="4096" spans="1:6" x14ac:dyDescent="0.25">
      <c r="A4096" s="232">
        <v>43137</v>
      </c>
      <c r="B4096" s="26" t="s">
        <v>248</v>
      </c>
      <c r="C4096" s="26" t="s">
        <v>3205</v>
      </c>
      <c r="D4096" s="8">
        <v>1920</v>
      </c>
      <c r="E4096" s="8"/>
      <c r="F4096" s="92">
        <f t="shared" si="57"/>
        <v>22919</v>
      </c>
    </row>
    <row r="4097" spans="1:6" x14ac:dyDescent="0.25">
      <c r="A4097" s="232">
        <v>43137</v>
      </c>
      <c r="B4097" s="26" t="s">
        <v>26</v>
      </c>
      <c r="C4097" s="26" t="s">
        <v>3206</v>
      </c>
      <c r="D4097" s="8">
        <v>300</v>
      </c>
      <c r="E4097" s="8"/>
      <c r="F4097" s="92">
        <f t="shared" si="57"/>
        <v>22619</v>
      </c>
    </row>
    <row r="4098" spans="1:6" x14ac:dyDescent="0.25">
      <c r="A4098" s="232">
        <v>43137</v>
      </c>
      <c r="B4098" s="26" t="s">
        <v>26</v>
      </c>
      <c r="C4098" s="26" t="s">
        <v>668</v>
      </c>
      <c r="D4098" s="8">
        <v>100</v>
      </c>
      <c r="E4098" s="8"/>
      <c r="F4098" s="92">
        <f t="shared" si="57"/>
        <v>22519</v>
      </c>
    </row>
    <row r="4099" spans="1:6" x14ac:dyDescent="0.25">
      <c r="A4099" s="232">
        <v>43137</v>
      </c>
      <c r="B4099" s="26" t="s">
        <v>542</v>
      </c>
      <c r="C4099" s="26" t="s">
        <v>2878</v>
      </c>
      <c r="D4099" s="8">
        <v>140</v>
      </c>
      <c r="E4099" s="8"/>
      <c r="F4099" s="92">
        <f t="shared" si="57"/>
        <v>22379</v>
      </c>
    </row>
    <row r="4100" spans="1:6" x14ac:dyDescent="0.25">
      <c r="A4100" s="232">
        <v>43137</v>
      </c>
      <c r="B4100" s="26" t="s">
        <v>1413</v>
      </c>
      <c r="C4100" s="26" t="s">
        <v>3198</v>
      </c>
      <c r="D4100" s="8">
        <v>2000</v>
      </c>
      <c r="E4100" s="8"/>
      <c r="F4100" s="92">
        <f t="shared" si="57"/>
        <v>20379</v>
      </c>
    </row>
    <row r="4101" spans="1:6" x14ac:dyDescent="0.25">
      <c r="A4101" s="232">
        <v>43137</v>
      </c>
      <c r="B4101" s="26" t="s">
        <v>2333</v>
      </c>
      <c r="C4101" s="26" t="s">
        <v>3199</v>
      </c>
      <c r="D4101" s="8">
        <v>2000</v>
      </c>
      <c r="E4101" s="8"/>
      <c r="F4101" s="92">
        <f t="shared" si="57"/>
        <v>18379</v>
      </c>
    </row>
    <row r="4102" spans="1:6" x14ac:dyDescent="0.25">
      <c r="A4102" s="232">
        <v>43137</v>
      </c>
      <c r="B4102" s="26" t="s">
        <v>2349</v>
      </c>
      <c r="C4102" s="26" t="s">
        <v>3200</v>
      </c>
      <c r="D4102" s="8">
        <v>1000</v>
      </c>
      <c r="E4102" s="8"/>
      <c r="F4102" s="92">
        <f t="shared" si="57"/>
        <v>17379</v>
      </c>
    </row>
    <row r="4103" spans="1:6" x14ac:dyDescent="0.25">
      <c r="A4103" s="232">
        <v>43137</v>
      </c>
      <c r="B4103" s="26" t="s">
        <v>2333</v>
      </c>
      <c r="C4103" s="26" t="s">
        <v>3207</v>
      </c>
      <c r="D4103" s="8">
        <v>4990</v>
      </c>
      <c r="E4103" s="8"/>
      <c r="F4103" s="92">
        <f t="shared" si="57"/>
        <v>12389</v>
      </c>
    </row>
    <row r="4104" spans="1:6" x14ac:dyDescent="0.25">
      <c r="A4104" s="232">
        <v>43137</v>
      </c>
      <c r="B4104" s="26" t="s">
        <v>14</v>
      </c>
      <c r="C4104" s="26" t="s">
        <v>3201</v>
      </c>
      <c r="D4104" s="8">
        <v>3641</v>
      </c>
      <c r="E4104" s="8"/>
      <c r="F4104" s="92">
        <f t="shared" si="57"/>
        <v>8748</v>
      </c>
    </row>
    <row r="4105" spans="1:6" x14ac:dyDescent="0.25">
      <c r="A4105" s="232">
        <v>43137</v>
      </c>
      <c r="B4105" s="26" t="s">
        <v>11</v>
      </c>
      <c r="C4105" s="26" t="s">
        <v>3203</v>
      </c>
      <c r="D4105" s="8">
        <v>200</v>
      </c>
      <c r="E4105" s="8"/>
      <c r="F4105" s="92">
        <f t="shared" si="57"/>
        <v>8548</v>
      </c>
    </row>
    <row r="4106" spans="1:6" x14ac:dyDescent="0.25">
      <c r="A4106" s="232">
        <v>43137</v>
      </c>
      <c r="B4106" s="26" t="s">
        <v>26</v>
      </c>
      <c r="C4106" s="26" t="s">
        <v>2660</v>
      </c>
      <c r="D4106" s="8">
        <v>100</v>
      </c>
      <c r="E4106" s="8"/>
      <c r="F4106" s="92">
        <f t="shared" si="57"/>
        <v>8448</v>
      </c>
    </row>
    <row r="4107" spans="1:6" x14ac:dyDescent="0.25">
      <c r="A4107" s="232">
        <v>43137</v>
      </c>
      <c r="B4107" s="26" t="s">
        <v>248</v>
      </c>
      <c r="C4107" s="26" t="s">
        <v>2993</v>
      </c>
      <c r="D4107" s="8">
        <v>430</v>
      </c>
      <c r="E4107" s="8"/>
      <c r="F4107" s="92">
        <f t="shared" si="57"/>
        <v>8018</v>
      </c>
    </row>
    <row r="4108" spans="1:6" x14ac:dyDescent="0.25">
      <c r="A4108" s="232">
        <v>43137</v>
      </c>
      <c r="B4108" s="26" t="s">
        <v>26</v>
      </c>
      <c r="C4108" s="26" t="s">
        <v>3191</v>
      </c>
      <c r="D4108" s="8">
        <v>760</v>
      </c>
      <c r="E4108" s="8"/>
      <c r="F4108" s="92">
        <f t="shared" si="57"/>
        <v>7258</v>
      </c>
    </row>
    <row r="4109" spans="1:6" x14ac:dyDescent="0.25">
      <c r="A4109" s="232">
        <v>43137</v>
      </c>
      <c r="B4109" s="26" t="s">
        <v>26</v>
      </c>
      <c r="C4109" s="26" t="s">
        <v>83</v>
      </c>
      <c r="D4109" s="8">
        <v>180</v>
      </c>
      <c r="E4109" s="8"/>
      <c r="F4109" s="92">
        <f t="shared" si="57"/>
        <v>7078</v>
      </c>
    </row>
    <row r="4110" spans="1:6" x14ac:dyDescent="0.25">
      <c r="A4110" s="232">
        <v>43137</v>
      </c>
      <c r="B4110" s="26" t="s">
        <v>26</v>
      </c>
      <c r="C4110" s="26" t="s">
        <v>3192</v>
      </c>
      <c r="D4110" s="8">
        <v>235</v>
      </c>
      <c r="E4110" s="8"/>
      <c r="F4110" s="92">
        <f t="shared" si="57"/>
        <v>6843</v>
      </c>
    </row>
    <row r="4111" spans="1:6" x14ac:dyDescent="0.25">
      <c r="A4111" s="232">
        <v>43137</v>
      </c>
      <c r="B4111" s="26" t="s">
        <v>26</v>
      </c>
      <c r="C4111" s="26" t="s">
        <v>3193</v>
      </c>
      <c r="D4111" s="8">
        <v>150</v>
      </c>
      <c r="E4111" s="8"/>
      <c r="F4111" s="92">
        <f t="shared" si="57"/>
        <v>6693</v>
      </c>
    </row>
    <row r="4112" spans="1:6" x14ac:dyDescent="0.25">
      <c r="A4112" s="232">
        <v>43137</v>
      </c>
      <c r="B4112" s="26" t="s">
        <v>26</v>
      </c>
      <c r="C4112" s="26" t="s">
        <v>3194</v>
      </c>
      <c r="D4112" s="8">
        <v>190</v>
      </c>
      <c r="E4112" s="8"/>
      <c r="F4112" s="92">
        <f t="shared" si="57"/>
        <v>6503</v>
      </c>
    </row>
    <row r="4113" spans="1:6" x14ac:dyDescent="0.25">
      <c r="A4113" s="232">
        <v>43137</v>
      </c>
      <c r="B4113" s="26" t="s">
        <v>26</v>
      </c>
      <c r="C4113" s="26" t="s">
        <v>1832</v>
      </c>
      <c r="D4113" s="8">
        <v>60</v>
      </c>
      <c r="E4113" s="8"/>
      <c r="F4113" s="92">
        <f t="shared" si="57"/>
        <v>6443</v>
      </c>
    </row>
    <row r="4114" spans="1:6" x14ac:dyDescent="0.25">
      <c r="A4114" s="232">
        <v>43137</v>
      </c>
      <c r="B4114" s="26" t="s">
        <v>26</v>
      </c>
      <c r="C4114" s="26" t="s">
        <v>942</v>
      </c>
      <c r="D4114" s="8">
        <v>100</v>
      </c>
      <c r="E4114" s="8"/>
      <c r="F4114" s="92">
        <f t="shared" si="57"/>
        <v>6343</v>
      </c>
    </row>
    <row r="4115" spans="1:6" x14ac:dyDescent="0.25">
      <c r="A4115" s="232">
        <v>43137</v>
      </c>
      <c r="B4115" s="26" t="s">
        <v>11</v>
      </c>
      <c r="C4115" s="26" t="s">
        <v>3202</v>
      </c>
      <c r="D4115" s="8">
        <v>4000</v>
      </c>
      <c r="E4115" s="8"/>
      <c r="F4115" s="92">
        <f t="shared" si="57"/>
        <v>2343</v>
      </c>
    </row>
    <row r="4116" spans="1:6" x14ac:dyDescent="0.25">
      <c r="A4116" s="232">
        <v>43137</v>
      </c>
      <c r="B4116" s="26" t="s">
        <v>2677</v>
      </c>
      <c r="C4116" s="26" t="s">
        <v>3204</v>
      </c>
      <c r="D4116" s="8">
        <v>100</v>
      </c>
      <c r="E4116" s="8"/>
      <c r="F4116" s="92">
        <f t="shared" si="57"/>
        <v>2243</v>
      </c>
    </row>
    <row r="4117" spans="1:6" x14ac:dyDescent="0.25">
      <c r="A4117" s="232">
        <v>43138</v>
      </c>
      <c r="B4117" s="26" t="s">
        <v>26</v>
      </c>
      <c r="C4117" s="26" t="s">
        <v>3208</v>
      </c>
      <c r="D4117" s="8">
        <v>120</v>
      </c>
      <c r="E4117" s="8"/>
      <c r="F4117" s="92">
        <f t="shared" si="57"/>
        <v>2123</v>
      </c>
    </row>
    <row r="4118" spans="1:6" x14ac:dyDescent="0.25">
      <c r="A4118" s="232">
        <v>43139</v>
      </c>
      <c r="B4118" s="460" t="s">
        <v>3210</v>
      </c>
      <c r="C4118" s="460"/>
      <c r="D4118" s="71"/>
      <c r="E4118" s="58">
        <v>50000</v>
      </c>
      <c r="F4118" s="92">
        <f t="shared" si="57"/>
        <v>52123</v>
      </c>
    </row>
    <row r="4119" spans="1:6" x14ac:dyDescent="0.25">
      <c r="A4119" s="232">
        <v>43139</v>
      </c>
      <c r="B4119" s="26" t="s">
        <v>3211</v>
      </c>
      <c r="C4119" s="26" t="s">
        <v>3212</v>
      </c>
      <c r="D4119" s="8">
        <f>8500+4000</f>
        <v>12500</v>
      </c>
      <c r="E4119" s="8"/>
      <c r="F4119" s="92">
        <f t="shared" si="57"/>
        <v>39623</v>
      </c>
    </row>
    <row r="4120" spans="1:6" x14ac:dyDescent="0.25">
      <c r="A4120" s="232">
        <v>43139</v>
      </c>
      <c r="B4120" s="26" t="s">
        <v>59</v>
      </c>
      <c r="C4120" s="26" t="s">
        <v>3213</v>
      </c>
      <c r="D4120" s="8">
        <v>20000</v>
      </c>
      <c r="E4120" s="8"/>
      <c r="F4120" s="92">
        <f t="shared" si="57"/>
        <v>19623</v>
      </c>
    </row>
    <row r="4121" spans="1:6" ht="30" x14ac:dyDescent="0.25">
      <c r="A4121" s="232">
        <v>43139</v>
      </c>
      <c r="B4121" s="26" t="s">
        <v>2333</v>
      </c>
      <c r="C4121" s="87" t="s">
        <v>3214</v>
      </c>
      <c r="D4121" s="8">
        <v>13587</v>
      </c>
      <c r="E4121" s="8"/>
      <c r="F4121" s="92">
        <f t="shared" si="57"/>
        <v>6036</v>
      </c>
    </row>
    <row r="4122" spans="1:6" x14ac:dyDescent="0.25">
      <c r="A4122" s="232">
        <v>43139</v>
      </c>
      <c r="B4122" s="26" t="s">
        <v>3209</v>
      </c>
      <c r="C4122" s="87" t="s">
        <v>3219</v>
      </c>
      <c r="D4122" s="8">
        <v>1700</v>
      </c>
      <c r="E4122" s="8"/>
      <c r="F4122" s="92">
        <f t="shared" si="57"/>
        <v>4336</v>
      </c>
    </row>
    <row r="4123" spans="1:6" x14ac:dyDescent="0.25">
      <c r="A4123" s="232">
        <v>43139</v>
      </c>
      <c r="B4123" s="26" t="s">
        <v>26</v>
      </c>
      <c r="C4123" s="26" t="s">
        <v>942</v>
      </c>
      <c r="D4123" s="8">
        <v>380</v>
      </c>
      <c r="E4123" s="8"/>
      <c r="F4123" s="92">
        <f t="shared" si="57"/>
        <v>3956</v>
      </c>
    </row>
    <row r="4124" spans="1:6" x14ac:dyDescent="0.25">
      <c r="A4124" s="232">
        <v>43139</v>
      </c>
      <c r="B4124" s="26" t="s">
        <v>26</v>
      </c>
      <c r="C4124" s="26" t="s">
        <v>3218</v>
      </c>
      <c r="D4124" s="8">
        <f>120+25</f>
        <v>145</v>
      </c>
      <c r="E4124" s="8"/>
      <c r="F4124" s="92">
        <f t="shared" si="57"/>
        <v>3811</v>
      </c>
    </row>
    <row r="4125" spans="1:6" x14ac:dyDescent="0.25">
      <c r="A4125" s="232">
        <v>43139</v>
      </c>
      <c r="B4125" s="26" t="s">
        <v>26</v>
      </c>
      <c r="C4125" s="26" t="s">
        <v>3120</v>
      </c>
      <c r="D4125" s="8">
        <v>90</v>
      </c>
      <c r="E4125" s="8"/>
      <c r="F4125" s="92">
        <f t="shared" si="57"/>
        <v>3721</v>
      </c>
    </row>
    <row r="4126" spans="1:6" x14ac:dyDescent="0.25">
      <c r="A4126" s="232">
        <v>43139</v>
      </c>
      <c r="B4126" s="26" t="s">
        <v>26</v>
      </c>
      <c r="C4126" s="26" t="s">
        <v>3215</v>
      </c>
      <c r="D4126" s="8">
        <v>570</v>
      </c>
      <c r="E4126" s="8"/>
      <c r="F4126" s="92">
        <f t="shared" si="57"/>
        <v>3151</v>
      </c>
    </row>
    <row r="4127" spans="1:6" x14ac:dyDescent="0.25">
      <c r="A4127" s="232">
        <v>43139</v>
      </c>
      <c r="B4127" s="26" t="s">
        <v>248</v>
      </c>
      <c r="C4127" s="26" t="s">
        <v>3216</v>
      </c>
      <c r="D4127" s="8">
        <v>250</v>
      </c>
      <c r="E4127" s="8"/>
      <c r="F4127" s="92">
        <f t="shared" si="57"/>
        <v>2901</v>
      </c>
    </row>
    <row r="4128" spans="1:6" x14ac:dyDescent="0.25">
      <c r="A4128" s="232">
        <v>43139</v>
      </c>
      <c r="B4128" s="26" t="s">
        <v>248</v>
      </c>
      <c r="C4128" s="26" t="s">
        <v>3216</v>
      </c>
      <c r="D4128" s="8">
        <v>85</v>
      </c>
      <c r="E4128" s="8"/>
      <c r="F4128" s="92">
        <f t="shared" si="57"/>
        <v>2816</v>
      </c>
    </row>
    <row r="4129" spans="1:6" x14ac:dyDescent="0.25">
      <c r="A4129" s="232">
        <v>43139</v>
      </c>
      <c r="B4129" s="26" t="s">
        <v>26</v>
      </c>
      <c r="C4129" s="26" t="s">
        <v>3184</v>
      </c>
      <c r="D4129" s="8">
        <v>110</v>
      </c>
      <c r="E4129" s="8"/>
      <c r="F4129" s="92">
        <f t="shared" si="57"/>
        <v>2706</v>
      </c>
    </row>
    <row r="4130" spans="1:6" x14ac:dyDescent="0.25">
      <c r="A4130" s="232">
        <v>43139</v>
      </c>
      <c r="B4130" s="26" t="s">
        <v>26</v>
      </c>
      <c r="C4130" s="26" t="s">
        <v>3217</v>
      </c>
      <c r="D4130" s="8">
        <v>80</v>
      </c>
      <c r="E4130" s="8"/>
      <c r="F4130" s="92">
        <f t="shared" si="57"/>
        <v>2626</v>
      </c>
    </row>
    <row r="4131" spans="1:6" x14ac:dyDescent="0.25">
      <c r="A4131" s="232">
        <v>43139</v>
      </c>
      <c r="B4131" s="26" t="s">
        <v>2162</v>
      </c>
      <c r="C4131" s="26" t="s">
        <v>3220</v>
      </c>
      <c r="D4131" s="8">
        <v>3000</v>
      </c>
      <c r="E4131" s="8"/>
      <c r="F4131" s="92">
        <f t="shared" si="57"/>
        <v>-374</v>
      </c>
    </row>
    <row r="4132" spans="1:6" x14ac:dyDescent="0.25">
      <c r="A4132" s="232">
        <v>43140</v>
      </c>
      <c r="B4132" s="460" t="s">
        <v>2668</v>
      </c>
      <c r="C4132" s="460"/>
      <c r="D4132" s="71"/>
      <c r="E4132" s="58">
        <v>100000</v>
      </c>
      <c r="F4132" s="92">
        <f t="shared" si="57"/>
        <v>99626</v>
      </c>
    </row>
    <row r="4133" spans="1:6" x14ac:dyDescent="0.25">
      <c r="A4133" s="232">
        <v>43140</v>
      </c>
      <c r="B4133" s="26" t="s">
        <v>248</v>
      </c>
      <c r="C4133" s="26" t="s">
        <v>3221</v>
      </c>
      <c r="D4133" s="8">
        <v>120</v>
      </c>
      <c r="E4133" s="8"/>
      <c r="F4133" s="92">
        <f t="shared" si="57"/>
        <v>99506</v>
      </c>
    </row>
    <row r="4134" spans="1:6" x14ac:dyDescent="0.25">
      <c r="A4134" s="232">
        <v>43140</v>
      </c>
      <c r="B4134" s="460" t="s">
        <v>3232</v>
      </c>
      <c r="C4134" s="460"/>
      <c r="D4134" s="71"/>
      <c r="E4134" s="58">
        <v>6052</v>
      </c>
      <c r="F4134" s="92">
        <f t="shared" si="57"/>
        <v>105558</v>
      </c>
    </row>
    <row r="4135" spans="1:6" x14ac:dyDescent="0.25">
      <c r="A4135" s="232">
        <v>43140</v>
      </c>
      <c r="B4135" s="26" t="s">
        <v>248</v>
      </c>
      <c r="C4135" s="26" t="s">
        <v>3222</v>
      </c>
      <c r="D4135" s="8">
        <v>3000</v>
      </c>
      <c r="E4135" s="8"/>
      <c r="F4135" s="92">
        <f t="shared" si="57"/>
        <v>102558</v>
      </c>
    </row>
    <row r="4136" spans="1:6" x14ac:dyDescent="0.25">
      <c r="A4136" s="232">
        <v>43140</v>
      </c>
      <c r="B4136" s="26" t="s">
        <v>14</v>
      </c>
      <c r="C4136" s="26" t="s">
        <v>3143</v>
      </c>
      <c r="D4136" s="8">
        <v>5000</v>
      </c>
      <c r="E4136" s="8"/>
      <c r="F4136" s="92">
        <f t="shared" si="57"/>
        <v>97558</v>
      </c>
    </row>
    <row r="4137" spans="1:6" x14ac:dyDescent="0.25">
      <c r="A4137" s="232">
        <v>43141</v>
      </c>
      <c r="B4137" s="26" t="s">
        <v>2162</v>
      </c>
      <c r="C4137" s="26" t="s">
        <v>3223</v>
      </c>
      <c r="D4137" s="8">
        <v>55000</v>
      </c>
      <c r="E4137" s="8"/>
      <c r="F4137" s="92">
        <f t="shared" si="57"/>
        <v>42558</v>
      </c>
    </row>
    <row r="4138" spans="1:6" x14ac:dyDescent="0.25">
      <c r="A4138" s="232">
        <v>43141</v>
      </c>
      <c r="B4138" s="26" t="s">
        <v>1196</v>
      </c>
      <c r="C4138" s="26" t="s">
        <v>3237</v>
      </c>
      <c r="D4138" s="8">
        <v>2000</v>
      </c>
      <c r="E4138" s="8"/>
      <c r="F4138" s="92">
        <f t="shared" si="57"/>
        <v>40558</v>
      </c>
    </row>
    <row r="4139" spans="1:6" x14ac:dyDescent="0.25">
      <c r="A4139" s="232">
        <v>43141</v>
      </c>
      <c r="B4139" s="26" t="s">
        <v>3224</v>
      </c>
      <c r="C4139" s="26" t="s">
        <v>1259</v>
      </c>
      <c r="D4139" s="8">
        <v>10000</v>
      </c>
      <c r="E4139" s="8"/>
      <c r="F4139" s="92">
        <f t="shared" si="57"/>
        <v>30558</v>
      </c>
    </row>
    <row r="4140" spans="1:6" x14ac:dyDescent="0.25">
      <c r="A4140" s="232">
        <v>43141</v>
      </c>
      <c r="B4140" s="26" t="s">
        <v>26</v>
      </c>
      <c r="C4140" s="26" t="s">
        <v>3225</v>
      </c>
      <c r="D4140" s="8">
        <v>2200</v>
      </c>
      <c r="E4140" s="8"/>
      <c r="F4140" s="92">
        <f t="shared" si="57"/>
        <v>28358</v>
      </c>
    </row>
    <row r="4141" spans="1:6" x14ac:dyDescent="0.25">
      <c r="A4141" s="232">
        <v>43141</v>
      </c>
      <c r="B4141" s="26" t="s">
        <v>61</v>
      </c>
      <c r="C4141" s="26" t="s">
        <v>3238</v>
      </c>
      <c r="D4141" s="8">
        <v>500</v>
      </c>
      <c r="E4141" s="8"/>
      <c r="F4141" s="92">
        <f t="shared" si="57"/>
        <v>27858</v>
      </c>
    </row>
    <row r="4142" spans="1:6" x14ac:dyDescent="0.25">
      <c r="A4142" s="232">
        <v>43141</v>
      </c>
      <c r="B4142" s="26" t="s">
        <v>2158</v>
      </c>
      <c r="C4142" s="26" t="s">
        <v>3226</v>
      </c>
      <c r="D4142" s="8">
        <v>5000</v>
      </c>
      <c r="E4142" s="8"/>
      <c r="F4142" s="92">
        <f t="shared" si="57"/>
        <v>22858</v>
      </c>
    </row>
    <row r="4143" spans="1:6" x14ac:dyDescent="0.25">
      <c r="A4143" s="232">
        <v>43141</v>
      </c>
      <c r="B4143" s="26" t="s">
        <v>26</v>
      </c>
      <c r="C4143" s="26" t="s">
        <v>3227</v>
      </c>
      <c r="D4143" s="8">
        <v>300</v>
      </c>
      <c r="E4143" s="8"/>
      <c r="F4143" s="92">
        <f t="shared" si="57"/>
        <v>22558</v>
      </c>
    </row>
    <row r="4144" spans="1:6" x14ac:dyDescent="0.25">
      <c r="A4144" s="232">
        <v>43141</v>
      </c>
      <c r="B4144" s="26" t="s">
        <v>17</v>
      </c>
      <c r="C4144" s="26" t="s">
        <v>3228</v>
      </c>
      <c r="D4144" s="8">
        <v>100</v>
      </c>
      <c r="E4144" s="8"/>
      <c r="F4144" s="92">
        <f t="shared" si="57"/>
        <v>22458</v>
      </c>
    </row>
    <row r="4145" spans="1:6" x14ac:dyDescent="0.25">
      <c r="A4145" s="232">
        <v>43141</v>
      </c>
      <c r="B4145" s="26" t="s">
        <v>1346</v>
      </c>
      <c r="C4145" s="26" t="s">
        <v>3229</v>
      </c>
      <c r="D4145" s="8">
        <v>2000</v>
      </c>
      <c r="E4145" s="8"/>
      <c r="F4145" s="92">
        <f t="shared" si="57"/>
        <v>20458</v>
      </c>
    </row>
    <row r="4146" spans="1:6" x14ac:dyDescent="0.25">
      <c r="A4146" s="232">
        <v>43141</v>
      </c>
      <c r="B4146" s="26" t="s">
        <v>3209</v>
      </c>
      <c r="C4146" s="26" t="s">
        <v>3230</v>
      </c>
      <c r="D4146" s="8">
        <v>500</v>
      </c>
      <c r="E4146" s="8"/>
      <c r="F4146" s="92">
        <f t="shared" si="57"/>
        <v>19958</v>
      </c>
    </row>
    <row r="4147" spans="1:6" x14ac:dyDescent="0.25">
      <c r="A4147" s="232">
        <v>43141</v>
      </c>
      <c r="B4147" s="26" t="s">
        <v>14</v>
      </c>
      <c r="C4147" s="26" t="s">
        <v>295</v>
      </c>
      <c r="D4147" s="8">
        <v>15000</v>
      </c>
      <c r="E4147" s="8"/>
      <c r="F4147" s="92">
        <f t="shared" si="57"/>
        <v>4958</v>
      </c>
    </row>
    <row r="4148" spans="1:6" x14ac:dyDescent="0.25">
      <c r="A4148" s="232">
        <v>43141</v>
      </c>
      <c r="B4148" s="26" t="s">
        <v>2158</v>
      </c>
      <c r="C4148" s="26" t="s">
        <v>3231</v>
      </c>
      <c r="D4148" s="8">
        <v>520</v>
      </c>
      <c r="E4148" s="8"/>
      <c r="F4148" s="92">
        <f t="shared" si="57"/>
        <v>4438</v>
      </c>
    </row>
    <row r="4149" spans="1:6" x14ac:dyDescent="0.25">
      <c r="A4149" s="232">
        <v>43141</v>
      </c>
      <c r="B4149" s="26" t="s">
        <v>26</v>
      </c>
      <c r="C4149" s="26" t="s">
        <v>3233</v>
      </c>
      <c r="D4149" s="8">
        <v>170</v>
      </c>
      <c r="E4149" s="8"/>
      <c r="F4149" s="92">
        <f t="shared" si="57"/>
        <v>4268</v>
      </c>
    </row>
    <row r="4150" spans="1:6" x14ac:dyDescent="0.25">
      <c r="A4150" s="232">
        <v>43141</v>
      </c>
      <c r="B4150" s="26" t="s">
        <v>542</v>
      </c>
      <c r="C4150" s="26" t="s">
        <v>3235</v>
      </c>
      <c r="D4150" s="8">
        <v>80</v>
      </c>
      <c r="E4150" s="8"/>
      <c r="F4150" s="92">
        <f t="shared" si="57"/>
        <v>4188</v>
      </c>
    </row>
    <row r="4151" spans="1:6" x14ac:dyDescent="0.25">
      <c r="A4151" s="232">
        <v>43141</v>
      </c>
      <c r="B4151" s="26" t="s">
        <v>26</v>
      </c>
      <c r="C4151" s="26" t="s">
        <v>3234</v>
      </c>
      <c r="D4151" s="8">
        <v>220</v>
      </c>
      <c r="E4151" s="8"/>
      <c r="F4151" s="92">
        <f t="shared" si="57"/>
        <v>3968</v>
      </c>
    </row>
    <row r="4152" spans="1:6" x14ac:dyDescent="0.25">
      <c r="A4152" s="232">
        <v>43141</v>
      </c>
      <c r="B4152" s="26" t="s">
        <v>26</v>
      </c>
      <c r="C4152" s="26" t="s">
        <v>1832</v>
      </c>
      <c r="D4152" s="8">
        <v>60</v>
      </c>
      <c r="E4152" s="8"/>
      <c r="F4152" s="92">
        <f t="shared" si="57"/>
        <v>3908</v>
      </c>
    </row>
    <row r="4153" spans="1:6" x14ac:dyDescent="0.25">
      <c r="A4153" s="232">
        <v>43141</v>
      </c>
      <c r="B4153" s="26" t="s">
        <v>26</v>
      </c>
      <c r="C4153" s="26" t="s">
        <v>3236</v>
      </c>
      <c r="D4153" s="8">
        <v>80</v>
      </c>
      <c r="E4153" s="8"/>
      <c r="F4153" s="92">
        <f t="shared" si="57"/>
        <v>3828</v>
      </c>
    </row>
    <row r="4154" spans="1:6" x14ac:dyDescent="0.25">
      <c r="A4154" s="232">
        <v>43141</v>
      </c>
      <c r="B4154" s="460" t="s">
        <v>3242</v>
      </c>
      <c r="C4154" s="460"/>
      <c r="D4154" s="71"/>
      <c r="E4154" s="58">
        <v>3648</v>
      </c>
      <c r="F4154" s="92">
        <v>3648</v>
      </c>
    </row>
    <row r="4155" spans="1:6" x14ac:dyDescent="0.25">
      <c r="A4155" s="232">
        <v>43143</v>
      </c>
      <c r="B4155" s="460" t="s">
        <v>3239</v>
      </c>
      <c r="C4155" s="460"/>
      <c r="D4155" s="71"/>
      <c r="E4155" s="58">
        <v>9100</v>
      </c>
      <c r="F4155" s="92">
        <f t="shared" si="57"/>
        <v>12748</v>
      </c>
    </row>
    <row r="4156" spans="1:6" x14ac:dyDescent="0.25">
      <c r="A4156" s="232">
        <v>43143</v>
      </c>
      <c r="B4156" s="26" t="s">
        <v>61</v>
      </c>
      <c r="C4156" s="26" t="s">
        <v>3240</v>
      </c>
      <c r="D4156" s="8">
        <v>2500</v>
      </c>
      <c r="E4156" s="8"/>
      <c r="F4156" s="92">
        <f t="shared" si="57"/>
        <v>10248</v>
      </c>
    </row>
    <row r="4157" spans="1:6" x14ac:dyDescent="0.25">
      <c r="A4157" s="232">
        <v>43143</v>
      </c>
      <c r="B4157" s="26" t="s">
        <v>59</v>
      </c>
      <c r="C4157" s="26" t="s">
        <v>3241</v>
      </c>
      <c r="D4157" s="8">
        <v>9500</v>
      </c>
      <c r="E4157" s="8"/>
      <c r="F4157" s="92">
        <f t="shared" si="57"/>
        <v>748</v>
      </c>
    </row>
    <row r="4158" spans="1:6" x14ac:dyDescent="0.25">
      <c r="A4158" s="232">
        <v>43144</v>
      </c>
      <c r="B4158" s="460" t="s">
        <v>3243</v>
      </c>
      <c r="C4158" s="460"/>
      <c r="D4158" s="71"/>
      <c r="E4158" s="58"/>
      <c r="F4158" s="92">
        <v>748</v>
      </c>
    </row>
    <row r="4159" spans="1:6" x14ac:dyDescent="0.25">
      <c r="A4159" s="232">
        <v>43144</v>
      </c>
      <c r="B4159" s="26" t="s">
        <v>542</v>
      </c>
      <c r="C4159" s="26" t="s">
        <v>2988</v>
      </c>
      <c r="D4159" s="8">
        <v>748</v>
      </c>
      <c r="E4159" s="8"/>
      <c r="F4159" s="92">
        <f t="shared" si="57"/>
        <v>0</v>
      </c>
    </row>
    <row r="4160" spans="1:6" x14ac:dyDescent="0.25">
      <c r="A4160" s="232">
        <v>43144</v>
      </c>
      <c r="B4160" s="460" t="s">
        <v>1984</v>
      </c>
      <c r="C4160" s="460"/>
      <c r="D4160" s="71"/>
      <c r="E4160" s="58">
        <v>180000</v>
      </c>
      <c r="F4160" s="92">
        <f t="shared" si="57"/>
        <v>180000</v>
      </c>
    </row>
    <row r="4161" spans="1:6" x14ac:dyDescent="0.25">
      <c r="A4161" s="232">
        <v>43145</v>
      </c>
      <c r="B4161" s="26" t="s">
        <v>2597</v>
      </c>
      <c r="C4161" s="26" t="s">
        <v>3262</v>
      </c>
      <c r="D4161" s="8">
        <v>37000</v>
      </c>
      <c r="E4161" s="8"/>
      <c r="F4161" s="92">
        <f t="shared" ref="F4161:F4325" si="58">F4160-D4161+E4161</f>
        <v>143000</v>
      </c>
    </row>
    <row r="4162" spans="1:6" x14ac:dyDescent="0.25">
      <c r="A4162" s="232">
        <v>43146</v>
      </c>
      <c r="B4162" s="26" t="s">
        <v>542</v>
      </c>
      <c r="C4162" s="26" t="s">
        <v>3251</v>
      </c>
      <c r="D4162" s="8">
        <v>25150</v>
      </c>
      <c r="E4162" s="8"/>
      <c r="F4162" s="92">
        <f t="shared" si="58"/>
        <v>117850</v>
      </c>
    </row>
    <row r="4163" spans="1:6" ht="30" x14ac:dyDescent="0.25">
      <c r="A4163" s="232">
        <v>43145</v>
      </c>
      <c r="B4163" s="26" t="s">
        <v>59</v>
      </c>
      <c r="C4163" s="87" t="s">
        <v>3254</v>
      </c>
      <c r="D4163" s="8">
        <v>8500</v>
      </c>
      <c r="E4163" s="8"/>
      <c r="F4163" s="92">
        <f t="shared" si="58"/>
        <v>109350</v>
      </c>
    </row>
    <row r="4164" spans="1:6" x14ac:dyDescent="0.25">
      <c r="A4164" s="232">
        <v>43145</v>
      </c>
      <c r="B4164" s="26" t="s">
        <v>85</v>
      </c>
      <c r="C4164" s="26" t="s">
        <v>3107</v>
      </c>
      <c r="D4164" s="8">
        <v>1500</v>
      </c>
      <c r="E4164" s="8"/>
      <c r="F4164" s="92">
        <f t="shared" si="58"/>
        <v>107850</v>
      </c>
    </row>
    <row r="4165" spans="1:6" x14ac:dyDescent="0.25">
      <c r="A4165" s="232">
        <v>43145</v>
      </c>
      <c r="B4165" s="26" t="s">
        <v>85</v>
      </c>
      <c r="C4165" s="26" t="s">
        <v>3255</v>
      </c>
      <c r="D4165" s="8">
        <v>4000</v>
      </c>
      <c r="E4165" s="8"/>
      <c r="F4165" s="92">
        <f t="shared" si="58"/>
        <v>103850</v>
      </c>
    </row>
    <row r="4166" spans="1:6" x14ac:dyDescent="0.25">
      <c r="A4166" s="232">
        <v>43145</v>
      </c>
      <c r="B4166" s="26" t="s">
        <v>2162</v>
      </c>
      <c r="C4166" s="26" t="s">
        <v>3263</v>
      </c>
      <c r="D4166" s="8">
        <v>15000</v>
      </c>
      <c r="E4166" s="8"/>
      <c r="F4166" s="92">
        <f t="shared" si="58"/>
        <v>88850</v>
      </c>
    </row>
    <row r="4167" spans="1:6" x14ac:dyDescent="0.25">
      <c r="A4167" s="232">
        <v>43144</v>
      </c>
      <c r="B4167" s="26" t="s">
        <v>2333</v>
      </c>
      <c r="C4167" s="26" t="s">
        <v>3249</v>
      </c>
      <c r="D4167" s="8">
        <f>10200+2500</f>
        <v>12700</v>
      </c>
      <c r="E4167" s="8"/>
      <c r="F4167" s="92">
        <f t="shared" si="58"/>
        <v>76150</v>
      </c>
    </row>
    <row r="4168" spans="1:6" x14ac:dyDescent="0.25">
      <c r="A4168" s="232">
        <v>43146</v>
      </c>
      <c r="B4168" s="26" t="s">
        <v>59</v>
      </c>
      <c r="C4168" s="26" t="s">
        <v>3253</v>
      </c>
      <c r="D4168" s="8">
        <v>10000</v>
      </c>
      <c r="E4168" s="8"/>
      <c r="F4168" s="92">
        <f t="shared" si="58"/>
        <v>66150</v>
      </c>
    </row>
    <row r="4169" spans="1:6" x14ac:dyDescent="0.25">
      <c r="A4169" s="232">
        <v>43145</v>
      </c>
      <c r="B4169" s="26" t="s">
        <v>3211</v>
      </c>
      <c r="C4169" s="26" t="s">
        <v>3264</v>
      </c>
      <c r="D4169" s="8">
        <v>7500</v>
      </c>
      <c r="E4169" s="8"/>
      <c r="F4169" s="92">
        <f t="shared" si="58"/>
        <v>58650</v>
      </c>
    </row>
    <row r="4170" spans="1:6" x14ac:dyDescent="0.25">
      <c r="A4170" s="232">
        <v>43144</v>
      </c>
      <c r="B4170" s="26" t="s">
        <v>17</v>
      </c>
      <c r="C4170" s="26" t="s">
        <v>3274</v>
      </c>
      <c r="D4170" s="8">
        <v>3600</v>
      </c>
      <c r="E4170" s="8"/>
      <c r="F4170" s="92">
        <f t="shared" si="58"/>
        <v>55050</v>
      </c>
    </row>
    <row r="4171" spans="1:6" x14ac:dyDescent="0.25">
      <c r="A4171" s="232">
        <v>43144</v>
      </c>
      <c r="B4171" s="26" t="s">
        <v>1619</v>
      </c>
      <c r="C4171" s="26" t="s">
        <v>3248</v>
      </c>
      <c r="D4171" s="8">
        <v>3000</v>
      </c>
      <c r="E4171" s="8"/>
      <c r="F4171" s="92">
        <f t="shared" si="58"/>
        <v>52050</v>
      </c>
    </row>
    <row r="4172" spans="1:6" ht="30" x14ac:dyDescent="0.25">
      <c r="A4172" s="232">
        <v>43144</v>
      </c>
      <c r="B4172" s="199" t="s">
        <v>11</v>
      </c>
      <c r="C4172" s="87" t="s">
        <v>3247</v>
      </c>
      <c r="D4172" s="8">
        <v>1620</v>
      </c>
      <c r="E4172" s="8"/>
      <c r="F4172" s="92">
        <f t="shared" si="58"/>
        <v>50430</v>
      </c>
    </row>
    <row r="4173" spans="1:6" x14ac:dyDescent="0.25">
      <c r="A4173" s="232">
        <v>43144</v>
      </c>
      <c r="B4173" s="26" t="s">
        <v>1619</v>
      </c>
      <c r="C4173" s="26" t="s">
        <v>3265</v>
      </c>
      <c r="D4173" s="8">
        <v>1500</v>
      </c>
      <c r="E4173" s="8"/>
      <c r="F4173" s="92">
        <f t="shared" si="58"/>
        <v>48930</v>
      </c>
    </row>
    <row r="4174" spans="1:6" ht="30" x14ac:dyDescent="0.25">
      <c r="A4174" s="232">
        <v>43146</v>
      </c>
      <c r="B4174" s="26" t="s">
        <v>3250</v>
      </c>
      <c r="C4174" s="87" t="s">
        <v>3259</v>
      </c>
      <c r="D4174" s="8">
        <v>2460</v>
      </c>
      <c r="E4174" s="8"/>
      <c r="F4174" s="92">
        <f t="shared" si="58"/>
        <v>46470</v>
      </c>
    </row>
    <row r="4175" spans="1:6" x14ac:dyDescent="0.25">
      <c r="A4175" s="232">
        <v>43144</v>
      </c>
      <c r="B4175" s="26" t="s">
        <v>85</v>
      </c>
      <c r="C4175" s="26" t="s">
        <v>3246</v>
      </c>
      <c r="D4175" s="8">
        <v>1000</v>
      </c>
      <c r="E4175" s="8"/>
      <c r="F4175" s="92">
        <f t="shared" si="58"/>
        <v>45470</v>
      </c>
    </row>
    <row r="4176" spans="1:6" x14ac:dyDescent="0.25">
      <c r="A4176" s="232">
        <v>43144</v>
      </c>
      <c r="B4176" s="26" t="s">
        <v>3244</v>
      </c>
      <c r="C4176" s="26" t="s">
        <v>3245</v>
      </c>
      <c r="D4176" s="8">
        <v>850</v>
      </c>
      <c r="E4176" s="8"/>
      <c r="F4176" s="92">
        <f t="shared" si="58"/>
        <v>44620</v>
      </c>
    </row>
    <row r="4177" spans="1:6" x14ac:dyDescent="0.25">
      <c r="A4177" s="232">
        <v>43146</v>
      </c>
      <c r="B4177" s="211" t="s">
        <v>248</v>
      </c>
      <c r="C4177" s="211" t="s">
        <v>3252</v>
      </c>
      <c r="D4177" s="95">
        <v>500</v>
      </c>
      <c r="E4177" s="8"/>
      <c r="F4177" s="92">
        <f t="shared" si="58"/>
        <v>44120</v>
      </c>
    </row>
    <row r="4178" spans="1:6" x14ac:dyDescent="0.25">
      <c r="A4178" s="232">
        <v>43146</v>
      </c>
      <c r="B4178" s="26" t="s">
        <v>3256</v>
      </c>
      <c r="C4178" s="26" t="s">
        <v>3257</v>
      </c>
      <c r="D4178" s="8">
        <v>300</v>
      </c>
      <c r="E4178" s="8"/>
      <c r="F4178" s="92">
        <f t="shared" si="58"/>
        <v>43820</v>
      </c>
    </row>
    <row r="4179" spans="1:6" x14ac:dyDescent="0.25">
      <c r="A4179" s="232">
        <v>43146</v>
      </c>
      <c r="B4179" s="26" t="s">
        <v>2597</v>
      </c>
      <c r="C4179" s="26" t="s">
        <v>41</v>
      </c>
      <c r="D4179" s="8">
        <v>40000</v>
      </c>
      <c r="E4179" s="8"/>
      <c r="F4179" s="92">
        <f t="shared" si="58"/>
        <v>3820</v>
      </c>
    </row>
    <row r="4180" spans="1:6" x14ac:dyDescent="0.25">
      <c r="A4180" s="232">
        <v>43146</v>
      </c>
      <c r="B4180" s="460" t="s">
        <v>2668</v>
      </c>
      <c r="C4180" s="460"/>
      <c r="D4180" s="71"/>
      <c r="E4180" s="58">
        <v>50000</v>
      </c>
      <c r="F4180" s="92">
        <f t="shared" si="58"/>
        <v>53820</v>
      </c>
    </row>
    <row r="4181" spans="1:6" x14ac:dyDescent="0.25">
      <c r="A4181" s="232">
        <v>43146</v>
      </c>
      <c r="B4181" s="26" t="s">
        <v>59</v>
      </c>
      <c r="C4181" s="26" t="s">
        <v>3261</v>
      </c>
      <c r="D4181" s="8">
        <v>7500</v>
      </c>
      <c r="E4181" s="8"/>
      <c r="F4181" s="92">
        <f t="shared" si="58"/>
        <v>46320</v>
      </c>
    </row>
    <row r="4182" spans="1:6" ht="30" x14ac:dyDescent="0.25">
      <c r="A4182" s="232">
        <v>43147</v>
      </c>
      <c r="B4182" s="199" t="s">
        <v>1840</v>
      </c>
      <c r="C4182" s="207" t="s">
        <v>3258</v>
      </c>
      <c r="D4182" s="91">
        <v>5000</v>
      </c>
      <c r="E4182" s="91"/>
      <c r="F4182" s="92">
        <f t="shared" si="58"/>
        <v>41320</v>
      </c>
    </row>
    <row r="4183" spans="1:6" x14ac:dyDescent="0.25">
      <c r="A4183" s="232">
        <v>43147</v>
      </c>
      <c r="B4183" s="211" t="s">
        <v>59</v>
      </c>
      <c r="C4183" s="211" t="s">
        <v>3260</v>
      </c>
      <c r="D4183" s="95">
        <v>500</v>
      </c>
      <c r="E4183" s="8"/>
      <c r="F4183" s="92">
        <f t="shared" si="58"/>
        <v>40820</v>
      </c>
    </row>
    <row r="4184" spans="1:6" x14ac:dyDescent="0.25">
      <c r="A4184" s="232">
        <v>43147</v>
      </c>
      <c r="B4184" s="26" t="s">
        <v>2597</v>
      </c>
      <c r="C4184" s="26" t="s">
        <v>295</v>
      </c>
      <c r="D4184" s="8">
        <v>30000</v>
      </c>
      <c r="E4184" s="8"/>
      <c r="F4184" s="92">
        <f t="shared" si="58"/>
        <v>10820</v>
      </c>
    </row>
    <row r="4185" spans="1:6" x14ac:dyDescent="0.25">
      <c r="A4185" s="232">
        <v>43147</v>
      </c>
      <c r="B4185" s="26" t="s">
        <v>26</v>
      </c>
      <c r="C4185" s="26" t="s">
        <v>3266</v>
      </c>
      <c r="D4185" s="8">
        <v>210</v>
      </c>
      <c r="E4185" s="8"/>
      <c r="F4185" s="92">
        <f t="shared" si="58"/>
        <v>10610</v>
      </c>
    </row>
    <row r="4186" spans="1:6" x14ac:dyDescent="0.25">
      <c r="A4186" s="232">
        <v>43147</v>
      </c>
      <c r="B4186" s="26" t="s">
        <v>26</v>
      </c>
      <c r="C4186" s="26" t="s">
        <v>942</v>
      </c>
      <c r="D4186" s="8">
        <v>380</v>
      </c>
      <c r="E4186" s="8"/>
      <c r="F4186" s="92">
        <f t="shared" si="58"/>
        <v>10230</v>
      </c>
    </row>
    <row r="4187" spans="1:6" x14ac:dyDescent="0.25">
      <c r="A4187" s="232">
        <v>43147</v>
      </c>
      <c r="B4187" s="26" t="s">
        <v>26</v>
      </c>
      <c r="C4187" s="26" t="s">
        <v>3271</v>
      </c>
      <c r="D4187" s="8">
        <v>80</v>
      </c>
      <c r="E4187" s="8"/>
      <c r="F4187" s="92">
        <f t="shared" si="58"/>
        <v>10150</v>
      </c>
    </row>
    <row r="4188" spans="1:6" x14ac:dyDescent="0.25">
      <c r="A4188" s="232">
        <v>43147</v>
      </c>
      <c r="B4188" s="26" t="s">
        <v>26</v>
      </c>
      <c r="C4188" s="26" t="s">
        <v>52</v>
      </c>
      <c r="D4188" s="8">
        <v>270</v>
      </c>
      <c r="E4188" s="8"/>
      <c r="F4188" s="92">
        <f t="shared" si="58"/>
        <v>9880</v>
      </c>
    </row>
    <row r="4189" spans="1:6" x14ac:dyDescent="0.25">
      <c r="A4189" s="232">
        <v>43147</v>
      </c>
      <c r="B4189" s="26" t="s">
        <v>26</v>
      </c>
      <c r="C4189" s="26" t="s">
        <v>82</v>
      </c>
      <c r="D4189" s="8">
        <v>100</v>
      </c>
      <c r="E4189" s="8"/>
      <c r="F4189" s="92">
        <f t="shared" si="58"/>
        <v>9780</v>
      </c>
    </row>
    <row r="4190" spans="1:6" x14ac:dyDescent="0.25">
      <c r="A4190" s="232">
        <v>43147</v>
      </c>
      <c r="B4190" s="26" t="s">
        <v>26</v>
      </c>
      <c r="C4190" s="26" t="s">
        <v>2662</v>
      </c>
      <c r="D4190" s="8">
        <v>350</v>
      </c>
      <c r="E4190" s="8"/>
      <c r="F4190" s="92">
        <f t="shared" si="58"/>
        <v>9430</v>
      </c>
    </row>
    <row r="4191" spans="1:6" x14ac:dyDescent="0.25">
      <c r="A4191" s="232">
        <v>43147</v>
      </c>
      <c r="B4191" s="26" t="s">
        <v>26</v>
      </c>
      <c r="C4191" s="26" t="s">
        <v>2744</v>
      </c>
      <c r="D4191" s="8">
        <v>240</v>
      </c>
      <c r="E4191" s="8"/>
      <c r="F4191" s="92">
        <f t="shared" si="58"/>
        <v>9190</v>
      </c>
    </row>
    <row r="4192" spans="1:6" x14ac:dyDescent="0.25">
      <c r="A4192" s="232">
        <v>43147</v>
      </c>
      <c r="B4192" s="26" t="s">
        <v>26</v>
      </c>
      <c r="C4192" s="26" t="s">
        <v>3267</v>
      </c>
      <c r="D4192" s="8">
        <v>70</v>
      </c>
      <c r="E4192" s="8"/>
      <c r="F4192" s="92">
        <f t="shared" si="58"/>
        <v>9120</v>
      </c>
    </row>
    <row r="4193" spans="1:6" x14ac:dyDescent="0.25">
      <c r="A4193" s="232">
        <v>43147</v>
      </c>
      <c r="B4193" s="26" t="s">
        <v>26</v>
      </c>
      <c r="C4193" s="26" t="s">
        <v>2688</v>
      </c>
      <c r="D4193" s="8">
        <v>20</v>
      </c>
      <c r="E4193" s="8"/>
      <c r="F4193" s="92">
        <f t="shared" si="58"/>
        <v>9100</v>
      </c>
    </row>
    <row r="4194" spans="1:6" x14ac:dyDescent="0.25">
      <c r="A4194" s="232">
        <v>43147</v>
      </c>
      <c r="B4194" s="26" t="s">
        <v>3268</v>
      </c>
      <c r="C4194" s="26" t="s">
        <v>2016</v>
      </c>
      <c r="D4194" s="8">
        <v>50</v>
      </c>
      <c r="E4194" s="8"/>
      <c r="F4194" s="92">
        <f t="shared" si="58"/>
        <v>9050</v>
      </c>
    </row>
    <row r="4195" spans="1:6" x14ac:dyDescent="0.25">
      <c r="A4195" s="232">
        <v>43147</v>
      </c>
      <c r="B4195" s="26" t="s">
        <v>26</v>
      </c>
      <c r="C4195" s="26" t="s">
        <v>668</v>
      </c>
      <c r="D4195" s="8">
        <v>100</v>
      </c>
      <c r="E4195" s="8"/>
      <c r="F4195" s="92">
        <f t="shared" si="58"/>
        <v>8950</v>
      </c>
    </row>
    <row r="4196" spans="1:6" x14ac:dyDescent="0.25">
      <c r="A4196" s="232">
        <v>43147</v>
      </c>
      <c r="B4196" s="26" t="s">
        <v>1840</v>
      </c>
      <c r="C4196" s="26" t="s">
        <v>3270</v>
      </c>
      <c r="D4196" s="8">
        <v>2300</v>
      </c>
      <c r="E4196" s="8"/>
      <c r="F4196" s="92">
        <f t="shared" si="58"/>
        <v>6650</v>
      </c>
    </row>
    <row r="4197" spans="1:6" x14ac:dyDescent="0.25">
      <c r="A4197" s="232">
        <v>43147</v>
      </c>
      <c r="B4197" s="26" t="s">
        <v>17</v>
      </c>
      <c r="C4197" s="26" t="s">
        <v>3275</v>
      </c>
      <c r="D4197" s="8">
        <v>1200</v>
      </c>
      <c r="E4197" s="8"/>
      <c r="F4197" s="92">
        <f t="shared" si="58"/>
        <v>5450</v>
      </c>
    </row>
    <row r="4198" spans="1:6" x14ac:dyDescent="0.25">
      <c r="A4198" s="232">
        <v>43147</v>
      </c>
      <c r="B4198" s="26" t="s">
        <v>0</v>
      </c>
      <c r="C4198" s="26" t="s">
        <v>1052</v>
      </c>
      <c r="D4198" s="8">
        <v>100</v>
      </c>
      <c r="E4198" s="8"/>
      <c r="F4198" s="92">
        <f t="shared" si="58"/>
        <v>5350</v>
      </c>
    </row>
    <row r="4199" spans="1:6" x14ac:dyDescent="0.25">
      <c r="A4199" s="232">
        <v>43148</v>
      </c>
      <c r="B4199" s="460" t="s">
        <v>3269</v>
      </c>
      <c r="C4199" s="460"/>
      <c r="D4199" s="71"/>
      <c r="E4199" s="58">
        <v>5750</v>
      </c>
      <c r="F4199" s="92">
        <f t="shared" si="58"/>
        <v>11100</v>
      </c>
    </row>
    <row r="4200" spans="1:6" x14ac:dyDescent="0.25">
      <c r="A4200" s="232">
        <v>43148</v>
      </c>
      <c r="B4200" s="26" t="s">
        <v>26</v>
      </c>
      <c r="C4200" s="26" t="s">
        <v>3120</v>
      </c>
      <c r="D4200" s="8">
        <v>80</v>
      </c>
      <c r="E4200" s="8"/>
      <c r="F4200" s="92">
        <f t="shared" si="58"/>
        <v>11020</v>
      </c>
    </row>
    <row r="4201" spans="1:6" x14ac:dyDescent="0.25">
      <c r="A4201" s="232">
        <v>43148</v>
      </c>
      <c r="B4201" s="26" t="s">
        <v>26</v>
      </c>
      <c r="C4201" s="26" t="s">
        <v>2662</v>
      </c>
      <c r="D4201" s="8">
        <v>350</v>
      </c>
      <c r="E4201" s="8"/>
      <c r="F4201" s="92">
        <f t="shared" si="58"/>
        <v>10670</v>
      </c>
    </row>
    <row r="4202" spans="1:6" x14ac:dyDescent="0.25">
      <c r="A4202" s="232">
        <v>43148</v>
      </c>
      <c r="B4202" s="26" t="s">
        <v>26</v>
      </c>
      <c r="C4202" s="26" t="s">
        <v>1832</v>
      </c>
      <c r="D4202" s="8">
        <v>60</v>
      </c>
      <c r="E4202" s="8"/>
      <c r="F4202" s="92">
        <f t="shared" si="58"/>
        <v>10610</v>
      </c>
    </row>
    <row r="4203" spans="1:6" x14ac:dyDescent="0.25">
      <c r="A4203" s="232">
        <v>43148</v>
      </c>
      <c r="B4203" s="26" t="s">
        <v>26</v>
      </c>
      <c r="C4203" s="26" t="s">
        <v>3272</v>
      </c>
      <c r="D4203" s="8">
        <v>350</v>
      </c>
      <c r="E4203" s="8"/>
      <c r="F4203" s="92">
        <f t="shared" si="58"/>
        <v>10260</v>
      </c>
    </row>
    <row r="4204" spans="1:6" x14ac:dyDescent="0.25">
      <c r="A4204" s="232">
        <v>43148</v>
      </c>
      <c r="B4204" s="26" t="s">
        <v>26</v>
      </c>
      <c r="C4204" s="26" t="s">
        <v>3273</v>
      </c>
      <c r="D4204" s="8">
        <v>410</v>
      </c>
      <c r="E4204" s="8"/>
      <c r="F4204" s="92">
        <f t="shared" si="58"/>
        <v>9850</v>
      </c>
    </row>
    <row r="4205" spans="1:6" x14ac:dyDescent="0.25">
      <c r="A4205" s="232">
        <v>43148</v>
      </c>
      <c r="B4205" s="26" t="s">
        <v>26</v>
      </c>
      <c r="C4205" s="26" t="s">
        <v>3276</v>
      </c>
      <c r="D4205" s="8">
        <v>480</v>
      </c>
      <c r="E4205" s="8"/>
      <c r="F4205" s="92">
        <f t="shared" si="58"/>
        <v>9370</v>
      </c>
    </row>
    <row r="4206" spans="1:6" x14ac:dyDescent="0.25">
      <c r="A4206" s="232">
        <v>43150</v>
      </c>
      <c r="B4206" s="26" t="s">
        <v>542</v>
      </c>
      <c r="C4206" s="26" t="s">
        <v>641</v>
      </c>
      <c r="D4206" s="8">
        <v>5000</v>
      </c>
      <c r="E4206" s="8"/>
      <c r="F4206" s="92">
        <f t="shared" si="58"/>
        <v>4370</v>
      </c>
    </row>
    <row r="4207" spans="1:6" x14ac:dyDescent="0.25">
      <c r="A4207" s="232">
        <v>43150</v>
      </c>
      <c r="B4207" s="29" t="s">
        <v>59</v>
      </c>
      <c r="C4207" s="29" t="s">
        <v>3277</v>
      </c>
      <c r="D4207" s="14">
        <v>200</v>
      </c>
      <c r="E4207" s="8"/>
      <c r="F4207" s="92">
        <f t="shared" si="58"/>
        <v>4170</v>
      </c>
    </row>
    <row r="4208" spans="1:6" ht="30" x14ac:dyDescent="0.25">
      <c r="A4208" s="232">
        <v>43150</v>
      </c>
      <c r="B4208" s="26" t="s">
        <v>2162</v>
      </c>
      <c r="C4208" s="87" t="s">
        <v>3353</v>
      </c>
      <c r="D4208" s="8">
        <v>3500</v>
      </c>
      <c r="E4208" s="8"/>
      <c r="F4208" s="92">
        <f t="shared" si="58"/>
        <v>670</v>
      </c>
    </row>
    <row r="4209" spans="1:6" x14ac:dyDescent="0.25">
      <c r="A4209" s="232">
        <v>43152</v>
      </c>
      <c r="B4209" s="26" t="s">
        <v>26</v>
      </c>
      <c r="C4209" s="26" t="s">
        <v>3278</v>
      </c>
      <c r="D4209" s="8">
        <v>160</v>
      </c>
      <c r="E4209" s="8"/>
      <c r="F4209" s="92">
        <f t="shared" si="58"/>
        <v>510</v>
      </c>
    </row>
    <row r="4210" spans="1:6" x14ac:dyDescent="0.25">
      <c r="A4210" s="232">
        <v>43152</v>
      </c>
      <c r="B4210" s="26" t="s">
        <v>26</v>
      </c>
      <c r="C4210" s="26" t="s">
        <v>3279</v>
      </c>
      <c r="D4210" s="8">
        <v>70</v>
      </c>
      <c r="E4210" s="8"/>
      <c r="F4210" s="92">
        <f t="shared" si="58"/>
        <v>440</v>
      </c>
    </row>
    <row r="4211" spans="1:6" x14ac:dyDescent="0.25">
      <c r="A4211" s="232">
        <v>43152</v>
      </c>
      <c r="B4211" s="26" t="s">
        <v>26</v>
      </c>
      <c r="C4211" s="26" t="s">
        <v>1832</v>
      </c>
      <c r="D4211" s="8">
        <v>70</v>
      </c>
      <c r="E4211" s="8"/>
      <c r="F4211" s="92">
        <f t="shared" si="58"/>
        <v>370</v>
      </c>
    </row>
    <row r="4212" spans="1:6" x14ac:dyDescent="0.25">
      <c r="A4212" s="232">
        <v>43152</v>
      </c>
      <c r="B4212" s="460" t="s">
        <v>1984</v>
      </c>
      <c r="C4212" s="460"/>
      <c r="D4212" s="71"/>
      <c r="E4212" s="58">
        <v>5000</v>
      </c>
      <c r="F4212" s="92">
        <f t="shared" si="58"/>
        <v>5370</v>
      </c>
    </row>
    <row r="4213" spans="1:6" x14ac:dyDescent="0.25">
      <c r="A4213" s="232">
        <v>43152</v>
      </c>
      <c r="B4213" s="26" t="s">
        <v>26</v>
      </c>
      <c r="C4213" s="26" t="s">
        <v>3280</v>
      </c>
      <c r="D4213" s="8">
        <v>1040</v>
      </c>
      <c r="E4213" s="8"/>
      <c r="F4213" s="92">
        <f t="shared" si="58"/>
        <v>4330</v>
      </c>
    </row>
    <row r="4214" spans="1:6" x14ac:dyDescent="0.25">
      <c r="A4214" s="232">
        <v>43152</v>
      </c>
      <c r="B4214" s="26" t="s">
        <v>26</v>
      </c>
      <c r="C4214" s="26" t="s">
        <v>3281</v>
      </c>
      <c r="D4214" s="8">
        <v>150</v>
      </c>
      <c r="E4214" s="8"/>
      <c r="F4214" s="92">
        <f t="shared" si="58"/>
        <v>4180</v>
      </c>
    </row>
    <row r="4215" spans="1:6" x14ac:dyDescent="0.25">
      <c r="A4215" s="232">
        <v>43152</v>
      </c>
      <c r="B4215" s="26" t="s">
        <v>542</v>
      </c>
      <c r="C4215" s="26" t="s">
        <v>3120</v>
      </c>
      <c r="D4215" s="8">
        <v>70</v>
      </c>
      <c r="E4215" s="8"/>
      <c r="F4215" s="92">
        <f t="shared" si="58"/>
        <v>4110</v>
      </c>
    </row>
    <row r="4216" spans="1:6" x14ac:dyDescent="0.25">
      <c r="A4216" s="232">
        <v>43152</v>
      </c>
      <c r="B4216" s="26" t="s">
        <v>85</v>
      </c>
      <c r="C4216" s="26" t="s">
        <v>3282</v>
      </c>
      <c r="D4216" s="8">
        <v>2000</v>
      </c>
      <c r="E4216" s="8"/>
      <c r="F4216" s="92">
        <f t="shared" si="58"/>
        <v>2110</v>
      </c>
    </row>
    <row r="4217" spans="1:6" x14ac:dyDescent="0.25">
      <c r="A4217" s="232">
        <v>43152</v>
      </c>
      <c r="B4217" s="26" t="s">
        <v>59</v>
      </c>
      <c r="C4217" s="26" t="s">
        <v>3283</v>
      </c>
      <c r="D4217" s="8">
        <v>750</v>
      </c>
      <c r="E4217" s="8"/>
      <c r="F4217" s="92">
        <f t="shared" si="58"/>
        <v>1360</v>
      </c>
    </row>
    <row r="4218" spans="1:6" x14ac:dyDescent="0.25">
      <c r="A4218" s="232">
        <v>43152</v>
      </c>
      <c r="B4218" s="26" t="s">
        <v>59</v>
      </c>
      <c r="C4218" s="26" t="s">
        <v>3284</v>
      </c>
      <c r="D4218" s="8">
        <v>250</v>
      </c>
      <c r="E4218" s="8"/>
      <c r="F4218" s="92">
        <f t="shared" si="58"/>
        <v>1110</v>
      </c>
    </row>
    <row r="4219" spans="1:6" x14ac:dyDescent="0.25">
      <c r="A4219" s="232">
        <v>43153</v>
      </c>
      <c r="B4219" s="26" t="s">
        <v>248</v>
      </c>
      <c r="C4219" s="26" t="s">
        <v>3285</v>
      </c>
      <c r="D4219" s="8">
        <v>185</v>
      </c>
      <c r="E4219" s="8"/>
      <c r="F4219" s="92">
        <f t="shared" si="58"/>
        <v>925</v>
      </c>
    </row>
    <row r="4220" spans="1:6" x14ac:dyDescent="0.25">
      <c r="A4220" s="232">
        <v>43153</v>
      </c>
      <c r="B4220" s="26" t="s">
        <v>26</v>
      </c>
      <c r="C4220" s="26" t="s">
        <v>2662</v>
      </c>
      <c r="D4220" s="8">
        <v>360</v>
      </c>
      <c r="E4220" s="8"/>
      <c r="F4220" s="92">
        <f t="shared" si="58"/>
        <v>565</v>
      </c>
    </row>
    <row r="4221" spans="1:6" x14ac:dyDescent="0.25">
      <c r="A4221" s="232">
        <v>43153</v>
      </c>
      <c r="B4221" s="26" t="s">
        <v>26</v>
      </c>
      <c r="C4221" s="26" t="s">
        <v>3286</v>
      </c>
      <c r="D4221" s="8">
        <v>30</v>
      </c>
      <c r="E4221" s="8"/>
      <c r="F4221" s="92">
        <f t="shared" si="58"/>
        <v>535</v>
      </c>
    </row>
    <row r="4222" spans="1:6" x14ac:dyDescent="0.25">
      <c r="A4222" s="232">
        <v>43152</v>
      </c>
      <c r="B4222" s="26" t="s">
        <v>542</v>
      </c>
      <c r="C4222" s="26" t="s">
        <v>3120</v>
      </c>
      <c r="D4222" s="8">
        <v>70</v>
      </c>
      <c r="E4222" s="8"/>
      <c r="F4222" s="92">
        <f t="shared" si="58"/>
        <v>465</v>
      </c>
    </row>
    <row r="4223" spans="1:6" x14ac:dyDescent="0.25">
      <c r="A4223" s="232">
        <v>43152</v>
      </c>
      <c r="B4223" s="26" t="s">
        <v>26</v>
      </c>
      <c r="C4223" s="26" t="s">
        <v>3040</v>
      </c>
      <c r="D4223" s="8">
        <v>150</v>
      </c>
      <c r="E4223" s="8"/>
      <c r="F4223" s="92">
        <f t="shared" si="58"/>
        <v>315</v>
      </c>
    </row>
    <row r="4224" spans="1:6" x14ac:dyDescent="0.25">
      <c r="A4224" s="232">
        <v>43152</v>
      </c>
      <c r="B4224" s="26" t="s">
        <v>26</v>
      </c>
      <c r="C4224" s="26" t="s">
        <v>3287</v>
      </c>
      <c r="D4224" s="8">
        <v>240</v>
      </c>
      <c r="E4224" s="8"/>
      <c r="F4224" s="92">
        <f t="shared" si="58"/>
        <v>75</v>
      </c>
    </row>
    <row r="4225" spans="1:6" x14ac:dyDescent="0.25">
      <c r="A4225" s="232">
        <v>43153</v>
      </c>
      <c r="B4225" s="460" t="s">
        <v>1984</v>
      </c>
      <c r="C4225" s="460"/>
      <c r="D4225" s="71"/>
      <c r="E4225" s="58">
        <v>97000</v>
      </c>
      <c r="F4225" s="92">
        <f t="shared" si="58"/>
        <v>97075</v>
      </c>
    </row>
    <row r="4226" spans="1:6" x14ac:dyDescent="0.25">
      <c r="A4226" s="232">
        <v>43154</v>
      </c>
      <c r="B4226" s="26" t="s">
        <v>26</v>
      </c>
      <c r="C4226" s="26" t="s">
        <v>3297</v>
      </c>
      <c r="D4226" s="8">
        <v>5000</v>
      </c>
      <c r="E4226" s="8"/>
      <c r="F4226" s="92">
        <f t="shared" si="58"/>
        <v>92075</v>
      </c>
    </row>
    <row r="4227" spans="1:6" x14ac:dyDescent="0.25">
      <c r="A4227" s="232">
        <v>43154</v>
      </c>
      <c r="B4227" s="26" t="s">
        <v>14</v>
      </c>
      <c r="C4227" s="26" t="s">
        <v>3292</v>
      </c>
      <c r="D4227" s="8">
        <v>2000</v>
      </c>
      <c r="E4227" s="8"/>
      <c r="F4227" s="92">
        <f t="shared" si="58"/>
        <v>90075</v>
      </c>
    </row>
    <row r="4228" spans="1:6" x14ac:dyDescent="0.25">
      <c r="A4228" s="232">
        <v>43154</v>
      </c>
      <c r="B4228" s="26" t="s">
        <v>29</v>
      </c>
      <c r="C4228" s="26" t="s">
        <v>3298</v>
      </c>
      <c r="D4228" s="8">
        <v>5000</v>
      </c>
      <c r="E4228" s="8"/>
      <c r="F4228" s="92">
        <f t="shared" si="58"/>
        <v>85075</v>
      </c>
    </row>
    <row r="4229" spans="1:6" x14ac:dyDescent="0.25">
      <c r="A4229" s="232">
        <v>43154</v>
      </c>
      <c r="B4229" s="26" t="s">
        <v>3211</v>
      </c>
      <c r="C4229" s="26" t="s">
        <v>3288</v>
      </c>
      <c r="D4229" s="8">
        <v>5000</v>
      </c>
      <c r="E4229" s="8"/>
      <c r="F4229" s="92">
        <f t="shared" si="58"/>
        <v>80075</v>
      </c>
    </row>
    <row r="4230" spans="1:6" x14ac:dyDescent="0.25">
      <c r="A4230" s="232">
        <v>43154</v>
      </c>
      <c r="B4230" s="26" t="s">
        <v>14</v>
      </c>
      <c r="C4230" s="26" t="s">
        <v>2640</v>
      </c>
      <c r="D4230" s="8">
        <v>1000</v>
      </c>
      <c r="E4230" s="8"/>
      <c r="F4230" s="92">
        <f t="shared" si="58"/>
        <v>79075</v>
      </c>
    </row>
    <row r="4231" spans="1:6" x14ac:dyDescent="0.25">
      <c r="A4231" s="232">
        <v>43154</v>
      </c>
      <c r="B4231" s="26" t="s">
        <v>14</v>
      </c>
      <c r="C4231" s="26" t="s">
        <v>3299</v>
      </c>
      <c r="D4231" s="161">
        <v>2300</v>
      </c>
      <c r="E4231" s="8"/>
      <c r="F4231" s="92">
        <f t="shared" si="58"/>
        <v>76775</v>
      </c>
    </row>
    <row r="4232" spans="1:6" x14ac:dyDescent="0.25">
      <c r="A4232" s="232">
        <v>43154</v>
      </c>
      <c r="B4232" s="26" t="s">
        <v>26</v>
      </c>
      <c r="C4232" s="26" t="s">
        <v>3289</v>
      </c>
      <c r="D4232" s="8">
        <v>700</v>
      </c>
      <c r="E4232" s="8"/>
      <c r="F4232" s="92">
        <f t="shared" si="58"/>
        <v>76075</v>
      </c>
    </row>
    <row r="4233" spans="1:6" x14ac:dyDescent="0.25">
      <c r="A4233" s="232">
        <v>43154</v>
      </c>
      <c r="B4233" s="26" t="s">
        <v>29</v>
      </c>
      <c r="C4233" s="26" t="s">
        <v>3300</v>
      </c>
      <c r="D4233" s="8">
        <v>5000</v>
      </c>
      <c r="E4233" s="8"/>
      <c r="F4233" s="92">
        <f t="shared" si="58"/>
        <v>71075</v>
      </c>
    </row>
    <row r="4234" spans="1:6" x14ac:dyDescent="0.25">
      <c r="A4234" s="232">
        <v>43154</v>
      </c>
      <c r="B4234" s="26" t="s">
        <v>2597</v>
      </c>
      <c r="C4234" s="26" t="s">
        <v>3290</v>
      </c>
      <c r="D4234" s="8">
        <v>2500</v>
      </c>
      <c r="E4234" s="8"/>
      <c r="F4234" s="92">
        <f t="shared" si="58"/>
        <v>68575</v>
      </c>
    </row>
    <row r="4235" spans="1:6" x14ac:dyDescent="0.25">
      <c r="A4235" s="232">
        <v>43154</v>
      </c>
      <c r="B4235" s="26" t="s">
        <v>61</v>
      </c>
      <c r="C4235" s="26" t="s">
        <v>3296</v>
      </c>
      <c r="D4235" s="8">
        <v>1100</v>
      </c>
      <c r="E4235" s="8"/>
      <c r="F4235" s="92">
        <f t="shared" si="58"/>
        <v>67475</v>
      </c>
    </row>
    <row r="4236" spans="1:6" x14ac:dyDescent="0.25">
      <c r="A4236" s="232">
        <v>43154</v>
      </c>
      <c r="B4236" s="26" t="s">
        <v>14</v>
      </c>
      <c r="C4236" s="26" t="s">
        <v>3292</v>
      </c>
      <c r="D4236" s="8">
        <v>5000</v>
      </c>
      <c r="E4236" s="8"/>
      <c r="F4236" s="92">
        <f t="shared" si="58"/>
        <v>62475</v>
      </c>
    </row>
    <row r="4237" spans="1:6" x14ac:dyDescent="0.25">
      <c r="A4237" s="232">
        <v>43154</v>
      </c>
      <c r="B4237" s="26" t="s">
        <v>3211</v>
      </c>
      <c r="C4237" s="26" t="s">
        <v>3291</v>
      </c>
      <c r="D4237" s="8">
        <v>5000</v>
      </c>
      <c r="E4237" s="8"/>
      <c r="F4237" s="92">
        <f t="shared" si="58"/>
        <v>57475</v>
      </c>
    </row>
    <row r="4238" spans="1:6" x14ac:dyDescent="0.25">
      <c r="A4238" s="232">
        <v>43154</v>
      </c>
      <c r="B4238" s="26" t="s">
        <v>1196</v>
      </c>
      <c r="C4238" s="26" t="s">
        <v>3293</v>
      </c>
      <c r="D4238" s="8">
        <v>1500</v>
      </c>
      <c r="E4238" s="8"/>
      <c r="F4238" s="92">
        <f t="shared" si="58"/>
        <v>55975</v>
      </c>
    </row>
    <row r="4239" spans="1:6" x14ac:dyDescent="0.25">
      <c r="A4239" s="232">
        <v>43155</v>
      </c>
      <c r="B4239" s="26" t="s">
        <v>3211</v>
      </c>
      <c r="C4239" s="26" t="s">
        <v>3294</v>
      </c>
      <c r="D4239" s="8">
        <v>5000</v>
      </c>
      <c r="E4239" s="8"/>
      <c r="F4239" s="92">
        <f t="shared" si="58"/>
        <v>50975</v>
      </c>
    </row>
    <row r="4240" spans="1:6" x14ac:dyDescent="0.25">
      <c r="A4240" s="232">
        <v>43155</v>
      </c>
      <c r="B4240" s="26" t="s">
        <v>61</v>
      </c>
      <c r="C4240" s="26" t="s">
        <v>3295</v>
      </c>
      <c r="D4240" s="8">
        <v>2000</v>
      </c>
      <c r="E4240" s="8"/>
      <c r="F4240" s="92">
        <f t="shared" si="58"/>
        <v>48975</v>
      </c>
    </row>
    <row r="4241" spans="1:6" x14ac:dyDescent="0.25">
      <c r="A4241" s="232">
        <v>43155</v>
      </c>
      <c r="B4241" s="26" t="s">
        <v>0</v>
      </c>
      <c r="C4241" s="26" t="s">
        <v>3301</v>
      </c>
      <c r="D4241" s="8">
        <v>500</v>
      </c>
      <c r="E4241" s="8"/>
      <c r="F4241" s="92">
        <f t="shared" si="58"/>
        <v>48475</v>
      </c>
    </row>
    <row r="4242" spans="1:6" x14ac:dyDescent="0.25">
      <c r="A4242" s="232">
        <v>43155</v>
      </c>
      <c r="B4242" s="26" t="s">
        <v>17</v>
      </c>
      <c r="C4242" s="26" t="s">
        <v>3302</v>
      </c>
      <c r="D4242" s="8">
        <v>1500</v>
      </c>
      <c r="E4242" s="8"/>
      <c r="F4242" s="92">
        <f t="shared" si="58"/>
        <v>46975</v>
      </c>
    </row>
    <row r="4243" spans="1:6" x14ac:dyDescent="0.25">
      <c r="A4243" s="232">
        <v>43155</v>
      </c>
      <c r="B4243" s="26" t="s">
        <v>61</v>
      </c>
      <c r="C4243" s="26" t="s">
        <v>3304</v>
      </c>
      <c r="D4243" s="8">
        <v>1000</v>
      </c>
      <c r="E4243" s="8"/>
      <c r="F4243" s="92">
        <f t="shared" si="58"/>
        <v>45975</v>
      </c>
    </row>
    <row r="4244" spans="1:6" x14ac:dyDescent="0.25">
      <c r="A4244" s="232">
        <v>43155</v>
      </c>
      <c r="B4244" s="26" t="s">
        <v>85</v>
      </c>
      <c r="C4244" s="26" t="s">
        <v>3303</v>
      </c>
      <c r="D4244" s="8">
        <v>5000</v>
      </c>
      <c r="E4244" s="8"/>
      <c r="F4244" s="92">
        <f t="shared" si="58"/>
        <v>40975</v>
      </c>
    </row>
    <row r="4245" spans="1:6" x14ac:dyDescent="0.25">
      <c r="A4245" s="232">
        <v>43155</v>
      </c>
      <c r="B4245" s="26" t="s">
        <v>29</v>
      </c>
      <c r="C4245" s="26" t="s">
        <v>3300</v>
      </c>
      <c r="D4245" s="8">
        <v>4000</v>
      </c>
      <c r="E4245" s="8"/>
      <c r="F4245" s="92">
        <f t="shared" si="58"/>
        <v>36975</v>
      </c>
    </row>
    <row r="4246" spans="1:6" x14ac:dyDescent="0.25">
      <c r="A4246" s="232">
        <v>43155</v>
      </c>
      <c r="B4246" s="26" t="s">
        <v>17</v>
      </c>
      <c r="C4246" s="26" t="s">
        <v>1533</v>
      </c>
      <c r="D4246" s="8">
        <v>1200</v>
      </c>
      <c r="E4246" s="8"/>
      <c r="F4246" s="92">
        <f t="shared" si="58"/>
        <v>35775</v>
      </c>
    </row>
    <row r="4247" spans="1:6" x14ac:dyDescent="0.25">
      <c r="A4247" s="232">
        <v>43155</v>
      </c>
      <c r="B4247" s="26" t="s">
        <v>26</v>
      </c>
      <c r="C4247" s="26" t="s">
        <v>3305</v>
      </c>
      <c r="D4247" s="8">
        <v>140</v>
      </c>
      <c r="E4247" s="8"/>
      <c r="F4247" s="92">
        <f t="shared" si="58"/>
        <v>35635</v>
      </c>
    </row>
    <row r="4248" spans="1:6" x14ac:dyDescent="0.25">
      <c r="A4248" s="232">
        <v>43155</v>
      </c>
      <c r="B4248" s="26" t="s">
        <v>26</v>
      </c>
      <c r="C4248" s="26" t="s">
        <v>3306</v>
      </c>
      <c r="D4248" s="8">
        <v>440</v>
      </c>
      <c r="E4248" s="8"/>
      <c r="F4248" s="92">
        <f t="shared" si="58"/>
        <v>35195</v>
      </c>
    </row>
    <row r="4249" spans="1:6" x14ac:dyDescent="0.25">
      <c r="A4249" s="232">
        <v>43155</v>
      </c>
      <c r="B4249" s="26" t="s">
        <v>542</v>
      </c>
      <c r="C4249" s="26" t="s">
        <v>3120</v>
      </c>
      <c r="D4249" s="8">
        <v>90</v>
      </c>
      <c r="E4249" s="8"/>
      <c r="F4249" s="92">
        <f t="shared" si="58"/>
        <v>35105</v>
      </c>
    </row>
    <row r="4250" spans="1:6" x14ac:dyDescent="0.25">
      <c r="A4250" s="232">
        <v>43155</v>
      </c>
      <c r="B4250" s="26" t="s">
        <v>14</v>
      </c>
      <c r="C4250" s="26" t="s">
        <v>52</v>
      </c>
      <c r="D4250" s="8">
        <v>75</v>
      </c>
      <c r="E4250" s="8"/>
      <c r="F4250" s="92">
        <f t="shared" si="58"/>
        <v>35030</v>
      </c>
    </row>
    <row r="4251" spans="1:6" x14ac:dyDescent="0.25">
      <c r="A4251" s="232">
        <v>43157</v>
      </c>
      <c r="B4251" s="26" t="s">
        <v>1840</v>
      </c>
      <c r="C4251" s="26" t="s">
        <v>3307</v>
      </c>
      <c r="D4251" s="8">
        <v>5000</v>
      </c>
      <c r="E4251" s="8"/>
      <c r="F4251" s="92">
        <f t="shared" si="58"/>
        <v>30030</v>
      </c>
    </row>
    <row r="4252" spans="1:6" x14ac:dyDescent="0.25">
      <c r="A4252" s="232">
        <v>43157</v>
      </c>
      <c r="B4252" s="26" t="s">
        <v>2597</v>
      </c>
      <c r="C4252" s="26" t="s">
        <v>3308</v>
      </c>
      <c r="D4252" s="8">
        <v>25000</v>
      </c>
      <c r="E4252" s="8"/>
      <c r="F4252" s="92">
        <f t="shared" si="58"/>
        <v>5030</v>
      </c>
    </row>
    <row r="4253" spans="1:6" x14ac:dyDescent="0.25">
      <c r="A4253" s="232">
        <v>43157</v>
      </c>
      <c r="B4253" s="26" t="s">
        <v>2099</v>
      </c>
      <c r="C4253" s="26" t="s">
        <v>1533</v>
      </c>
      <c r="D4253" s="8">
        <v>4000</v>
      </c>
      <c r="E4253" s="8"/>
      <c r="F4253" s="92">
        <f t="shared" si="58"/>
        <v>1030</v>
      </c>
    </row>
    <row r="4254" spans="1:6" x14ac:dyDescent="0.25">
      <c r="A4254" s="232">
        <v>43157</v>
      </c>
      <c r="B4254" s="26" t="s">
        <v>3309</v>
      </c>
      <c r="C4254" s="26" t="s">
        <v>3310</v>
      </c>
      <c r="D4254" s="8">
        <v>100</v>
      </c>
      <c r="E4254" s="8"/>
      <c r="F4254" s="92">
        <f t="shared" si="58"/>
        <v>930</v>
      </c>
    </row>
    <row r="4255" spans="1:6" x14ac:dyDescent="0.25">
      <c r="A4255" s="232">
        <v>43157</v>
      </c>
      <c r="B4255" s="26" t="s">
        <v>26</v>
      </c>
      <c r="C4255" s="26" t="s">
        <v>3311</v>
      </c>
      <c r="D4255" s="8">
        <v>40</v>
      </c>
      <c r="E4255" s="8"/>
      <c r="F4255" s="92">
        <f t="shared" si="58"/>
        <v>890</v>
      </c>
    </row>
    <row r="4256" spans="1:6" x14ac:dyDescent="0.25">
      <c r="A4256" s="232">
        <v>43157</v>
      </c>
      <c r="B4256" s="26" t="s">
        <v>26</v>
      </c>
      <c r="C4256" s="26" t="s">
        <v>3312</v>
      </c>
      <c r="D4256" s="8">
        <v>135</v>
      </c>
      <c r="E4256" s="8"/>
      <c r="F4256" s="92">
        <f t="shared" si="58"/>
        <v>755</v>
      </c>
    </row>
    <row r="4257" spans="1:6" x14ac:dyDescent="0.25">
      <c r="A4257" s="232">
        <v>43157</v>
      </c>
      <c r="B4257" s="26" t="s">
        <v>26</v>
      </c>
      <c r="C4257" s="26" t="s">
        <v>2662</v>
      </c>
      <c r="D4257" s="8">
        <v>360</v>
      </c>
      <c r="E4257" s="8"/>
      <c r="F4257" s="92">
        <f t="shared" si="58"/>
        <v>395</v>
      </c>
    </row>
    <row r="4258" spans="1:6" x14ac:dyDescent="0.25">
      <c r="A4258" s="232">
        <v>43157</v>
      </c>
      <c r="B4258" s="26" t="s">
        <v>26</v>
      </c>
      <c r="C4258" s="26" t="s">
        <v>668</v>
      </c>
      <c r="D4258" s="8">
        <v>110</v>
      </c>
      <c r="E4258" s="8"/>
      <c r="F4258" s="92">
        <f t="shared" si="58"/>
        <v>285</v>
      </c>
    </row>
    <row r="4259" spans="1:6" x14ac:dyDescent="0.25">
      <c r="A4259" s="232">
        <v>43157</v>
      </c>
      <c r="B4259" s="26" t="s">
        <v>26</v>
      </c>
      <c r="C4259" s="26" t="s">
        <v>3313</v>
      </c>
      <c r="D4259" s="8">
        <v>170</v>
      </c>
      <c r="E4259" s="8"/>
      <c r="F4259" s="92">
        <f t="shared" si="58"/>
        <v>115</v>
      </c>
    </row>
    <row r="4260" spans="1:6" x14ac:dyDescent="0.25">
      <c r="A4260" s="232">
        <v>43157</v>
      </c>
      <c r="B4260" s="460" t="s">
        <v>2668</v>
      </c>
      <c r="C4260" s="460"/>
      <c r="D4260" s="71"/>
      <c r="E4260" s="58">
        <v>100000</v>
      </c>
      <c r="F4260" s="92">
        <f t="shared" si="58"/>
        <v>100115</v>
      </c>
    </row>
    <row r="4261" spans="1:6" x14ac:dyDescent="0.25">
      <c r="A4261" s="232">
        <v>43157</v>
      </c>
      <c r="B4261" s="26" t="s">
        <v>0</v>
      </c>
      <c r="C4261" s="26" t="s">
        <v>3314</v>
      </c>
      <c r="D4261" s="8">
        <v>720</v>
      </c>
      <c r="E4261" s="8"/>
      <c r="F4261" s="92">
        <f t="shared" si="58"/>
        <v>99395</v>
      </c>
    </row>
    <row r="4262" spans="1:6" x14ac:dyDescent="0.25">
      <c r="A4262" s="232">
        <v>43157</v>
      </c>
      <c r="B4262" s="26" t="s">
        <v>3141</v>
      </c>
      <c r="C4262" s="26" t="s">
        <v>3315</v>
      </c>
      <c r="D4262" s="8">
        <v>25736</v>
      </c>
      <c r="E4262" s="8"/>
      <c r="F4262" s="92">
        <f t="shared" si="58"/>
        <v>73659</v>
      </c>
    </row>
    <row r="4263" spans="1:6" x14ac:dyDescent="0.25">
      <c r="A4263" s="232">
        <v>43157</v>
      </c>
      <c r="B4263" s="26" t="s">
        <v>2333</v>
      </c>
      <c r="C4263" s="26" t="s">
        <v>1533</v>
      </c>
      <c r="D4263" s="8">
        <v>26000</v>
      </c>
      <c r="E4263" s="8"/>
      <c r="F4263" s="92">
        <f t="shared" si="58"/>
        <v>47659</v>
      </c>
    </row>
    <row r="4264" spans="1:6" x14ac:dyDescent="0.25">
      <c r="A4264" s="232">
        <v>43157</v>
      </c>
      <c r="B4264" s="26" t="s">
        <v>55</v>
      </c>
      <c r="C4264" s="26" t="s">
        <v>3338</v>
      </c>
      <c r="D4264" s="8">
        <v>12000</v>
      </c>
      <c r="E4264" s="8"/>
      <c r="F4264" s="92">
        <f t="shared" si="58"/>
        <v>35659</v>
      </c>
    </row>
    <row r="4265" spans="1:6" x14ac:dyDescent="0.25">
      <c r="A4265" s="232">
        <v>43157</v>
      </c>
      <c r="B4265" s="26" t="s">
        <v>1319</v>
      </c>
      <c r="C4265" s="26" t="s">
        <v>3316</v>
      </c>
      <c r="D4265" s="8">
        <v>5000</v>
      </c>
      <c r="E4265" s="8"/>
      <c r="F4265" s="92">
        <f t="shared" si="58"/>
        <v>30659</v>
      </c>
    </row>
    <row r="4266" spans="1:6" x14ac:dyDescent="0.25">
      <c r="A4266" s="232">
        <v>43157</v>
      </c>
      <c r="B4266" s="26" t="s">
        <v>14</v>
      </c>
      <c r="C4266" s="26" t="s">
        <v>295</v>
      </c>
      <c r="D4266" s="8">
        <v>5000</v>
      </c>
      <c r="E4266" s="8"/>
      <c r="F4266" s="92">
        <f t="shared" si="58"/>
        <v>25659</v>
      </c>
    </row>
    <row r="4267" spans="1:6" x14ac:dyDescent="0.25">
      <c r="A4267" s="232">
        <v>43157</v>
      </c>
      <c r="B4267" s="26" t="s">
        <v>3211</v>
      </c>
      <c r="C4267" s="26" t="s">
        <v>3317</v>
      </c>
      <c r="D4267" s="8">
        <v>11000</v>
      </c>
      <c r="E4267" s="8"/>
      <c r="F4267" s="92">
        <f t="shared" si="58"/>
        <v>14659</v>
      </c>
    </row>
    <row r="4268" spans="1:6" x14ac:dyDescent="0.25">
      <c r="A4268" s="232">
        <v>43157</v>
      </c>
      <c r="B4268" s="26" t="s">
        <v>61</v>
      </c>
      <c r="C4268" s="26" t="s">
        <v>3229</v>
      </c>
      <c r="D4268" s="8">
        <v>1500</v>
      </c>
      <c r="E4268" s="8"/>
      <c r="F4268" s="92">
        <f t="shared" si="58"/>
        <v>13159</v>
      </c>
    </row>
    <row r="4269" spans="1:6" ht="30" x14ac:dyDescent="0.25">
      <c r="A4269" s="232">
        <v>43158</v>
      </c>
      <c r="B4269" s="26" t="s">
        <v>2597</v>
      </c>
      <c r="C4269" s="87" t="s">
        <v>3318</v>
      </c>
      <c r="D4269" s="8">
        <v>13000</v>
      </c>
      <c r="E4269" s="8"/>
      <c r="F4269" s="92">
        <f t="shared" si="58"/>
        <v>159</v>
      </c>
    </row>
    <row r="4270" spans="1:6" x14ac:dyDescent="0.25">
      <c r="A4270" s="232">
        <v>43158</v>
      </c>
      <c r="B4270" s="460" t="s">
        <v>2668</v>
      </c>
      <c r="C4270" s="460"/>
      <c r="D4270" s="71"/>
      <c r="E4270" s="58">
        <v>50000</v>
      </c>
      <c r="F4270" s="92">
        <f t="shared" si="58"/>
        <v>50159</v>
      </c>
    </row>
    <row r="4271" spans="1:6" x14ac:dyDescent="0.25">
      <c r="A4271" s="232">
        <v>43158</v>
      </c>
      <c r="B4271" s="26" t="s">
        <v>59</v>
      </c>
      <c r="C4271" s="26" t="s">
        <v>3319</v>
      </c>
      <c r="D4271" s="8">
        <v>2300</v>
      </c>
      <c r="E4271" s="8"/>
      <c r="F4271" s="92">
        <f t="shared" si="58"/>
        <v>47859</v>
      </c>
    </row>
    <row r="4272" spans="1:6" x14ac:dyDescent="0.25">
      <c r="A4272" s="232">
        <v>43158</v>
      </c>
      <c r="B4272" s="26" t="s">
        <v>26</v>
      </c>
      <c r="C4272" s="26" t="s">
        <v>3278</v>
      </c>
      <c r="D4272" s="8">
        <v>170</v>
      </c>
      <c r="E4272" s="8"/>
      <c r="F4272" s="92">
        <f t="shared" si="58"/>
        <v>47689</v>
      </c>
    </row>
    <row r="4273" spans="1:6" x14ac:dyDescent="0.25">
      <c r="A4273" s="232">
        <v>43158</v>
      </c>
      <c r="B4273" s="26" t="s">
        <v>542</v>
      </c>
      <c r="C4273" s="26" t="s">
        <v>3301</v>
      </c>
      <c r="D4273" s="8">
        <v>600</v>
      </c>
      <c r="E4273" s="8"/>
      <c r="F4273" s="92">
        <f t="shared" si="58"/>
        <v>47089</v>
      </c>
    </row>
    <row r="4274" spans="1:6" x14ac:dyDescent="0.25">
      <c r="A4274" s="232">
        <v>43158</v>
      </c>
      <c r="B4274" s="26" t="s">
        <v>542</v>
      </c>
      <c r="C4274" s="26" t="s">
        <v>3120</v>
      </c>
      <c r="D4274" s="8">
        <v>90</v>
      </c>
      <c r="E4274" s="8"/>
      <c r="F4274" s="92">
        <f t="shared" si="58"/>
        <v>46999</v>
      </c>
    </row>
    <row r="4275" spans="1:6" x14ac:dyDescent="0.25">
      <c r="A4275" s="232">
        <v>43158</v>
      </c>
      <c r="B4275" s="26" t="s">
        <v>542</v>
      </c>
      <c r="C4275" s="26" t="s">
        <v>3327</v>
      </c>
      <c r="D4275" s="8">
        <v>120</v>
      </c>
      <c r="E4275" s="8"/>
      <c r="F4275" s="92">
        <f t="shared" si="58"/>
        <v>46879</v>
      </c>
    </row>
    <row r="4276" spans="1:6" x14ac:dyDescent="0.25">
      <c r="A4276" s="232">
        <v>43158</v>
      </c>
      <c r="B4276" s="26" t="s">
        <v>248</v>
      </c>
      <c r="C4276" s="26" t="s">
        <v>3328</v>
      </c>
      <c r="D4276" s="8">
        <v>280</v>
      </c>
      <c r="E4276" s="8"/>
      <c r="F4276" s="92">
        <f t="shared" si="58"/>
        <v>46599</v>
      </c>
    </row>
    <row r="4277" spans="1:6" x14ac:dyDescent="0.25">
      <c r="A4277" s="232">
        <v>43158</v>
      </c>
      <c r="B4277" s="26" t="s">
        <v>248</v>
      </c>
      <c r="C4277" s="26" t="s">
        <v>3320</v>
      </c>
      <c r="D4277" s="8">
        <v>500</v>
      </c>
      <c r="E4277" s="8"/>
      <c r="F4277" s="92">
        <f t="shared" si="58"/>
        <v>46099</v>
      </c>
    </row>
    <row r="4278" spans="1:6" ht="30" x14ac:dyDescent="0.25">
      <c r="A4278" s="232">
        <v>43158</v>
      </c>
      <c r="B4278" s="26" t="s">
        <v>3321</v>
      </c>
      <c r="C4278" s="87" t="s">
        <v>3322</v>
      </c>
      <c r="D4278" s="8">
        <v>12000</v>
      </c>
      <c r="E4278" s="8"/>
      <c r="F4278" s="92">
        <f t="shared" si="58"/>
        <v>34099</v>
      </c>
    </row>
    <row r="4279" spans="1:6" x14ac:dyDescent="0.25">
      <c r="A4279" s="232">
        <v>43158</v>
      </c>
      <c r="B4279" s="26" t="s">
        <v>1346</v>
      </c>
      <c r="C4279" s="26" t="s">
        <v>3323</v>
      </c>
      <c r="D4279" s="8">
        <v>5000</v>
      </c>
      <c r="E4279" s="8"/>
      <c r="F4279" s="92">
        <f t="shared" si="58"/>
        <v>29099</v>
      </c>
    </row>
    <row r="4280" spans="1:6" x14ac:dyDescent="0.25">
      <c r="A4280" s="232">
        <v>43158</v>
      </c>
      <c r="B4280" s="26" t="s">
        <v>0</v>
      </c>
      <c r="C4280" s="26" t="s">
        <v>3324</v>
      </c>
      <c r="D4280" s="8">
        <v>1000</v>
      </c>
      <c r="E4280" s="8"/>
      <c r="F4280" s="92">
        <f t="shared" si="58"/>
        <v>28099</v>
      </c>
    </row>
    <row r="4281" spans="1:6" x14ac:dyDescent="0.25">
      <c r="A4281" s="232">
        <v>43159</v>
      </c>
      <c r="B4281" s="26" t="s">
        <v>2099</v>
      </c>
      <c r="C4281" s="26" t="s">
        <v>1533</v>
      </c>
      <c r="D4281" s="8">
        <v>15000</v>
      </c>
      <c r="E4281" s="8"/>
      <c r="F4281" s="92">
        <f t="shared" si="58"/>
        <v>13099</v>
      </c>
    </row>
    <row r="4282" spans="1:6" x14ac:dyDescent="0.25">
      <c r="A4282" s="232">
        <v>43159</v>
      </c>
      <c r="B4282" s="460" t="s">
        <v>3325</v>
      </c>
      <c r="C4282" s="460"/>
      <c r="D4282" s="71"/>
      <c r="E4282" s="58">
        <v>210</v>
      </c>
      <c r="F4282" s="92">
        <f t="shared" si="58"/>
        <v>13309</v>
      </c>
    </row>
    <row r="4283" spans="1:6" x14ac:dyDescent="0.25">
      <c r="A4283" s="232">
        <v>43159</v>
      </c>
      <c r="B4283" s="26" t="s">
        <v>1413</v>
      </c>
      <c r="C4283" s="26" t="s">
        <v>3326</v>
      </c>
      <c r="D4283" s="8">
        <v>2000</v>
      </c>
      <c r="E4283" s="8"/>
      <c r="F4283" s="92">
        <f t="shared" si="58"/>
        <v>11309</v>
      </c>
    </row>
    <row r="4284" spans="1:6" x14ac:dyDescent="0.25">
      <c r="A4284" s="232">
        <v>43159</v>
      </c>
      <c r="B4284" s="26" t="s">
        <v>2089</v>
      </c>
      <c r="C4284" s="26" t="s">
        <v>3330</v>
      </c>
      <c r="D4284" s="8">
        <v>630</v>
      </c>
      <c r="E4284" s="8"/>
      <c r="F4284" s="92">
        <f t="shared" si="58"/>
        <v>10679</v>
      </c>
    </row>
    <row r="4285" spans="1:6" x14ac:dyDescent="0.25">
      <c r="A4285" s="232">
        <v>43159</v>
      </c>
      <c r="B4285" s="26" t="s">
        <v>26</v>
      </c>
      <c r="C4285" s="26" t="s">
        <v>82</v>
      </c>
      <c r="D4285" s="8">
        <v>60</v>
      </c>
      <c r="E4285" s="8"/>
      <c r="F4285" s="92">
        <f t="shared" si="58"/>
        <v>10619</v>
      </c>
    </row>
    <row r="4286" spans="1:6" x14ac:dyDescent="0.25">
      <c r="A4286" s="232">
        <v>43159</v>
      </c>
      <c r="B4286" s="26" t="s">
        <v>248</v>
      </c>
      <c r="C4286" s="26" t="s">
        <v>3329</v>
      </c>
      <c r="D4286" s="8">
        <v>140</v>
      </c>
      <c r="E4286" s="8"/>
      <c r="F4286" s="92">
        <f t="shared" si="58"/>
        <v>10479</v>
      </c>
    </row>
    <row r="4287" spans="1:6" x14ac:dyDescent="0.25">
      <c r="A4287" s="232">
        <v>43159</v>
      </c>
      <c r="B4287" s="26" t="s">
        <v>1619</v>
      </c>
      <c r="C4287" s="26" t="s">
        <v>3301</v>
      </c>
      <c r="D4287" s="8">
        <v>520</v>
      </c>
      <c r="E4287" s="8"/>
      <c r="F4287" s="92">
        <f t="shared" si="58"/>
        <v>9959</v>
      </c>
    </row>
    <row r="4288" spans="1:6" x14ac:dyDescent="0.25">
      <c r="A4288" s="232">
        <v>43159</v>
      </c>
      <c r="B4288" s="26" t="s">
        <v>26</v>
      </c>
      <c r="C4288" s="26" t="s">
        <v>3331</v>
      </c>
      <c r="D4288" s="8">
        <v>60</v>
      </c>
      <c r="E4288" s="8"/>
      <c r="F4288" s="92">
        <f t="shared" si="58"/>
        <v>9899</v>
      </c>
    </row>
    <row r="4289" spans="1:6" x14ac:dyDescent="0.25">
      <c r="A4289" s="232">
        <v>43159</v>
      </c>
      <c r="B4289" s="26" t="s">
        <v>1346</v>
      </c>
      <c r="C4289" s="26" t="s">
        <v>3332</v>
      </c>
      <c r="D4289" s="8">
        <v>4000</v>
      </c>
      <c r="E4289" s="8"/>
      <c r="F4289" s="92">
        <f t="shared" si="58"/>
        <v>5899</v>
      </c>
    </row>
    <row r="4290" spans="1:6" x14ac:dyDescent="0.25">
      <c r="A4290" s="232">
        <v>43160</v>
      </c>
      <c r="B4290" s="26" t="s">
        <v>2349</v>
      </c>
      <c r="C4290" s="26" t="s">
        <v>3333</v>
      </c>
      <c r="D4290" s="8">
        <v>1000</v>
      </c>
      <c r="E4290" s="8"/>
      <c r="F4290" s="92">
        <f t="shared" si="58"/>
        <v>4899</v>
      </c>
    </row>
    <row r="4291" spans="1:6" x14ac:dyDescent="0.25">
      <c r="A4291" s="232">
        <v>43160</v>
      </c>
      <c r="B4291" s="26" t="s">
        <v>248</v>
      </c>
      <c r="C4291" s="26" t="s">
        <v>3334</v>
      </c>
      <c r="D4291" s="8">
        <v>1200</v>
      </c>
      <c r="E4291" s="8"/>
      <c r="F4291" s="92">
        <f t="shared" si="58"/>
        <v>3699</v>
      </c>
    </row>
    <row r="4292" spans="1:6" x14ac:dyDescent="0.25">
      <c r="A4292" s="232">
        <v>43160</v>
      </c>
      <c r="B4292" s="26" t="s">
        <v>2089</v>
      </c>
      <c r="C4292" s="26" t="s">
        <v>3335</v>
      </c>
      <c r="D4292" s="8">
        <v>30</v>
      </c>
      <c r="E4292" s="8"/>
      <c r="F4292" s="92">
        <f t="shared" si="58"/>
        <v>3669</v>
      </c>
    </row>
    <row r="4293" spans="1:6" x14ac:dyDescent="0.25">
      <c r="A4293" s="232">
        <v>43160</v>
      </c>
      <c r="B4293" s="26" t="s">
        <v>2089</v>
      </c>
      <c r="C4293" s="26" t="s">
        <v>1627</v>
      </c>
      <c r="D4293" s="8">
        <v>70</v>
      </c>
      <c r="E4293" s="8"/>
      <c r="F4293" s="92">
        <f t="shared" si="58"/>
        <v>3599</v>
      </c>
    </row>
    <row r="4294" spans="1:6" x14ac:dyDescent="0.25">
      <c r="A4294" s="232">
        <v>43160</v>
      </c>
      <c r="B4294" s="460" t="s">
        <v>1984</v>
      </c>
      <c r="C4294" s="460"/>
      <c r="D4294" s="71"/>
      <c r="E4294" s="58">
        <v>120000</v>
      </c>
      <c r="F4294" s="92">
        <f t="shared" si="58"/>
        <v>123599</v>
      </c>
    </row>
    <row r="4295" spans="1:6" x14ac:dyDescent="0.25">
      <c r="A4295" s="232">
        <v>43160</v>
      </c>
      <c r="B4295" s="26" t="s">
        <v>1840</v>
      </c>
      <c r="C4295" s="26" t="s">
        <v>3337</v>
      </c>
      <c r="D4295" s="8">
        <v>10000</v>
      </c>
      <c r="E4295" s="8"/>
      <c r="F4295" s="92">
        <f t="shared" si="58"/>
        <v>113599</v>
      </c>
    </row>
    <row r="4296" spans="1:6" x14ac:dyDescent="0.25">
      <c r="A4296" s="232">
        <v>43160</v>
      </c>
      <c r="B4296" s="26" t="s">
        <v>58</v>
      </c>
      <c r="C4296" s="26" t="s">
        <v>2700</v>
      </c>
      <c r="D4296" s="8">
        <v>3000</v>
      </c>
      <c r="E4296" s="8"/>
      <c r="F4296" s="92">
        <f t="shared" si="58"/>
        <v>110599</v>
      </c>
    </row>
    <row r="4297" spans="1:6" x14ac:dyDescent="0.25">
      <c r="A4297" s="232">
        <v>43160</v>
      </c>
      <c r="B4297" s="26" t="s">
        <v>2827</v>
      </c>
      <c r="C4297" s="26" t="s">
        <v>3336</v>
      </c>
      <c r="D4297" s="8">
        <v>2000</v>
      </c>
      <c r="E4297" s="8"/>
      <c r="F4297" s="92">
        <f t="shared" si="58"/>
        <v>108599</v>
      </c>
    </row>
    <row r="4298" spans="1:6" x14ac:dyDescent="0.25">
      <c r="A4298" s="232">
        <v>43161</v>
      </c>
      <c r="B4298" s="26" t="s">
        <v>59</v>
      </c>
      <c r="C4298" s="26" t="s">
        <v>3341</v>
      </c>
      <c r="D4298" s="8">
        <v>2290</v>
      </c>
      <c r="E4298" s="8"/>
      <c r="F4298" s="92">
        <f t="shared" si="58"/>
        <v>106309</v>
      </c>
    </row>
    <row r="4299" spans="1:6" x14ac:dyDescent="0.25">
      <c r="A4299" s="232">
        <v>43161</v>
      </c>
      <c r="B4299" s="26" t="s">
        <v>3339</v>
      </c>
      <c r="C4299" s="26" t="s">
        <v>3340</v>
      </c>
      <c r="D4299" s="8">
        <v>2000</v>
      </c>
      <c r="E4299" s="8"/>
      <c r="F4299" s="92">
        <f t="shared" si="58"/>
        <v>104309</v>
      </c>
    </row>
    <row r="4300" spans="1:6" x14ac:dyDescent="0.25">
      <c r="A4300" s="232">
        <v>43161</v>
      </c>
      <c r="B4300" s="26" t="s">
        <v>29</v>
      </c>
      <c r="C4300" s="26" t="s">
        <v>3300</v>
      </c>
      <c r="D4300" s="8">
        <v>3000</v>
      </c>
      <c r="E4300" s="8"/>
      <c r="F4300" s="92">
        <f>F4299-D4300+E4300</f>
        <v>101309</v>
      </c>
    </row>
    <row r="4301" spans="1:6" x14ac:dyDescent="0.25">
      <c r="A4301" s="232">
        <v>43161</v>
      </c>
      <c r="B4301" s="26" t="s">
        <v>2349</v>
      </c>
      <c r="C4301" s="26" t="s">
        <v>3336</v>
      </c>
      <c r="D4301" s="8">
        <v>1200</v>
      </c>
      <c r="E4301" s="8"/>
      <c r="F4301" s="92">
        <f t="shared" si="58"/>
        <v>100109</v>
      </c>
    </row>
    <row r="4302" spans="1:6" x14ac:dyDescent="0.25">
      <c r="A4302" s="232">
        <v>43162</v>
      </c>
      <c r="B4302" s="26" t="s">
        <v>0</v>
      </c>
      <c r="C4302" s="26" t="s">
        <v>1052</v>
      </c>
      <c r="D4302" s="8">
        <v>2000</v>
      </c>
      <c r="E4302" s="8"/>
      <c r="F4302" s="92">
        <f t="shared" si="58"/>
        <v>98109</v>
      </c>
    </row>
    <row r="4303" spans="1:6" ht="45" x14ac:dyDescent="0.25">
      <c r="A4303" s="232">
        <v>43162</v>
      </c>
      <c r="B4303" s="26" t="s">
        <v>59</v>
      </c>
      <c r="C4303" s="87" t="s">
        <v>3342</v>
      </c>
      <c r="D4303" s="8">
        <v>650</v>
      </c>
      <c r="E4303" s="8"/>
      <c r="F4303" s="92">
        <f t="shared" si="58"/>
        <v>97459</v>
      </c>
    </row>
    <row r="4304" spans="1:6" x14ac:dyDescent="0.25">
      <c r="A4304" s="232">
        <v>43162</v>
      </c>
      <c r="B4304" s="26" t="s">
        <v>85</v>
      </c>
      <c r="C4304" s="26" t="s">
        <v>3375</v>
      </c>
      <c r="D4304" s="8">
        <v>1000</v>
      </c>
      <c r="E4304" s="8"/>
      <c r="F4304" s="92">
        <f t="shared" si="58"/>
        <v>96459</v>
      </c>
    </row>
    <row r="4305" spans="1:6" x14ac:dyDescent="0.25">
      <c r="A4305" s="232">
        <v>43162</v>
      </c>
      <c r="B4305" s="26" t="s">
        <v>14</v>
      </c>
      <c r="C4305" s="26" t="s">
        <v>295</v>
      </c>
      <c r="D4305" s="8">
        <v>5000</v>
      </c>
      <c r="E4305" s="8"/>
      <c r="F4305" s="92">
        <f t="shared" si="58"/>
        <v>91459</v>
      </c>
    </row>
    <row r="4306" spans="1:6" x14ac:dyDescent="0.25">
      <c r="A4306" s="232">
        <v>43162</v>
      </c>
      <c r="B4306" s="26" t="s">
        <v>26</v>
      </c>
      <c r="C4306" s="26" t="s">
        <v>3343</v>
      </c>
      <c r="D4306" s="8">
        <f>60+160+130+50+60+130</f>
        <v>590</v>
      </c>
      <c r="E4306" s="8"/>
      <c r="F4306" s="92">
        <f t="shared" si="58"/>
        <v>90869</v>
      </c>
    </row>
    <row r="4307" spans="1:6" x14ac:dyDescent="0.25">
      <c r="A4307" s="232">
        <v>43162</v>
      </c>
      <c r="B4307" s="26" t="s">
        <v>26</v>
      </c>
      <c r="C4307" s="26" t="s">
        <v>3344</v>
      </c>
      <c r="D4307" s="8">
        <v>1600</v>
      </c>
      <c r="E4307" s="8"/>
      <c r="F4307" s="92">
        <f t="shared" si="58"/>
        <v>89269</v>
      </c>
    </row>
    <row r="4308" spans="1:6" x14ac:dyDescent="0.25">
      <c r="A4308" s="232">
        <v>43162</v>
      </c>
      <c r="B4308" s="26" t="s">
        <v>26</v>
      </c>
      <c r="C4308" s="26" t="s">
        <v>942</v>
      </c>
      <c r="D4308" s="8">
        <v>380</v>
      </c>
      <c r="E4308" s="8"/>
      <c r="F4308" s="92">
        <f t="shared" si="58"/>
        <v>88889</v>
      </c>
    </row>
    <row r="4309" spans="1:6" x14ac:dyDescent="0.25">
      <c r="A4309" s="232">
        <v>43162</v>
      </c>
      <c r="B4309" s="26" t="s">
        <v>26</v>
      </c>
      <c r="C4309" s="26" t="s">
        <v>2205</v>
      </c>
      <c r="D4309" s="8">
        <v>360</v>
      </c>
      <c r="E4309" s="8"/>
      <c r="F4309" s="92">
        <f t="shared" si="58"/>
        <v>88529</v>
      </c>
    </row>
    <row r="4310" spans="1:6" x14ac:dyDescent="0.25">
      <c r="A4310" s="232">
        <v>43162</v>
      </c>
      <c r="B4310" s="26" t="s">
        <v>26</v>
      </c>
      <c r="C4310" s="26" t="s">
        <v>3345</v>
      </c>
      <c r="D4310" s="8">
        <v>120</v>
      </c>
      <c r="E4310" s="8"/>
      <c r="F4310" s="92">
        <f t="shared" si="58"/>
        <v>88409</v>
      </c>
    </row>
    <row r="4311" spans="1:6" x14ac:dyDescent="0.25">
      <c r="A4311" s="232">
        <v>43162</v>
      </c>
      <c r="B4311" s="26" t="s">
        <v>26</v>
      </c>
      <c r="C4311" s="26" t="s">
        <v>3346</v>
      </c>
      <c r="D4311" s="8">
        <v>120</v>
      </c>
      <c r="E4311" s="8"/>
      <c r="F4311" s="92">
        <f t="shared" si="58"/>
        <v>88289</v>
      </c>
    </row>
    <row r="4312" spans="1:6" x14ac:dyDescent="0.25">
      <c r="A4312" s="232">
        <v>43164</v>
      </c>
      <c r="B4312" s="26" t="s">
        <v>2349</v>
      </c>
      <c r="C4312" s="26" t="s">
        <v>3347</v>
      </c>
      <c r="D4312" s="8">
        <v>1000</v>
      </c>
      <c r="E4312" s="8"/>
      <c r="F4312" s="92">
        <f t="shared" si="58"/>
        <v>87289</v>
      </c>
    </row>
    <row r="4313" spans="1:6" ht="30" x14ac:dyDescent="0.25">
      <c r="A4313" s="232">
        <v>43164</v>
      </c>
      <c r="B4313" s="26" t="s">
        <v>59</v>
      </c>
      <c r="C4313" s="87" t="s">
        <v>3350</v>
      </c>
      <c r="D4313" s="8">
        <v>42500</v>
      </c>
      <c r="E4313" s="8"/>
      <c r="F4313" s="92">
        <f t="shared" si="58"/>
        <v>44789</v>
      </c>
    </row>
    <row r="4314" spans="1:6" x14ac:dyDescent="0.25">
      <c r="A4314" s="232">
        <v>43164</v>
      </c>
      <c r="B4314" s="26" t="s">
        <v>2089</v>
      </c>
      <c r="C4314" s="26" t="s">
        <v>3348</v>
      </c>
      <c r="D4314" s="8">
        <v>1000</v>
      </c>
      <c r="E4314" s="8"/>
      <c r="F4314" s="92">
        <f t="shared" si="58"/>
        <v>43789</v>
      </c>
    </row>
    <row r="4315" spans="1:6" x14ac:dyDescent="0.25">
      <c r="A4315" s="232">
        <v>43164</v>
      </c>
      <c r="B4315" s="26" t="s">
        <v>77</v>
      </c>
      <c r="C4315" s="26" t="s">
        <v>3351</v>
      </c>
      <c r="D4315" s="8">
        <v>2000</v>
      </c>
      <c r="E4315" s="8"/>
      <c r="F4315" s="92">
        <f t="shared" si="58"/>
        <v>41789</v>
      </c>
    </row>
    <row r="4316" spans="1:6" x14ac:dyDescent="0.25">
      <c r="A4316" s="232">
        <v>43165</v>
      </c>
      <c r="B4316" s="26" t="s">
        <v>59</v>
      </c>
      <c r="C4316" s="26" t="s">
        <v>3352</v>
      </c>
      <c r="D4316" s="8">
        <v>35000</v>
      </c>
      <c r="E4316" s="8"/>
      <c r="F4316" s="92">
        <f t="shared" si="58"/>
        <v>6789</v>
      </c>
    </row>
    <row r="4317" spans="1:6" x14ac:dyDescent="0.25">
      <c r="A4317" s="232">
        <v>43165</v>
      </c>
      <c r="B4317" s="26" t="s">
        <v>2573</v>
      </c>
      <c r="C4317" s="26" t="s">
        <v>3349</v>
      </c>
      <c r="D4317" s="8">
        <v>2580</v>
      </c>
      <c r="E4317" s="8"/>
      <c r="F4317" s="92">
        <f t="shared" si="58"/>
        <v>4209</v>
      </c>
    </row>
    <row r="4318" spans="1:6" x14ac:dyDescent="0.25">
      <c r="A4318" s="232">
        <v>43165</v>
      </c>
      <c r="B4318" s="26" t="s">
        <v>542</v>
      </c>
      <c r="C4318" s="26" t="s">
        <v>3120</v>
      </c>
      <c r="D4318" s="8">
        <v>90</v>
      </c>
      <c r="E4318" s="8"/>
      <c r="F4318" s="92">
        <f t="shared" si="58"/>
        <v>4119</v>
      </c>
    </row>
    <row r="4319" spans="1:6" x14ac:dyDescent="0.25">
      <c r="A4319" s="232">
        <v>43165</v>
      </c>
      <c r="B4319" s="26" t="s">
        <v>2677</v>
      </c>
      <c r="C4319" s="26" t="s">
        <v>2472</v>
      </c>
      <c r="D4319" s="8">
        <v>200</v>
      </c>
      <c r="E4319" s="8"/>
      <c r="F4319" s="92">
        <f t="shared" si="58"/>
        <v>3919</v>
      </c>
    </row>
    <row r="4320" spans="1:6" x14ac:dyDescent="0.25">
      <c r="A4320" s="232">
        <v>43165</v>
      </c>
      <c r="B4320" s="460" t="s">
        <v>2668</v>
      </c>
      <c r="C4320" s="460"/>
      <c r="D4320" s="71"/>
      <c r="E4320" s="58">
        <v>100000</v>
      </c>
      <c r="F4320" s="92">
        <f t="shared" si="58"/>
        <v>103919</v>
      </c>
    </row>
    <row r="4321" spans="1:6" x14ac:dyDescent="0.25">
      <c r="A4321" s="232">
        <v>43166</v>
      </c>
      <c r="B4321" s="26" t="s">
        <v>14</v>
      </c>
      <c r="C4321" s="26" t="s">
        <v>1052</v>
      </c>
      <c r="D4321" s="8">
        <v>50000</v>
      </c>
      <c r="E4321" s="8"/>
      <c r="F4321" s="92">
        <f t="shared" si="58"/>
        <v>53919</v>
      </c>
    </row>
    <row r="4322" spans="1:6" x14ac:dyDescent="0.25">
      <c r="A4322" s="232">
        <v>43166</v>
      </c>
      <c r="B4322" s="26" t="s">
        <v>1196</v>
      </c>
      <c r="C4322" s="26" t="s">
        <v>3355</v>
      </c>
      <c r="D4322" s="8">
        <v>3000</v>
      </c>
      <c r="E4322" s="8"/>
      <c r="F4322" s="92">
        <f t="shared" si="58"/>
        <v>50919</v>
      </c>
    </row>
    <row r="4323" spans="1:6" x14ac:dyDescent="0.25">
      <c r="A4323" s="232">
        <v>43166</v>
      </c>
      <c r="B4323" s="26" t="s">
        <v>3224</v>
      </c>
      <c r="C4323" s="26" t="s">
        <v>3356</v>
      </c>
      <c r="D4323" s="8">
        <v>15000</v>
      </c>
      <c r="E4323" s="8"/>
      <c r="F4323" s="92">
        <f t="shared" si="58"/>
        <v>35919</v>
      </c>
    </row>
    <row r="4324" spans="1:6" x14ac:dyDescent="0.25">
      <c r="A4324" s="232">
        <v>43166</v>
      </c>
      <c r="B4324" s="26" t="s">
        <v>542</v>
      </c>
      <c r="C4324" s="26" t="s">
        <v>3120</v>
      </c>
      <c r="D4324" s="8">
        <v>80</v>
      </c>
      <c r="E4324" s="8"/>
      <c r="F4324" s="92">
        <f t="shared" si="58"/>
        <v>35839</v>
      </c>
    </row>
    <row r="4325" spans="1:6" x14ac:dyDescent="0.25">
      <c r="A4325" s="232">
        <v>43166</v>
      </c>
      <c r="B4325" s="26" t="s">
        <v>14</v>
      </c>
      <c r="C4325" s="26" t="s">
        <v>1052</v>
      </c>
      <c r="D4325" s="8">
        <f>22000+10000</f>
        <v>32000</v>
      </c>
      <c r="E4325" s="8"/>
      <c r="F4325" s="92">
        <f t="shared" si="58"/>
        <v>3839</v>
      </c>
    </row>
    <row r="4326" spans="1:6" x14ac:dyDescent="0.25">
      <c r="A4326" s="232">
        <v>43166</v>
      </c>
      <c r="B4326" s="26" t="s">
        <v>2677</v>
      </c>
      <c r="C4326" s="26" t="s">
        <v>3354</v>
      </c>
      <c r="D4326" s="8">
        <v>380</v>
      </c>
      <c r="E4326" s="8"/>
      <c r="F4326" s="92">
        <f t="shared" ref="F4326:F4351" si="59">F4325-D4326+E4326</f>
        <v>3459</v>
      </c>
    </row>
    <row r="4327" spans="1:6" x14ac:dyDescent="0.25">
      <c r="A4327" s="232">
        <v>43166</v>
      </c>
      <c r="B4327" s="26" t="s">
        <v>3209</v>
      </c>
      <c r="C4327" s="26" t="s">
        <v>3376</v>
      </c>
      <c r="D4327" s="8">
        <v>1700</v>
      </c>
      <c r="E4327" s="8"/>
      <c r="F4327" s="92">
        <f t="shared" si="59"/>
        <v>1759</v>
      </c>
    </row>
    <row r="4328" spans="1:6" x14ac:dyDescent="0.25">
      <c r="A4328" s="232">
        <v>43167</v>
      </c>
      <c r="B4328" s="26" t="s">
        <v>3357</v>
      </c>
      <c r="C4328" s="26" t="s">
        <v>3358</v>
      </c>
      <c r="D4328" s="8">
        <v>100</v>
      </c>
      <c r="E4328" s="8"/>
      <c r="F4328" s="92">
        <f t="shared" si="59"/>
        <v>1659</v>
      </c>
    </row>
    <row r="4329" spans="1:6" x14ac:dyDescent="0.25">
      <c r="A4329" s="232">
        <v>43167</v>
      </c>
      <c r="B4329" s="26" t="s">
        <v>26</v>
      </c>
      <c r="C4329" s="26" t="s">
        <v>668</v>
      </c>
      <c r="D4329" s="8">
        <v>110</v>
      </c>
      <c r="E4329" s="8"/>
      <c r="F4329" s="92">
        <f t="shared" si="59"/>
        <v>1549</v>
      </c>
    </row>
    <row r="4330" spans="1:6" x14ac:dyDescent="0.25">
      <c r="A4330" s="232">
        <v>43167</v>
      </c>
      <c r="B4330" s="26" t="s">
        <v>26</v>
      </c>
      <c r="C4330" s="26" t="s">
        <v>3120</v>
      </c>
      <c r="D4330" s="8">
        <v>120</v>
      </c>
      <c r="E4330" s="8"/>
      <c r="F4330" s="92">
        <f t="shared" si="59"/>
        <v>1429</v>
      </c>
    </row>
    <row r="4331" spans="1:6" x14ac:dyDescent="0.25">
      <c r="A4331" s="232">
        <v>43167</v>
      </c>
      <c r="B4331" s="26" t="s">
        <v>26</v>
      </c>
      <c r="C4331" s="26" t="s">
        <v>3359</v>
      </c>
      <c r="D4331" s="8">
        <v>50</v>
      </c>
      <c r="E4331" s="8"/>
      <c r="F4331" s="92">
        <f t="shared" si="59"/>
        <v>1379</v>
      </c>
    </row>
    <row r="4332" spans="1:6" x14ac:dyDescent="0.25">
      <c r="A4332" s="232">
        <v>43167</v>
      </c>
      <c r="B4332" s="26" t="s">
        <v>26</v>
      </c>
      <c r="C4332" s="26" t="s">
        <v>3184</v>
      </c>
      <c r="D4332" s="8">
        <v>110</v>
      </c>
      <c r="E4332" s="8"/>
      <c r="F4332" s="92">
        <f t="shared" si="59"/>
        <v>1269</v>
      </c>
    </row>
    <row r="4333" spans="1:6" x14ac:dyDescent="0.25">
      <c r="A4333" s="232">
        <v>43167</v>
      </c>
      <c r="B4333" s="26" t="s">
        <v>26</v>
      </c>
      <c r="C4333" s="26" t="s">
        <v>2878</v>
      </c>
      <c r="D4333" s="8">
        <v>150</v>
      </c>
      <c r="E4333" s="8"/>
      <c r="F4333" s="92">
        <f t="shared" si="59"/>
        <v>1119</v>
      </c>
    </row>
    <row r="4334" spans="1:6" x14ac:dyDescent="0.25">
      <c r="A4334" s="232">
        <v>43167</v>
      </c>
      <c r="B4334" s="26" t="s">
        <v>26</v>
      </c>
      <c r="C4334" s="26" t="s">
        <v>3360</v>
      </c>
      <c r="D4334" s="8">
        <v>180</v>
      </c>
      <c r="E4334" s="8"/>
      <c r="F4334" s="92">
        <f t="shared" si="59"/>
        <v>939</v>
      </c>
    </row>
    <row r="4335" spans="1:6" x14ac:dyDescent="0.25">
      <c r="A4335" s="232">
        <v>43167</v>
      </c>
      <c r="B4335" s="26" t="s">
        <v>26</v>
      </c>
      <c r="C4335" s="26" t="s">
        <v>3361</v>
      </c>
      <c r="D4335" s="8">
        <v>100</v>
      </c>
      <c r="E4335" s="8"/>
      <c r="F4335" s="92">
        <f t="shared" si="59"/>
        <v>839</v>
      </c>
    </row>
    <row r="4336" spans="1:6" x14ac:dyDescent="0.25">
      <c r="A4336" s="232">
        <v>43167</v>
      </c>
      <c r="B4336" s="26" t="s">
        <v>3363</v>
      </c>
      <c r="C4336" s="26" t="s">
        <v>3364</v>
      </c>
      <c r="D4336" s="8">
        <v>100</v>
      </c>
      <c r="E4336" s="8"/>
      <c r="F4336" s="92">
        <f t="shared" si="59"/>
        <v>739</v>
      </c>
    </row>
    <row r="4337" spans="1:6" x14ac:dyDescent="0.25">
      <c r="A4337" s="232">
        <v>43167</v>
      </c>
      <c r="B4337" s="460" t="s">
        <v>95</v>
      </c>
      <c r="C4337" s="460"/>
      <c r="D4337" s="71"/>
      <c r="E4337" s="58">
        <v>14772</v>
      </c>
      <c r="F4337" s="92">
        <f t="shared" si="59"/>
        <v>15511</v>
      </c>
    </row>
    <row r="4338" spans="1:6" x14ac:dyDescent="0.25">
      <c r="A4338" s="232">
        <v>43168</v>
      </c>
      <c r="B4338" s="26" t="s">
        <v>29</v>
      </c>
      <c r="C4338" s="26" t="s">
        <v>3377</v>
      </c>
      <c r="D4338" s="8">
        <v>3000</v>
      </c>
      <c r="E4338" s="8"/>
      <c r="F4338" s="92">
        <f t="shared" si="59"/>
        <v>12511</v>
      </c>
    </row>
    <row r="4339" spans="1:6" x14ac:dyDescent="0.25">
      <c r="A4339" s="232">
        <v>43168</v>
      </c>
      <c r="B4339" s="26" t="s">
        <v>2349</v>
      </c>
      <c r="C4339" s="26" t="s">
        <v>3368</v>
      </c>
      <c r="D4339" s="8">
        <v>1000</v>
      </c>
      <c r="E4339" s="8"/>
      <c r="F4339" s="92">
        <f t="shared" si="59"/>
        <v>11511</v>
      </c>
    </row>
    <row r="4340" spans="1:6" x14ac:dyDescent="0.25">
      <c r="A4340" s="232">
        <v>43168</v>
      </c>
      <c r="B4340" s="460" t="s">
        <v>3373</v>
      </c>
      <c r="C4340" s="460"/>
      <c r="D4340" s="71"/>
      <c r="E4340" s="58">
        <v>70</v>
      </c>
      <c r="F4340" s="92">
        <f t="shared" si="59"/>
        <v>11581</v>
      </c>
    </row>
    <row r="4341" spans="1:6" x14ac:dyDescent="0.25">
      <c r="A4341" s="232">
        <v>43168</v>
      </c>
      <c r="B4341" s="26" t="s">
        <v>3209</v>
      </c>
      <c r="C4341" s="26" t="s">
        <v>3369</v>
      </c>
      <c r="D4341" s="8">
        <v>900</v>
      </c>
      <c r="E4341" s="8"/>
      <c r="F4341" s="92">
        <f t="shared" si="59"/>
        <v>10681</v>
      </c>
    </row>
    <row r="4342" spans="1:6" x14ac:dyDescent="0.25">
      <c r="A4342" s="232">
        <v>43168</v>
      </c>
      <c r="B4342" s="26" t="s">
        <v>3209</v>
      </c>
      <c r="C4342" s="26" t="s">
        <v>3370</v>
      </c>
      <c r="D4342" s="8">
        <v>140</v>
      </c>
      <c r="E4342" s="8"/>
      <c r="F4342" s="92">
        <f t="shared" si="59"/>
        <v>10541</v>
      </c>
    </row>
    <row r="4343" spans="1:6" x14ac:dyDescent="0.25">
      <c r="A4343" s="232">
        <v>43168</v>
      </c>
      <c r="B4343" s="26" t="s">
        <v>48</v>
      </c>
      <c r="C4343" s="234" t="s">
        <v>3371</v>
      </c>
      <c r="D4343" s="8">
        <v>500</v>
      </c>
      <c r="E4343" s="8"/>
      <c r="F4343" s="92">
        <f t="shared" si="59"/>
        <v>10041</v>
      </c>
    </row>
    <row r="4344" spans="1:6" x14ac:dyDescent="0.25">
      <c r="A4344" s="232">
        <v>43168</v>
      </c>
      <c r="B4344" s="26" t="s">
        <v>85</v>
      </c>
      <c r="C4344" s="234" t="s">
        <v>3366</v>
      </c>
      <c r="D4344" s="8">
        <v>5000</v>
      </c>
      <c r="E4344" s="8"/>
      <c r="F4344" s="92">
        <f t="shared" si="59"/>
        <v>5041</v>
      </c>
    </row>
    <row r="4345" spans="1:6" x14ac:dyDescent="0.25">
      <c r="A4345" s="232">
        <v>43168</v>
      </c>
      <c r="B4345" s="26" t="s">
        <v>1413</v>
      </c>
      <c r="C4345" s="234" t="s">
        <v>3367</v>
      </c>
      <c r="D4345" s="8">
        <v>2000</v>
      </c>
      <c r="E4345" s="8"/>
      <c r="F4345" s="92">
        <f t="shared" si="59"/>
        <v>3041</v>
      </c>
    </row>
    <row r="4346" spans="1:6" x14ac:dyDescent="0.25">
      <c r="A4346" s="232">
        <v>43169</v>
      </c>
      <c r="B4346" s="460" t="s">
        <v>3372</v>
      </c>
      <c r="C4346" s="460"/>
      <c r="D4346" s="235"/>
      <c r="E4346" s="58">
        <v>45000</v>
      </c>
      <c r="F4346" s="92">
        <f t="shared" si="59"/>
        <v>48041</v>
      </c>
    </row>
    <row r="4347" spans="1:6" x14ac:dyDescent="0.25">
      <c r="A4347" s="232">
        <v>43169</v>
      </c>
      <c r="B4347" s="26" t="s">
        <v>1196</v>
      </c>
      <c r="C4347" s="234" t="s">
        <v>3365</v>
      </c>
      <c r="D4347" s="8">
        <v>3000</v>
      </c>
      <c r="E4347" s="8"/>
      <c r="F4347" s="92">
        <f t="shared" si="59"/>
        <v>45041</v>
      </c>
    </row>
    <row r="4348" spans="1:6" x14ac:dyDescent="0.25">
      <c r="A4348" s="232">
        <v>43169</v>
      </c>
      <c r="B4348" s="26" t="s">
        <v>1196</v>
      </c>
      <c r="C4348" s="234" t="s">
        <v>1235</v>
      </c>
      <c r="D4348" s="8">
        <v>2000</v>
      </c>
      <c r="E4348" s="8"/>
      <c r="F4348" s="92">
        <f t="shared" si="59"/>
        <v>43041</v>
      </c>
    </row>
    <row r="4349" spans="1:6" x14ac:dyDescent="0.25">
      <c r="A4349" s="232">
        <v>43169</v>
      </c>
      <c r="B4349" s="26" t="s">
        <v>59</v>
      </c>
      <c r="C4349" s="26" t="s">
        <v>3352</v>
      </c>
      <c r="D4349" s="8">
        <v>41000</v>
      </c>
      <c r="E4349" s="8"/>
      <c r="F4349" s="92">
        <f t="shared" si="59"/>
        <v>2041</v>
      </c>
    </row>
    <row r="4350" spans="1:6" x14ac:dyDescent="0.25">
      <c r="A4350" s="232">
        <v>43169</v>
      </c>
      <c r="B4350" s="26" t="s">
        <v>3209</v>
      </c>
      <c r="C4350" s="26" t="s">
        <v>3374</v>
      </c>
      <c r="D4350" s="8">
        <v>500</v>
      </c>
      <c r="E4350" s="8"/>
      <c r="F4350" s="92">
        <f t="shared" si="59"/>
        <v>1541</v>
      </c>
    </row>
    <row r="4351" spans="1:6" x14ac:dyDescent="0.25">
      <c r="A4351" s="232">
        <v>43169</v>
      </c>
      <c r="B4351" s="26" t="s">
        <v>26</v>
      </c>
      <c r="C4351" s="26" t="s">
        <v>3378</v>
      </c>
      <c r="D4351" s="8">
        <f>360+60+33+30</f>
        <v>483</v>
      </c>
      <c r="E4351" s="8"/>
      <c r="F4351" s="92">
        <f t="shared" si="59"/>
        <v>1058</v>
      </c>
    </row>
    <row r="4352" spans="1:6" x14ac:dyDescent="0.25">
      <c r="A4352" s="232">
        <v>43169</v>
      </c>
      <c r="B4352" s="26" t="s">
        <v>26</v>
      </c>
      <c r="C4352" s="26" t="s">
        <v>3379</v>
      </c>
      <c r="D4352" s="8">
        <v>180</v>
      </c>
      <c r="E4352" s="8"/>
      <c r="F4352" s="92">
        <f t="shared" ref="F4352:F4459" si="60">F4351-D4352+E4352</f>
        <v>878</v>
      </c>
    </row>
    <row r="4353" spans="1:6" x14ac:dyDescent="0.25">
      <c r="A4353" s="232">
        <v>43169</v>
      </c>
      <c r="B4353" s="26" t="s">
        <v>542</v>
      </c>
      <c r="C4353" s="26" t="s">
        <v>3380</v>
      </c>
      <c r="D4353" s="8">
        <v>220</v>
      </c>
      <c r="E4353" s="8"/>
      <c r="F4353" s="92">
        <f t="shared" si="60"/>
        <v>658</v>
      </c>
    </row>
    <row r="4354" spans="1:6" x14ac:dyDescent="0.25">
      <c r="A4354" s="232">
        <v>43169</v>
      </c>
      <c r="B4354" s="26" t="s">
        <v>26</v>
      </c>
      <c r="C4354" s="26" t="s">
        <v>1733</v>
      </c>
      <c r="D4354" s="8">
        <v>50</v>
      </c>
      <c r="E4354" s="8"/>
      <c r="F4354" s="92">
        <f t="shared" si="60"/>
        <v>608</v>
      </c>
    </row>
    <row r="4355" spans="1:6" x14ac:dyDescent="0.25">
      <c r="A4355" s="232">
        <v>43172</v>
      </c>
      <c r="B4355" s="26" t="s">
        <v>17</v>
      </c>
      <c r="C4355" s="26" t="s">
        <v>88</v>
      </c>
      <c r="D4355" s="8">
        <v>100</v>
      </c>
      <c r="E4355" s="8"/>
      <c r="F4355" s="92">
        <f t="shared" si="60"/>
        <v>508</v>
      </c>
    </row>
    <row r="4356" spans="1:6" x14ac:dyDescent="0.25">
      <c r="A4356" s="232">
        <v>43173</v>
      </c>
      <c r="B4356" s="26" t="s">
        <v>26</v>
      </c>
      <c r="C4356" s="26" t="s">
        <v>3381</v>
      </c>
      <c r="D4356" s="8">
        <v>60</v>
      </c>
      <c r="E4356" s="8"/>
      <c r="F4356" s="92">
        <f t="shared" si="60"/>
        <v>448</v>
      </c>
    </row>
    <row r="4357" spans="1:6" x14ac:dyDescent="0.25">
      <c r="A4357" s="232">
        <v>43173</v>
      </c>
      <c r="B4357" s="26" t="s">
        <v>542</v>
      </c>
      <c r="C4357" s="26" t="s">
        <v>2878</v>
      </c>
      <c r="D4357" s="8">
        <v>150</v>
      </c>
      <c r="E4357" s="8"/>
      <c r="F4357" s="92">
        <f t="shared" si="60"/>
        <v>298</v>
      </c>
    </row>
    <row r="4358" spans="1:6" x14ac:dyDescent="0.25">
      <c r="A4358" s="232">
        <v>43173</v>
      </c>
      <c r="B4358" s="26" t="s">
        <v>26</v>
      </c>
      <c r="C4358" s="26" t="s">
        <v>942</v>
      </c>
      <c r="D4358" s="8">
        <v>480</v>
      </c>
      <c r="E4358" s="8"/>
      <c r="F4358" s="92">
        <f t="shared" si="60"/>
        <v>-182</v>
      </c>
    </row>
    <row r="4359" spans="1:6" x14ac:dyDescent="0.25">
      <c r="A4359" s="232">
        <v>43168</v>
      </c>
      <c r="B4359" s="460" t="s">
        <v>3383</v>
      </c>
      <c r="C4359" s="460"/>
      <c r="D4359" s="71"/>
      <c r="E4359" s="58">
        <v>13000</v>
      </c>
      <c r="F4359" s="92">
        <f t="shared" si="60"/>
        <v>12818</v>
      </c>
    </row>
    <row r="4360" spans="1:6" x14ac:dyDescent="0.25">
      <c r="A4360" s="232">
        <v>43173</v>
      </c>
      <c r="B4360" s="26" t="s">
        <v>26</v>
      </c>
      <c r="C4360" s="26" t="s">
        <v>668</v>
      </c>
      <c r="D4360" s="8">
        <v>110</v>
      </c>
      <c r="E4360" s="8"/>
      <c r="F4360" s="92">
        <f t="shared" si="60"/>
        <v>12708</v>
      </c>
    </row>
    <row r="4361" spans="1:6" x14ac:dyDescent="0.25">
      <c r="A4361" s="232">
        <v>43173</v>
      </c>
      <c r="B4361" s="26" t="s">
        <v>0</v>
      </c>
      <c r="C4361" s="26" t="s">
        <v>3382</v>
      </c>
      <c r="D4361" s="8">
        <v>300</v>
      </c>
      <c r="E4361" s="8"/>
      <c r="F4361" s="92">
        <f t="shared" si="60"/>
        <v>12408</v>
      </c>
    </row>
    <row r="4362" spans="1:6" x14ac:dyDescent="0.25">
      <c r="A4362" s="232">
        <v>43173</v>
      </c>
      <c r="B4362" s="460" t="s">
        <v>1984</v>
      </c>
      <c r="C4362" s="460"/>
      <c r="D4362" s="71"/>
      <c r="E4362" s="58">
        <v>100000</v>
      </c>
      <c r="F4362" s="92">
        <f t="shared" si="60"/>
        <v>112408</v>
      </c>
    </row>
    <row r="4363" spans="1:6" x14ac:dyDescent="0.25">
      <c r="A4363" s="232">
        <v>43173</v>
      </c>
      <c r="B4363" s="26" t="s">
        <v>0</v>
      </c>
      <c r="C4363" s="26" t="s">
        <v>1533</v>
      </c>
      <c r="D4363" s="8">
        <v>6000</v>
      </c>
      <c r="E4363" s="8"/>
      <c r="F4363" s="92">
        <f t="shared" si="60"/>
        <v>106408</v>
      </c>
    </row>
    <row r="4364" spans="1:6" x14ac:dyDescent="0.25">
      <c r="A4364" s="232">
        <v>43173</v>
      </c>
      <c r="B4364" s="26" t="s">
        <v>59</v>
      </c>
      <c r="C4364" s="26" t="s">
        <v>3146</v>
      </c>
      <c r="D4364" s="8">
        <v>50000</v>
      </c>
      <c r="E4364" s="8"/>
      <c r="F4364" s="92">
        <f t="shared" si="60"/>
        <v>56408</v>
      </c>
    </row>
    <row r="4365" spans="1:6" x14ac:dyDescent="0.25">
      <c r="A4365" s="232">
        <v>43173</v>
      </c>
      <c r="B4365" s="26" t="s">
        <v>108</v>
      </c>
      <c r="C4365" s="26" t="s">
        <v>3384</v>
      </c>
      <c r="D4365" s="8">
        <v>1800</v>
      </c>
      <c r="E4365" s="8"/>
      <c r="F4365" s="92">
        <f t="shared" si="60"/>
        <v>54608</v>
      </c>
    </row>
    <row r="4366" spans="1:6" x14ac:dyDescent="0.25">
      <c r="A4366" s="232">
        <v>43173</v>
      </c>
      <c r="B4366" s="26" t="s">
        <v>1413</v>
      </c>
      <c r="C4366" s="26" t="s">
        <v>3385</v>
      </c>
      <c r="D4366" s="8">
        <v>2000</v>
      </c>
      <c r="E4366" s="8"/>
      <c r="F4366" s="92">
        <f t="shared" si="60"/>
        <v>52608</v>
      </c>
    </row>
    <row r="4367" spans="1:6" x14ac:dyDescent="0.25">
      <c r="A4367" s="232">
        <v>43173</v>
      </c>
      <c r="B4367" s="26" t="s">
        <v>85</v>
      </c>
      <c r="C4367" s="26" t="s">
        <v>3386</v>
      </c>
      <c r="D4367" s="8">
        <v>2000</v>
      </c>
      <c r="E4367" s="8"/>
      <c r="F4367" s="92">
        <f t="shared" si="60"/>
        <v>50608</v>
      </c>
    </row>
    <row r="4368" spans="1:6" x14ac:dyDescent="0.25">
      <c r="A4368" s="232">
        <v>43173</v>
      </c>
      <c r="B4368" s="26" t="s">
        <v>248</v>
      </c>
      <c r="C4368" s="26" t="s">
        <v>3387</v>
      </c>
      <c r="D4368" s="8">
        <v>100</v>
      </c>
      <c r="E4368" s="8"/>
      <c r="F4368" s="92">
        <f t="shared" si="60"/>
        <v>50508</v>
      </c>
    </row>
    <row r="4369" spans="1:6" x14ac:dyDescent="0.25">
      <c r="A4369" s="232">
        <v>43173</v>
      </c>
      <c r="B4369" s="26" t="s">
        <v>26</v>
      </c>
      <c r="C4369" s="26" t="s">
        <v>3391</v>
      </c>
      <c r="D4369" s="8">
        <v>8500</v>
      </c>
      <c r="E4369" s="8"/>
      <c r="F4369" s="92">
        <f t="shared" si="60"/>
        <v>42008</v>
      </c>
    </row>
    <row r="4370" spans="1:6" x14ac:dyDescent="0.25">
      <c r="A4370" s="232">
        <v>43173</v>
      </c>
      <c r="B4370" s="26" t="s">
        <v>2158</v>
      </c>
      <c r="C4370" s="26" t="s">
        <v>2016</v>
      </c>
      <c r="D4370" s="8">
        <v>50</v>
      </c>
      <c r="E4370" s="8"/>
      <c r="F4370" s="92">
        <f t="shared" si="60"/>
        <v>41958</v>
      </c>
    </row>
    <row r="4371" spans="1:6" x14ac:dyDescent="0.25">
      <c r="A4371" s="232">
        <v>43173</v>
      </c>
      <c r="B4371" s="26" t="s">
        <v>3388</v>
      </c>
      <c r="C4371" s="26" t="s">
        <v>3389</v>
      </c>
      <c r="D4371" s="8">
        <v>2000</v>
      </c>
      <c r="E4371" s="8"/>
      <c r="F4371" s="92">
        <f t="shared" si="60"/>
        <v>39958</v>
      </c>
    </row>
    <row r="4372" spans="1:6" x14ac:dyDescent="0.25">
      <c r="A4372" s="232">
        <v>43174</v>
      </c>
      <c r="B4372" s="26" t="s">
        <v>94</v>
      </c>
      <c r="C4372" s="26" t="s">
        <v>3390</v>
      </c>
      <c r="D4372" s="8">
        <v>2000</v>
      </c>
      <c r="E4372" s="8"/>
      <c r="F4372" s="92">
        <f t="shared" si="60"/>
        <v>37958</v>
      </c>
    </row>
    <row r="4373" spans="1:6" x14ac:dyDescent="0.25">
      <c r="A4373" s="232">
        <v>43174</v>
      </c>
      <c r="B4373" s="26" t="s">
        <v>59</v>
      </c>
      <c r="C4373" s="26" t="s">
        <v>3392</v>
      </c>
      <c r="D4373" s="8">
        <v>5570</v>
      </c>
      <c r="E4373" s="8"/>
      <c r="F4373" s="92">
        <f t="shared" si="60"/>
        <v>32388</v>
      </c>
    </row>
    <row r="4374" spans="1:6" x14ac:dyDescent="0.25">
      <c r="A4374" s="232">
        <v>43174</v>
      </c>
      <c r="B4374" s="26" t="s">
        <v>2827</v>
      </c>
      <c r="C4374" s="26" t="s">
        <v>3393</v>
      </c>
      <c r="D4374" s="8">
        <v>2500</v>
      </c>
      <c r="E4374" s="8"/>
      <c r="F4374" s="92">
        <f t="shared" si="60"/>
        <v>29888</v>
      </c>
    </row>
    <row r="4375" spans="1:6" x14ac:dyDescent="0.25">
      <c r="A4375" s="232">
        <v>43174</v>
      </c>
      <c r="B4375" s="26" t="s">
        <v>542</v>
      </c>
      <c r="C4375" s="26" t="s">
        <v>3120</v>
      </c>
      <c r="D4375" s="8">
        <v>120</v>
      </c>
      <c r="E4375" s="8"/>
      <c r="F4375" s="92">
        <f t="shared" si="60"/>
        <v>29768</v>
      </c>
    </row>
    <row r="4376" spans="1:6" x14ac:dyDescent="0.25">
      <c r="A4376" s="232">
        <v>43174</v>
      </c>
      <c r="B4376" s="26" t="s">
        <v>26</v>
      </c>
      <c r="C4376" s="26" t="s">
        <v>3281</v>
      </c>
      <c r="D4376" s="8">
        <v>260</v>
      </c>
      <c r="E4376" s="8"/>
      <c r="F4376" s="92">
        <f t="shared" si="60"/>
        <v>29508</v>
      </c>
    </row>
    <row r="4377" spans="1:6" x14ac:dyDescent="0.25">
      <c r="A4377" s="232">
        <v>43174</v>
      </c>
      <c r="B4377" s="26" t="s">
        <v>26</v>
      </c>
      <c r="C4377" s="26" t="s">
        <v>3403</v>
      </c>
      <c r="D4377" s="8">
        <v>330</v>
      </c>
      <c r="E4377" s="8"/>
      <c r="F4377" s="92">
        <f t="shared" si="60"/>
        <v>29178</v>
      </c>
    </row>
    <row r="4378" spans="1:6" x14ac:dyDescent="0.25">
      <c r="A4378" s="232">
        <v>43174</v>
      </c>
      <c r="B4378" s="26" t="s">
        <v>0</v>
      </c>
      <c r="C4378" s="26" t="s">
        <v>2016</v>
      </c>
      <c r="D4378" s="8">
        <v>100</v>
      </c>
      <c r="E4378" s="8"/>
      <c r="F4378" s="92">
        <f t="shared" si="60"/>
        <v>29078</v>
      </c>
    </row>
    <row r="4379" spans="1:6" x14ac:dyDescent="0.25">
      <c r="A4379" s="236">
        <v>43175</v>
      </c>
      <c r="B4379" s="237" t="s">
        <v>59</v>
      </c>
      <c r="C4379" s="237" t="s">
        <v>3394</v>
      </c>
      <c r="D4379" s="114">
        <v>1000</v>
      </c>
      <c r="E4379" s="114"/>
      <c r="F4379" s="92">
        <f t="shared" si="60"/>
        <v>28078</v>
      </c>
    </row>
    <row r="4380" spans="1:6" x14ac:dyDescent="0.25">
      <c r="A4380" s="232">
        <v>43175</v>
      </c>
      <c r="B4380" s="26" t="s">
        <v>1196</v>
      </c>
      <c r="C4380" s="26" t="s">
        <v>3395</v>
      </c>
      <c r="D4380" s="8">
        <v>3000</v>
      </c>
      <c r="E4380" s="8"/>
      <c r="F4380" s="92">
        <f t="shared" si="60"/>
        <v>25078</v>
      </c>
    </row>
    <row r="4381" spans="1:6" x14ac:dyDescent="0.25">
      <c r="A4381" s="232">
        <v>43175</v>
      </c>
      <c r="B4381" s="460" t="s">
        <v>3383</v>
      </c>
      <c r="C4381" s="460"/>
      <c r="D4381" s="71"/>
      <c r="E4381" s="58">
        <v>2800</v>
      </c>
      <c r="F4381" s="92">
        <f t="shared" si="60"/>
        <v>27878</v>
      </c>
    </row>
    <row r="4382" spans="1:6" x14ac:dyDescent="0.25">
      <c r="A4382" s="232">
        <v>43175</v>
      </c>
      <c r="B4382" s="26" t="s">
        <v>3396</v>
      </c>
      <c r="C4382" s="26" t="s">
        <v>3397</v>
      </c>
      <c r="D4382" s="8">
        <v>12000</v>
      </c>
      <c r="E4382" s="8"/>
      <c r="F4382" s="92">
        <f t="shared" si="60"/>
        <v>15878</v>
      </c>
    </row>
    <row r="4383" spans="1:6" x14ac:dyDescent="0.25">
      <c r="A4383" s="232">
        <v>43175</v>
      </c>
      <c r="B4383" s="26" t="s">
        <v>26</v>
      </c>
      <c r="C4383" s="26" t="s">
        <v>3398</v>
      </c>
      <c r="D4383" s="8">
        <v>50</v>
      </c>
      <c r="E4383" s="8"/>
      <c r="F4383" s="92">
        <f t="shared" si="60"/>
        <v>15828</v>
      </c>
    </row>
    <row r="4384" spans="1:6" x14ac:dyDescent="0.25">
      <c r="A4384" s="232">
        <v>43175</v>
      </c>
      <c r="B4384" s="26" t="s">
        <v>26</v>
      </c>
      <c r="C4384" s="26" t="s">
        <v>3404</v>
      </c>
      <c r="D4384" s="8">
        <v>280</v>
      </c>
      <c r="E4384" s="8"/>
      <c r="F4384" s="92">
        <f t="shared" si="60"/>
        <v>15548</v>
      </c>
    </row>
    <row r="4385" spans="1:6" x14ac:dyDescent="0.25">
      <c r="A4385" s="232">
        <v>43175</v>
      </c>
      <c r="B4385" s="26" t="s">
        <v>542</v>
      </c>
      <c r="C4385" s="26" t="s">
        <v>3120</v>
      </c>
      <c r="D4385" s="8">
        <v>100</v>
      </c>
      <c r="E4385" s="8"/>
      <c r="F4385" s="92">
        <f t="shared" si="60"/>
        <v>15448</v>
      </c>
    </row>
    <row r="4386" spans="1:6" x14ac:dyDescent="0.25">
      <c r="A4386" s="232">
        <v>43175</v>
      </c>
      <c r="B4386" s="26" t="s">
        <v>26</v>
      </c>
      <c r="C4386" s="26" t="s">
        <v>3399</v>
      </c>
      <c r="D4386" s="8">
        <v>210</v>
      </c>
      <c r="E4386" s="8"/>
      <c r="F4386" s="92">
        <f t="shared" si="60"/>
        <v>15238</v>
      </c>
    </row>
    <row r="4387" spans="1:6" x14ac:dyDescent="0.25">
      <c r="A4387" s="232">
        <v>43175</v>
      </c>
      <c r="B4387" s="26" t="s">
        <v>26</v>
      </c>
      <c r="C4387" s="26" t="s">
        <v>2662</v>
      </c>
      <c r="D4387" s="8">
        <v>360</v>
      </c>
      <c r="E4387" s="8"/>
      <c r="F4387" s="92">
        <f t="shared" si="60"/>
        <v>14878</v>
      </c>
    </row>
    <row r="4388" spans="1:6" x14ac:dyDescent="0.25">
      <c r="A4388" s="232">
        <v>43175</v>
      </c>
      <c r="B4388" s="26" t="s">
        <v>14</v>
      </c>
      <c r="C4388" s="26" t="s">
        <v>3400</v>
      </c>
      <c r="D4388" s="8">
        <v>160</v>
      </c>
      <c r="E4388" s="8"/>
      <c r="F4388" s="92">
        <f t="shared" si="60"/>
        <v>14718</v>
      </c>
    </row>
    <row r="4389" spans="1:6" x14ac:dyDescent="0.25">
      <c r="A4389" s="232">
        <v>43175</v>
      </c>
      <c r="B4389" s="26" t="s">
        <v>26</v>
      </c>
      <c r="C4389" s="26" t="s">
        <v>3401</v>
      </c>
      <c r="D4389" s="8">
        <v>45</v>
      </c>
      <c r="E4389" s="8"/>
      <c r="F4389" s="92">
        <f t="shared" si="60"/>
        <v>14673</v>
      </c>
    </row>
    <row r="4390" spans="1:6" x14ac:dyDescent="0.25">
      <c r="A4390" s="232">
        <v>43175</v>
      </c>
      <c r="B4390" s="460" t="s">
        <v>3408</v>
      </c>
      <c r="C4390" s="460"/>
      <c r="D4390" s="71"/>
      <c r="E4390" s="58">
        <v>400</v>
      </c>
      <c r="F4390" s="92">
        <f t="shared" si="60"/>
        <v>15073</v>
      </c>
    </row>
    <row r="4391" spans="1:6" x14ac:dyDescent="0.25">
      <c r="A4391" s="232">
        <v>43175</v>
      </c>
      <c r="B4391" s="26" t="s">
        <v>11</v>
      </c>
      <c r="C4391" s="26" t="s">
        <v>3402</v>
      </c>
      <c r="D4391" s="8">
        <v>2000</v>
      </c>
      <c r="E4391" s="8"/>
      <c r="F4391" s="92">
        <f t="shared" si="60"/>
        <v>13073</v>
      </c>
    </row>
    <row r="4392" spans="1:6" x14ac:dyDescent="0.25">
      <c r="A4392" s="232">
        <v>43175</v>
      </c>
      <c r="B4392" s="26" t="s">
        <v>85</v>
      </c>
      <c r="C4392" s="26" t="s">
        <v>3405</v>
      </c>
      <c r="D4392" s="8">
        <v>1000</v>
      </c>
      <c r="E4392" s="8"/>
      <c r="F4392" s="92">
        <f t="shared" si="60"/>
        <v>12073</v>
      </c>
    </row>
    <row r="4393" spans="1:6" x14ac:dyDescent="0.25">
      <c r="A4393" s="232">
        <v>43175</v>
      </c>
      <c r="B4393" s="26" t="s">
        <v>85</v>
      </c>
      <c r="C4393" s="26" t="s">
        <v>3406</v>
      </c>
      <c r="D4393" s="8">
        <v>5000</v>
      </c>
      <c r="E4393" s="8"/>
      <c r="F4393" s="92">
        <f t="shared" si="60"/>
        <v>7073</v>
      </c>
    </row>
    <row r="4394" spans="1:6" x14ac:dyDescent="0.25">
      <c r="A4394" s="232">
        <v>43175</v>
      </c>
      <c r="B4394" s="26" t="s">
        <v>85</v>
      </c>
      <c r="C4394" s="26" t="s">
        <v>3407</v>
      </c>
      <c r="D4394" s="8">
        <v>1000</v>
      </c>
      <c r="E4394" s="8"/>
      <c r="F4394" s="92">
        <f t="shared" si="60"/>
        <v>6073</v>
      </c>
    </row>
    <row r="4395" spans="1:6" x14ac:dyDescent="0.25">
      <c r="A4395" s="232">
        <v>43175</v>
      </c>
      <c r="B4395" s="26" t="s">
        <v>542</v>
      </c>
      <c r="C4395" s="26" t="s">
        <v>3409</v>
      </c>
      <c r="D4395" s="8">
        <v>6070</v>
      </c>
      <c r="E4395" s="8"/>
      <c r="F4395" s="92">
        <f t="shared" si="60"/>
        <v>3</v>
      </c>
    </row>
    <row r="4396" spans="1:6" x14ac:dyDescent="0.25">
      <c r="A4396" s="232">
        <v>43190</v>
      </c>
      <c r="B4396" s="460" t="s">
        <v>2165</v>
      </c>
      <c r="C4396" s="460"/>
      <c r="D4396" s="71"/>
      <c r="E4396" s="58">
        <v>100000</v>
      </c>
      <c r="F4396" s="92">
        <v>100000</v>
      </c>
    </row>
    <row r="4397" spans="1:6" x14ac:dyDescent="0.25">
      <c r="A4397" s="232">
        <v>43190</v>
      </c>
      <c r="B4397" s="26" t="s">
        <v>2597</v>
      </c>
      <c r="C4397" s="26" t="s">
        <v>3129</v>
      </c>
      <c r="D4397" s="8">
        <v>37000</v>
      </c>
      <c r="E4397" s="8"/>
      <c r="F4397" s="92">
        <f t="shared" si="60"/>
        <v>63000</v>
      </c>
    </row>
    <row r="4398" spans="1:6" x14ac:dyDescent="0.25">
      <c r="A4398" s="232">
        <v>43190</v>
      </c>
      <c r="B4398" s="26" t="s">
        <v>1346</v>
      </c>
      <c r="C4398" s="26" t="s">
        <v>3410</v>
      </c>
      <c r="D4398" s="8">
        <v>3000</v>
      </c>
      <c r="E4398" s="8"/>
      <c r="F4398" s="92">
        <f t="shared" si="60"/>
        <v>60000</v>
      </c>
    </row>
    <row r="4399" spans="1:6" x14ac:dyDescent="0.25">
      <c r="A4399" s="232">
        <v>43190</v>
      </c>
      <c r="B4399" s="26" t="s">
        <v>2333</v>
      </c>
      <c r="C4399" s="26" t="s">
        <v>641</v>
      </c>
      <c r="D4399" s="8">
        <v>1500</v>
      </c>
      <c r="E4399" s="8"/>
      <c r="F4399" s="92">
        <f t="shared" si="60"/>
        <v>58500</v>
      </c>
    </row>
    <row r="4400" spans="1:6" x14ac:dyDescent="0.25">
      <c r="A4400" s="232">
        <v>43190</v>
      </c>
      <c r="B4400" s="26" t="s">
        <v>26</v>
      </c>
      <c r="C4400" s="26" t="s">
        <v>3432</v>
      </c>
      <c r="D4400" s="8">
        <v>200</v>
      </c>
      <c r="E4400" s="8"/>
      <c r="F4400" s="92">
        <f t="shared" si="60"/>
        <v>58300</v>
      </c>
    </row>
    <row r="4401" spans="1:6" x14ac:dyDescent="0.25">
      <c r="A4401" s="232">
        <v>43190</v>
      </c>
      <c r="B4401" s="26" t="s">
        <v>542</v>
      </c>
      <c r="C4401" s="26" t="s">
        <v>3120</v>
      </c>
      <c r="D4401" s="8">
        <v>90</v>
      </c>
      <c r="E4401" s="8"/>
      <c r="F4401" s="92">
        <f t="shared" si="60"/>
        <v>58210</v>
      </c>
    </row>
    <row r="4402" spans="1:6" x14ac:dyDescent="0.25">
      <c r="A4402" s="232">
        <v>43190</v>
      </c>
      <c r="B4402" s="26" t="s">
        <v>26</v>
      </c>
      <c r="C4402" s="26" t="s">
        <v>3093</v>
      </c>
      <c r="D4402" s="8">
        <v>30</v>
      </c>
      <c r="E4402" s="8"/>
      <c r="F4402" s="92">
        <f t="shared" si="60"/>
        <v>58180</v>
      </c>
    </row>
    <row r="4403" spans="1:6" x14ac:dyDescent="0.25">
      <c r="A4403" s="232">
        <v>43190</v>
      </c>
      <c r="B4403" s="26" t="s">
        <v>26</v>
      </c>
      <c r="C4403" s="26" t="s">
        <v>1832</v>
      </c>
      <c r="D4403" s="8">
        <v>60</v>
      </c>
      <c r="E4403" s="8"/>
      <c r="F4403" s="92">
        <f t="shared" si="60"/>
        <v>58120</v>
      </c>
    </row>
    <row r="4404" spans="1:6" x14ac:dyDescent="0.25">
      <c r="A4404" s="232">
        <v>43190</v>
      </c>
      <c r="B4404" s="26" t="s">
        <v>26</v>
      </c>
      <c r="C4404" s="26" t="s">
        <v>3433</v>
      </c>
      <c r="D4404" s="8">
        <v>100</v>
      </c>
      <c r="E4404" s="8"/>
      <c r="F4404" s="92">
        <f t="shared" si="60"/>
        <v>58020</v>
      </c>
    </row>
    <row r="4405" spans="1:6" x14ac:dyDescent="0.25">
      <c r="A4405" s="232">
        <v>43190</v>
      </c>
      <c r="B4405" s="26" t="s">
        <v>1619</v>
      </c>
      <c r="C4405" s="26" t="s">
        <v>641</v>
      </c>
      <c r="D4405" s="8">
        <v>1500</v>
      </c>
      <c r="E4405" s="8"/>
      <c r="F4405" s="92">
        <f>F4399-D4405+E4405</f>
        <v>57000</v>
      </c>
    </row>
    <row r="4406" spans="1:6" x14ac:dyDescent="0.25">
      <c r="A4406" s="232">
        <v>43192</v>
      </c>
      <c r="B4406" s="26" t="s">
        <v>2099</v>
      </c>
      <c r="C4406" s="26" t="s">
        <v>3411</v>
      </c>
      <c r="D4406" s="8">
        <v>20000</v>
      </c>
      <c r="E4406" s="8"/>
      <c r="F4406" s="92">
        <f t="shared" si="60"/>
        <v>37000</v>
      </c>
    </row>
    <row r="4407" spans="1:6" x14ac:dyDescent="0.25">
      <c r="A4407" s="232">
        <v>43192</v>
      </c>
      <c r="B4407" s="26" t="s">
        <v>0</v>
      </c>
      <c r="C4407" s="26" t="s">
        <v>1052</v>
      </c>
      <c r="D4407" s="8">
        <v>1000</v>
      </c>
      <c r="E4407" s="8"/>
      <c r="F4407" s="92">
        <f t="shared" si="60"/>
        <v>36000</v>
      </c>
    </row>
    <row r="4408" spans="1:6" x14ac:dyDescent="0.25">
      <c r="A4408" s="232">
        <v>43192</v>
      </c>
      <c r="B4408" s="26" t="s">
        <v>542</v>
      </c>
      <c r="C4408" s="26" t="s">
        <v>3120</v>
      </c>
      <c r="D4408" s="8">
        <v>90</v>
      </c>
      <c r="E4408" s="8"/>
      <c r="F4408" s="92">
        <f t="shared" si="60"/>
        <v>35910</v>
      </c>
    </row>
    <row r="4409" spans="1:6" x14ac:dyDescent="0.25">
      <c r="A4409" s="232">
        <v>43192</v>
      </c>
      <c r="B4409" s="26" t="s">
        <v>26</v>
      </c>
      <c r="C4409" s="26" t="s">
        <v>3093</v>
      </c>
      <c r="D4409" s="8">
        <v>30</v>
      </c>
      <c r="E4409" s="8"/>
      <c r="F4409" s="92">
        <f t="shared" si="60"/>
        <v>35880</v>
      </c>
    </row>
    <row r="4410" spans="1:6" x14ac:dyDescent="0.25">
      <c r="A4410" s="232">
        <v>43192</v>
      </c>
      <c r="B4410" s="26" t="s">
        <v>3412</v>
      </c>
      <c r="C4410" s="26" t="s">
        <v>3413</v>
      </c>
      <c r="D4410" s="8">
        <v>310</v>
      </c>
      <c r="E4410" s="8"/>
      <c r="F4410" s="92">
        <f>F4407-D4410+E4410</f>
        <v>35690</v>
      </c>
    </row>
    <row r="4411" spans="1:6" x14ac:dyDescent="0.25">
      <c r="A4411" s="232">
        <v>43193</v>
      </c>
      <c r="B4411" s="26" t="s">
        <v>1619</v>
      </c>
      <c r="C4411" s="26" t="s">
        <v>3414</v>
      </c>
      <c r="D4411" s="8">
        <v>520</v>
      </c>
      <c r="E4411" s="8"/>
      <c r="F4411" s="92">
        <f t="shared" si="60"/>
        <v>35170</v>
      </c>
    </row>
    <row r="4412" spans="1:6" x14ac:dyDescent="0.25">
      <c r="A4412" s="232">
        <v>43193</v>
      </c>
      <c r="B4412" s="26" t="s">
        <v>17</v>
      </c>
      <c r="C4412" s="26" t="s">
        <v>3415</v>
      </c>
      <c r="D4412" s="8">
        <v>25000</v>
      </c>
      <c r="E4412" s="8"/>
      <c r="F4412" s="92">
        <f t="shared" si="60"/>
        <v>10170</v>
      </c>
    </row>
    <row r="4413" spans="1:6" x14ac:dyDescent="0.25">
      <c r="A4413" s="232">
        <v>43193</v>
      </c>
      <c r="B4413" s="26" t="s">
        <v>59</v>
      </c>
      <c r="C4413" s="26" t="s">
        <v>3416</v>
      </c>
      <c r="D4413" s="8">
        <v>140</v>
      </c>
      <c r="E4413" s="8"/>
      <c r="F4413" s="92">
        <f t="shared" si="60"/>
        <v>10030</v>
      </c>
    </row>
    <row r="4414" spans="1:6" x14ac:dyDescent="0.25">
      <c r="A4414" s="232">
        <v>43193</v>
      </c>
      <c r="B4414" s="460" t="s">
        <v>3425</v>
      </c>
      <c r="C4414" s="460"/>
      <c r="D4414" s="71"/>
      <c r="E4414" s="58">
        <v>100000</v>
      </c>
      <c r="F4414" s="92">
        <f t="shared" si="60"/>
        <v>110030</v>
      </c>
    </row>
    <row r="4415" spans="1:6" x14ac:dyDescent="0.25">
      <c r="A4415" s="232">
        <v>43193</v>
      </c>
      <c r="B4415" s="26" t="s">
        <v>59</v>
      </c>
      <c r="C4415" s="26" t="s">
        <v>3423</v>
      </c>
      <c r="D4415" s="8">
        <v>27620</v>
      </c>
      <c r="E4415" s="8"/>
      <c r="F4415" s="92">
        <f t="shared" si="60"/>
        <v>82410</v>
      </c>
    </row>
    <row r="4416" spans="1:6" x14ac:dyDescent="0.25">
      <c r="A4416" s="232">
        <v>43193</v>
      </c>
      <c r="B4416" s="26" t="s">
        <v>92</v>
      </c>
      <c r="C4416" s="26" t="s">
        <v>3417</v>
      </c>
      <c r="D4416" s="8">
        <v>450</v>
      </c>
      <c r="E4416" s="8"/>
      <c r="F4416" s="92">
        <f t="shared" si="60"/>
        <v>81960</v>
      </c>
    </row>
    <row r="4417" spans="1:6" x14ac:dyDescent="0.25">
      <c r="A4417" s="232">
        <v>43193</v>
      </c>
      <c r="B4417" s="26" t="s">
        <v>48</v>
      </c>
      <c r="C4417" s="26" t="s">
        <v>3418</v>
      </c>
      <c r="D4417" s="8">
        <v>1500</v>
      </c>
      <c r="E4417" s="8"/>
      <c r="F4417" s="92">
        <f t="shared" si="60"/>
        <v>80460</v>
      </c>
    </row>
    <row r="4418" spans="1:6" x14ac:dyDescent="0.25">
      <c r="A4418" s="232">
        <v>43193</v>
      </c>
      <c r="B4418" s="26" t="s">
        <v>542</v>
      </c>
      <c r="C4418" s="26" t="s">
        <v>3434</v>
      </c>
      <c r="D4418" s="8">
        <v>150</v>
      </c>
      <c r="E4418" s="8"/>
      <c r="F4418" s="92">
        <f t="shared" si="60"/>
        <v>80310</v>
      </c>
    </row>
    <row r="4419" spans="1:6" x14ac:dyDescent="0.25">
      <c r="A4419" s="232">
        <v>43193</v>
      </c>
      <c r="B4419" s="26" t="s">
        <v>26</v>
      </c>
      <c r="C4419" s="26" t="s">
        <v>2234</v>
      </c>
      <c r="D4419" s="8">
        <v>160</v>
      </c>
      <c r="E4419" s="8"/>
      <c r="F4419" s="92">
        <f t="shared" si="60"/>
        <v>80150</v>
      </c>
    </row>
    <row r="4420" spans="1:6" x14ac:dyDescent="0.25">
      <c r="A4420" s="232">
        <v>43193</v>
      </c>
      <c r="B4420" s="26" t="s">
        <v>542</v>
      </c>
      <c r="C4420" s="26" t="s">
        <v>3120</v>
      </c>
      <c r="D4420" s="8">
        <v>100</v>
      </c>
      <c r="E4420" s="8"/>
      <c r="F4420" s="92">
        <f t="shared" si="60"/>
        <v>80050</v>
      </c>
    </row>
    <row r="4421" spans="1:6" x14ac:dyDescent="0.25">
      <c r="A4421" s="232">
        <v>43193</v>
      </c>
      <c r="B4421" s="26" t="s">
        <v>248</v>
      </c>
      <c r="C4421" s="26" t="s">
        <v>3419</v>
      </c>
      <c r="D4421" s="8">
        <v>750</v>
      </c>
      <c r="E4421" s="8"/>
      <c r="F4421" s="92">
        <f t="shared" si="60"/>
        <v>79300</v>
      </c>
    </row>
    <row r="4422" spans="1:6" x14ac:dyDescent="0.25">
      <c r="A4422" s="232">
        <v>43193</v>
      </c>
      <c r="B4422" s="26" t="s">
        <v>59</v>
      </c>
      <c r="C4422" s="26" t="s">
        <v>3421</v>
      </c>
      <c r="D4422" s="8">
        <v>800</v>
      </c>
      <c r="E4422" s="8"/>
      <c r="F4422" s="92">
        <f t="shared" si="60"/>
        <v>78500</v>
      </c>
    </row>
    <row r="4423" spans="1:6" x14ac:dyDescent="0.25">
      <c r="A4423" s="232">
        <v>43193</v>
      </c>
      <c r="B4423" s="26" t="s">
        <v>59</v>
      </c>
      <c r="C4423" s="26" t="s">
        <v>3422</v>
      </c>
      <c r="D4423" s="8">
        <v>300</v>
      </c>
      <c r="E4423" s="8"/>
      <c r="F4423" s="92">
        <f t="shared" si="60"/>
        <v>78200</v>
      </c>
    </row>
    <row r="4424" spans="1:6" x14ac:dyDescent="0.25">
      <c r="A4424" s="232">
        <v>43193</v>
      </c>
      <c r="B4424" s="26" t="s">
        <v>59</v>
      </c>
      <c r="C4424" s="26" t="s">
        <v>3424</v>
      </c>
      <c r="D4424" s="8">
        <v>300</v>
      </c>
      <c r="E4424" s="8"/>
      <c r="F4424" s="92">
        <f t="shared" si="60"/>
        <v>77900</v>
      </c>
    </row>
    <row r="4425" spans="1:6" x14ac:dyDescent="0.25">
      <c r="A4425" s="232">
        <v>43193</v>
      </c>
      <c r="B4425" s="26" t="s">
        <v>3357</v>
      </c>
      <c r="C4425" s="26" t="s">
        <v>3426</v>
      </c>
      <c r="D4425" s="8">
        <v>100</v>
      </c>
      <c r="E4425" s="8"/>
      <c r="F4425" s="92">
        <f t="shared" si="60"/>
        <v>77800</v>
      </c>
    </row>
    <row r="4426" spans="1:6" x14ac:dyDescent="0.25">
      <c r="A4426" s="232">
        <v>43193</v>
      </c>
      <c r="B4426" s="26" t="s">
        <v>542</v>
      </c>
      <c r="C4426" s="26" t="s">
        <v>3120</v>
      </c>
      <c r="D4426" s="8">
        <v>100</v>
      </c>
      <c r="E4426" s="8"/>
      <c r="F4426" s="92">
        <f t="shared" si="60"/>
        <v>77700</v>
      </c>
    </row>
    <row r="4427" spans="1:6" x14ac:dyDescent="0.25">
      <c r="A4427" s="232">
        <v>43194</v>
      </c>
      <c r="B4427" s="26" t="s">
        <v>3447</v>
      </c>
      <c r="C4427" s="26" t="s">
        <v>3427</v>
      </c>
      <c r="D4427" s="8">
        <v>3000</v>
      </c>
      <c r="E4427" s="8"/>
      <c r="F4427" s="92">
        <f t="shared" si="60"/>
        <v>74700</v>
      </c>
    </row>
    <row r="4428" spans="1:6" x14ac:dyDescent="0.25">
      <c r="A4428" s="232">
        <v>43194</v>
      </c>
      <c r="B4428" s="26" t="s">
        <v>2485</v>
      </c>
      <c r="C4428" s="26" t="s">
        <v>3428</v>
      </c>
      <c r="D4428" s="8">
        <v>1700</v>
      </c>
      <c r="E4428" s="8"/>
      <c r="F4428" s="92">
        <f t="shared" si="60"/>
        <v>73000</v>
      </c>
    </row>
    <row r="4429" spans="1:6" x14ac:dyDescent="0.25">
      <c r="A4429" s="232">
        <v>43194</v>
      </c>
      <c r="B4429" s="26" t="s">
        <v>3429</v>
      </c>
      <c r="C4429" s="26" t="s">
        <v>3430</v>
      </c>
      <c r="D4429" s="8">
        <f>11500+115</f>
        <v>11615</v>
      </c>
      <c r="E4429" s="8"/>
      <c r="F4429" s="92">
        <f t="shared" si="60"/>
        <v>61385</v>
      </c>
    </row>
    <row r="4430" spans="1:6" x14ac:dyDescent="0.25">
      <c r="A4430" s="232">
        <v>43194</v>
      </c>
      <c r="B4430" s="26" t="s">
        <v>1346</v>
      </c>
      <c r="C4430" s="26" t="s">
        <v>3431</v>
      </c>
      <c r="D4430" s="8">
        <v>20000</v>
      </c>
      <c r="E4430" s="8"/>
      <c r="F4430" s="92">
        <f t="shared" si="60"/>
        <v>41385</v>
      </c>
    </row>
    <row r="4431" spans="1:6" x14ac:dyDescent="0.25">
      <c r="A4431" s="232">
        <v>43194</v>
      </c>
      <c r="B4431" s="26" t="s">
        <v>17</v>
      </c>
      <c r="C4431" s="26" t="s">
        <v>295</v>
      </c>
      <c r="D4431" s="8">
        <v>8000</v>
      </c>
      <c r="E4431" s="8"/>
      <c r="F4431" s="92">
        <f t="shared" si="60"/>
        <v>33385</v>
      </c>
    </row>
    <row r="4432" spans="1:6" x14ac:dyDescent="0.25">
      <c r="A4432" s="232">
        <v>43194</v>
      </c>
      <c r="B4432" s="26" t="s">
        <v>59</v>
      </c>
      <c r="C4432" s="26" t="s">
        <v>3435</v>
      </c>
      <c r="D4432" s="8">
        <v>200</v>
      </c>
      <c r="E4432" s="8"/>
      <c r="F4432" s="92">
        <f t="shared" si="60"/>
        <v>33185</v>
      </c>
    </row>
    <row r="4433" spans="1:6" x14ac:dyDescent="0.25">
      <c r="A4433" s="232">
        <v>43196</v>
      </c>
      <c r="B4433" s="26" t="s">
        <v>1196</v>
      </c>
      <c r="C4433" s="26" t="s">
        <v>3436</v>
      </c>
      <c r="D4433" s="8">
        <v>15500</v>
      </c>
      <c r="E4433" s="8"/>
      <c r="F4433" s="92">
        <f t="shared" si="60"/>
        <v>17685</v>
      </c>
    </row>
    <row r="4434" spans="1:6" x14ac:dyDescent="0.25">
      <c r="A4434" s="232">
        <v>43197</v>
      </c>
      <c r="B4434" s="26" t="s">
        <v>1840</v>
      </c>
      <c r="C4434" s="26" t="s">
        <v>295</v>
      </c>
      <c r="D4434" s="8">
        <v>5000</v>
      </c>
      <c r="E4434" s="8"/>
      <c r="F4434" s="92">
        <f t="shared" si="60"/>
        <v>12685</v>
      </c>
    </row>
    <row r="4435" spans="1:6" x14ac:dyDescent="0.25">
      <c r="A4435" s="232">
        <v>43197</v>
      </c>
      <c r="B4435" s="26" t="s">
        <v>2597</v>
      </c>
      <c r="C4435" s="26" t="s">
        <v>3437</v>
      </c>
      <c r="D4435" s="8">
        <v>4000</v>
      </c>
      <c r="E4435" s="8"/>
      <c r="F4435" s="92">
        <f t="shared" si="60"/>
        <v>8685</v>
      </c>
    </row>
    <row r="4436" spans="1:6" x14ac:dyDescent="0.25">
      <c r="A4436" s="232">
        <v>43197</v>
      </c>
      <c r="B4436" s="26" t="s">
        <v>59</v>
      </c>
      <c r="C4436" s="26" t="s">
        <v>3438</v>
      </c>
      <c r="D4436" s="8">
        <v>100</v>
      </c>
      <c r="E4436" s="8"/>
      <c r="F4436" s="92">
        <f t="shared" si="60"/>
        <v>8585</v>
      </c>
    </row>
    <row r="4437" spans="1:6" x14ac:dyDescent="0.25">
      <c r="A4437" s="232">
        <v>43197</v>
      </c>
      <c r="B4437" s="26" t="s">
        <v>3439</v>
      </c>
      <c r="C4437" s="26" t="s">
        <v>3440</v>
      </c>
      <c r="D4437" s="8">
        <v>2000</v>
      </c>
      <c r="E4437" s="8"/>
      <c r="F4437" s="92">
        <f t="shared" si="60"/>
        <v>6585</v>
      </c>
    </row>
    <row r="4438" spans="1:6" x14ac:dyDescent="0.25">
      <c r="A4438" s="232">
        <v>43197</v>
      </c>
      <c r="B4438" s="26" t="s">
        <v>3224</v>
      </c>
      <c r="C4438" s="26" t="s">
        <v>3441</v>
      </c>
      <c r="D4438" s="8">
        <v>1000</v>
      </c>
      <c r="E4438" s="8"/>
      <c r="F4438" s="92">
        <f t="shared" si="60"/>
        <v>5585</v>
      </c>
    </row>
    <row r="4439" spans="1:6" x14ac:dyDescent="0.25">
      <c r="A4439" s="232">
        <v>43197</v>
      </c>
      <c r="B4439" s="26" t="s">
        <v>26</v>
      </c>
      <c r="C4439" s="26" t="s">
        <v>82</v>
      </c>
      <c r="D4439" s="8">
        <v>165</v>
      </c>
      <c r="E4439" s="8"/>
      <c r="F4439" s="92">
        <f t="shared" si="60"/>
        <v>5420</v>
      </c>
    </row>
    <row r="4440" spans="1:6" x14ac:dyDescent="0.25">
      <c r="A4440" s="232">
        <v>43197</v>
      </c>
      <c r="B4440" s="26" t="s">
        <v>26</v>
      </c>
      <c r="C4440" s="26" t="s">
        <v>3442</v>
      </c>
      <c r="D4440" s="8">
        <f>20+100+15+40+60</f>
        <v>235</v>
      </c>
      <c r="E4440" s="8"/>
      <c r="F4440" s="92">
        <f t="shared" si="60"/>
        <v>5185</v>
      </c>
    </row>
    <row r="4441" spans="1:6" x14ac:dyDescent="0.25">
      <c r="A4441" s="232">
        <v>43197</v>
      </c>
      <c r="B4441" s="26" t="s">
        <v>2677</v>
      </c>
      <c r="C4441" s="26" t="s">
        <v>3443</v>
      </c>
      <c r="D4441" s="8">
        <v>280</v>
      </c>
      <c r="E4441" s="8"/>
      <c r="F4441" s="92">
        <f t="shared" si="60"/>
        <v>4905</v>
      </c>
    </row>
    <row r="4442" spans="1:6" x14ac:dyDescent="0.25">
      <c r="A4442" s="232">
        <v>43197</v>
      </c>
      <c r="B4442" s="26" t="s">
        <v>542</v>
      </c>
      <c r="C4442" s="26" t="s">
        <v>3234</v>
      </c>
      <c r="D4442" s="8">
        <v>220</v>
      </c>
      <c r="E4442" s="8"/>
      <c r="F4442" s="92">
        <f t="shared" si="60"/>
        <v>4685</v>
      </c>
    </row>
    <row r="4443" spans="1:6" x14ac:dyDescent="0.25">
      <c r="A4443" s="232">
        <v>43197</v>
      </c>
      <c r="B4443" s="26" t="s">
        <v>26</v>
      </c>
      <c r="C4443" s="26" t="s">
        <v>2662</v>
      </c>
      <c r="D4443" s="8">
        <v>360</v>
      </c>
      <c r="E4443" s="8"/>
      <c r="F4443" s="92">
        <f t="shared" si="60"/>
        <v>4325</v>
      </c>
    </row>
    <row r="4444" spans="1:6" x14ac:dyDescent="0.25">
      <c r="A4444" s="232">
        <v>43197</v>
      </c>
      <c r="B4444" s="26" t="s">
        <v>26</v>
      </c>
      <c r="C4444" s="26" t="s">
        <v>3444</v>
      </c>
      <c r="D4444" s="8">
        <v>60</v>
      </c>
      <c r="E4444" s="8"/>
      <c r="F4444" s="92">
        <f t="shared" si="60"/>
        <v>4265</v>
      </c>
    </row>
    <row r="4445" spans="1:6" x14ac:dyDescent="0.25">
      <c r="A4445" s="232">
        <v>43197</v>
      </c>
      <c r="B4445" s="26" t="s">
        <v>61</v>
      </c>
      <c r="C4445" s="26" t="s">
        <v>3445</v>
      </c>
      <c r="D4445" s="8">
        <v>1000</v>
      </c>
      <c r="E4445" s="8"/>
      <c r="F4445" s="92">
        <f t="shared" si="60"/>
        <v>3265</v>
      </c>
    </row>
    <row r="4446" spans="1:6" x14ac:dyDescent="0.25">
      <c r="A4446" s="232">
        <v>43197</v>
      </c>
      <c r="B4446" s="26" t="s">
        <v>26</v>
      </c>
      <c r="C4446" s="26" t="s">
        <v>3446</v>
      </c>
      <c r="D4446" s="8">
        <v>450</v>
      </c>
      <c r="E4446" s="8"/>
      <c r="F4446" s="92">
        <f t="shared" si="60"/>
        <v>2815</v>
      </c>
    </row>
    <row r="4447" spans="1:6" x14ac:dyDescent="0.25">
      <c r="A4447" s="232">
        <v>43197</v>
      </c>
      <c r="B4447" s="460" t="s">
        <v>3448</v>
      </c>
      <c r="C4447" s="460"/>
      <c r="D4447" s="71"/>
      <c r="E4447" s="58">
        <v>50000</v>
      </c>
      <c r="F4447" s="92">
        <f t="shared" si="60"/>
        <v>52815</v>
      </c>
    </row>
    <row r="4448" spans="1:6" x14ac:dyDescent="0.25">
      <c r="A4448" s="232">
        <v>43199</v>
      </c>
      <c r="B4448" s="26" t="s">
        <v>2597</v>
      </c>
      <c r="C4448" s="26" t="s">
        <v>2547</v>
      </c>
      <c r="D4448" s="8">
        <v>15000</v>
      </c>
      <c r="E4448" s="8"/>
      <c r="F4448" s="92">
        <f t="shared" si="60"/>
        <v>37815</v>
      </c>
    </row>
    <row r="4449" spans="1:6" x14ac:dyDescent="0.25">
      <c r="A4449" s="232">
        <v>43199</v>
      </c>
      <c r="B4449" s="26" t="s">
        <v>48</v>
      </c>
      <c r="C4449" s="26" t="s">
        <v>3480</v>
      </c>
      <c r="D4449" s="8">
        <v>4000</v>
      </c>
      <c r="E4449" s="8"/>
      <c r="F4449" s="92">
        <f t="shared" si="60"/>
        <v>33815</v>
      </c>
    </row>
    <row r="4450" spans="1:6" x14ac:dyDescent="0.25">
      <c r="A4450" s="232">
        <v>43199</v>
      </c>
      <c r="B4450" s="26" t="s">
        <v>1346</v>
      </c>
      <c r="C4450" s="26" t="s">
        <v>3431</v>
      </c>
      <c r="D4450" s="8">
        <v>10000</v>
      </c>
      <c r="E4450" s="8"/>
      <c r="F4450" s="92">
        <f t="shared" si="60"/>
        <v>23815</v>
      </c>
    </row>
    <row r="4451" spans="1:6" x14ac:dyDescent="0.25">
      <c r="A4451" s="232">
        <v>43199</v>
      </c>
      <c r="B4451" s="26" t="s">
        <v>542</v>
      </c>
      <c r="C4451" s="26" t="s">
        <v>3449</v>
      </c>
      <c r="D4451" s="8">
        <v>1000</v>
      </c>
      <c r="E4451" s="8"/>
      <c r="F4451" s="92">
        <f t="shared" si="60"/>
        <v>22815</v>
      </c>
    </row>
    <row r="4452" spans="1:6" x14ac:dyDescent="0.25">
      <c r="A4452" s="232">
        <v>43199</v>
      </c>
      <c r="B4452" s="26" t="s">
        <v>14</v>
      </c>
      <c r="C4452" s="26" t="s">
        <v>295</v>
      </c>
      <c r="D4452" s="8">
        <v>5000</v>
      </c>
      <c r="E4452" s="8"/>
      <c r="F4452" s="92">
        <f t="shared" si="60"/>
        <v>17815</v>
      </c>
    </row>
    <row r="4453" spans="1:6" x14ac:dyDescent="0.25">
      <c r="A4453" s="232">
        <v>43197</v>
      </c>
      <c r="B4453" s="460" t="s">
        <v>3448</v>
      </c>
      <c r="C4453" s="460"/>
      <c r="D4453" s="71"/>
      <c r="E4453" s="58">
        <v>77708</v>
      </c>
      <c r="F4453" s="92">
        <f t="shared" si="60"/>
        <v>95523</v>
      </c>
    </row>
    <row r="4454" spans="1:6" x14ac:dyDescent="0.25">
      <c r="A4454" s="232">
        <v>43199</v>
      </c>
      <c r="B4454" s="26" t="s">
        <v>3450</v>
      </c>
      <c r="C4454" s="26" t="s">
        <v>3451</v>
      </c>
      <c r="D4454" s="8">
        <v>6000</v>
      </c>
      <c r="E4454" s="8"/>
      <c r="F4454" s="92">
        <f t="shared" si="60"/>
        <v>89523</v>
      </c>
    </row>
    <row r="4455" spans="1:6" x14ac:dyDescent="0.25">
      <c r="A4455" s="232">
        <v>43200</v>
      </c>
      <c r="B4455" s="26" t="s">
        <v>94</v>
      </c>
      <c r="C4455" s="26" t="s">
        <v>3452</v>
      </c>
      <c r="D4455" s="8">
        <v>1000</v>
      </c>
      <c r="E4455" s="8"/>
      <c r="F4455" s="92">
        <f t="shared" si="60"/>
        <v>88523</v>
      </c>
    </row>
    <row r="4456" spans="1:6" x14ac:dyDescent="0.25">
      <c r="A4456" s="232">
        <v>43200</v>
      </c>
      <c r="B4456" s="460" t="s">
        <v>3373</v>
      </c>
      <c r="C4456" s="460"/>
      <c r="D4456" s="71"/>
      <c r="E4456" s="58">
        <v>3000</v>
      </c>
      <c r="F4456" s="92">
        <f t="shared" si="60"/>
        <v>91523</v>
      </c>
    </row>
    <row r="4457" spans="1:6" x14ac:dyDescent="0.25">
      <c r="A4457" s="232">
        <v>43200</v>
      </c>
      <c r="B4457" s="26" t="s">
        <v>0</v>
      </c>
      <c r="C4457" s="26" t="s">
        <v>3453</v>
      </c>
      <c r="D4457" s="8">
        <v>1000</v>
      </c>
      <c r="E4457" s="8"/>
      <c r="F4457" s="92">
        <f t="shared" si="60"/>
        <v>90523</v>
      </c>
    </row>
    <row r="4458" spans="1:6" x14ac:dyDescent="0.25">
      <c r="A4458" s="232">
        <v>43200</v>
      </c>
      <c r="B4458" s="26" t="s">
        <v>17</v>
      </c>
      <c r="C4458" s="26" t="s">
        <v>2891</v>
      </c>
      <c r="D4458" s="8">
        <v>3080</v>
      </c>
      <c r="E4458" s="8"/>
      <c r="F4458" s="92">
        <f t="shared" si="60"/>
        <v>87443</v>
      </c>
    </row>
    <row r="4459" spans="1:6" x14ac:dyDescent="0.25">
      <c r="A4459" s="232">
        <v>43200</v>
      </c>
      <c r="B4459" s="26" t="s">
        <v>59</v>
      </c>
      <c r="C4459" s="26" t="s">
        <v>3455</v>
      </c>
      <c r="D4459" s="8">
        <v>4800</v>
      </c>
      <c r="E4459" s="8"/>
      <c r="F4459" s="92">
        <f t="shared" si="60"/>
        <v>82643</v>
      </c>
    </row>
    <row r="4460" spans="1:6" x14ac:dyDescent="0.25">
      <c r="A4460" s="232">
        <v>43200</v>
      </c>
      <c r="B4460" s="460" t="s">
        <v>3454</v>
      </c>
      <c r="C4460" s="460"/>
      <c r="D4460" s="71"/>
      <c r="E4460" s="58">
        <v>3000</v>
      </c>
      <c r="F4460" s="92">
        <f t="shared" ref="F4460:F4603" si="61">F4459-D4460+E4460</f>
        <v>85643</v>
      </c>
    </row>
    <row r="4461" spans="1:6" x14ac:dyDescent="0.25">
      <c r="A4461" s="232">
        <v>43200</v>
      </c>
      <c r="B4461" s="26" t="s">
        <v>2349</v>
      </c>
      <c r="C4461" s="26" t="s">
        <v>3333</v>
      </c>
      <c r="D4461" s="8">
        <v>2000</v>
      </c>
      <c r="E4461" s="8"/>
      <c r="F4461" s="92">
        <f t="shared" si="61"/>
        <v>83643</v>
      </c>
    </row>
    <row r="4462" spans="1:6" x14ac:dyDescent="0.25">
      <c r="A4462" s="232">
        <v>43201</v>
      </c>
      <c r="B4462" s="26" t="s">
        <v>2349</v>
      </c>
      <c r="C4462" s="26" t="s">
        <v>3456</v>
      </c>
      <c r="D4462" s="8">
        <v>500</v>
      </c>
      <c r="E4462" s="8"/>
      <c r="F4462" s="92">
        <f t="shared" si="61"/>
        <v>83143</v>
      </c>
    </row>
    <row r="4463" spans="1:6" x14ac:dyDescent="0.25">
      <c r="A4463" s="232">
        <v>43201</v>
      </c>
      <c r="B4463" s="26" t="s">
        <v>2099</v>
      </c>
      <c r="C4463" s="26" t="s">
        <v>3457</v>
      </c>
      <c r="D4463" s="8">
        <v>14170</v>
      </c>
      <c r="E4463" s="8"/>
      <c r="F4463" s="92">
        <f t="shared" si="61"/>
        <v>68973</v>
      </c>
    </row>
    <row r="4464" spans="1:6" x14ac:dyDescent="0.25">
      <c r="A4464" s="232">
        <v>43201</v>
      </c>
      <c r="B4464" s="26" t="s">
        <v>17</v>
      </c>
      <c r="C4464" s="26" t="s">
        <v>3458</v>
      </c>
      <c r="D4464" s="8">
        <v>30000</v>
      </c>
      <c r="E4464" s="8"/>
      <c r="F4464" s="92">
        <f t="shared" si="61"/>
        <v>38973</v>
      </c>
    </row>
    <row r="4465" spans="1:6" x14ac:dyDescent="0.25">
      <c r="A4465" s="232">
        <v>43201</v>
      </c>
      <c r="B4465" s="26" t="s">
        <v>61</v>
      </c>
      <c r="C4465" s="26" t="s">
        <v>3459</v>
      </c>
      <c r="D4465" s="8">
        <v>3425</v>
      </c>
      <c r="E4465" s="8"/>
      <c r="F4465" s="92">
        <f t="shared" si="61"/>
        <v>35548</v>
      </c>
    </row>
    <row r="4466" spans="1:6" x14ac:dyDescent="0.25">
      <c r="A4466" s="232">
        <v>43201</v>
      </c>
      <c r="B4466" s="26" t="s">
        <v>26</v>
      </c>
      <c r="C4466" s="26" t="s">
        <v>3460</v>
      </c>
      <c r="D4466" s="8">
        <v>300</v>
      </c>
      <c r="E4466" s="8"/>
      <c r="F4466" s="92">
        <f t="shared" si="61"/>
        <v>35248</v>
      </c>
    </row>
    <row r="4467" spans="1:6" x14ac:dyDescent="0.25">
      <c r="A4467" s="232">
        <v>43201</v>
      </c>
      <c r="B4467" s="26" t="s">
        <v>26</v>
      </c>
      <c r="C4467" s="26" t="s">
        <v>3461</v>
      </c>
      <c r="D4467" s="8">
        <v>1600</v>
      </c>
      <c r="E4467" s="8"/>
      <c r="F4467" s="92">
        <f t="shared" si="61"/>
        <v>33648</v>
      </c>
    </row>
    <row r="4468" spans="1:6" x14ac:dyDescent="0.25">
      <c r="A4468" s="232">
        <v>43201</v>
      </c>
      <c r="B4468" s="26" t="s">
        <v>26</v>
      </c>
      <c r="C4468" s="26" t="s">
        <v>3462</v>
      </c>
      <c r="D4468" s="8">
        <f>700+500</f>
        <v>1200</v>
      </c>
      <c r="E4468" s="8"/>
      <c r="F4468" s="92">
        <f t="shared" si="61"/>
        <v>32448</v>
      </c>
    </row>
    <row r="4469" spans="1:6" x14ac:dyDescent="0.25">
      <c r="A4469" s="232">
        <v>43201</v>
      </c>
      <c r="B4469" s="26" t="s">
        <v>3463</v>
      </c>
      <c r="C4469" s="26" t="s">
        <v>3464</v>
      </c>
      <c r="D4469" s="8">
        <v>3800</v>
      </c>
      <c r="E4469" s="8"/>
      <c r="F4469" s="92">
        <f t="shared" si="61"/>
        <v>28648</v>
      </c>
    </row>
    <row r="4470" spans="1:6" x14ac:dyDescent="0.25">
      <c r="A4470" s="232">
        <v>43202</v>
      </c>
      <c r="B4470" s="26" t="s">
        <v>2597</v>
      </c>
      <c r="C4470" s="26" t="s">
        <v>3465</v>
      </c>
      <c r="D4470" s="8">
        <v>14500</v>
      </c>
      <c r="E4470" s="8"/>
      <c r="F4470" s="92">
        <f t="shared" si="61"/>
        <v>14148</v>
      </c>
    </row>
    <row r="4471" spans="1:6" ht="30" x14ac:dyDescent="0.25">
      <c r="A4471" s="232">
        <v>43202</v>
      </c>
      <c r="B4471" s="26" t="s">
        <v>26</v>
      </c>
      <c r="C4471" s="87" t="s">
        <v>3466</v>
      </c>
      <c r="D4471" s="8">
        <f>2850-820-600</f>
        <v>1430</v>
      </c>
      <c r="E4471" s="8"/>
      <c r="F4471" s="92">
        <f t="shared" si="61"/>
        <v>12718</v>
      </c>
    </row>
    <row r="4472" spans="1:6" x14ac:dyDescent="0.25">
      <c r="A4472" s="232">
        <v>43202</v>
      </c>
      <c r="B4472" s="26" t="s">
        <v>2677</v>
      </c>
      <c r="C4472" s="26" t="s">
        <v>3467</v>
      </c>
      <c r="D4472" s="8">
        <v>820</v>
      </c>
      <c r="E4472" s="8"/>
      <c r="F4472" s="92">
        <f t="shared" si="61"/>
        <v>11898</v>
      </c>
    </row>
    <row r="4473" spans="1:6" x14ac:dyDescent="0.25">
      <c r="A4473" s="232">
        <v>43202</v>
      </c>
      <c r="B4473" s="26" t="s">
        <v>26</v>
      </c>
      <c r="C4473" s="26" t="s">
        <v>3468</v>
      </c>
      <c r="D4473" s="8">
        <v>600</v>
      </c>
      <c r="E4473" s="8"/>
      <c r="F4473" s="92">
        <f t="shared" si="61"/>
        <v>11298</v>
      </c>
    </row>
    <row r="4474" spans="1:6" x14ac:dyDescent="0.25">
      <c r="A4474" s="232">
        <v>43202</v>
      </c>
      <c r="B4474" s="460" t="s">
        <v>3469</v>
      </c>
      <c r="C4474" s="460"/>
      <c r="D4474" s="71"/>
      <c r="E4474" s="58">
        <v>30000</v>
      </c>
      <c r="F4474" s="92">
        <f t="shared" si="61"/>
        <v>41298</v>
      </c>
    </row>
    <row r="4475" spans="1:6" x14ac:dyDescent="0.25">
      <c r="A4475" s="232">
        <v>43202</v>
      </c>
      <c r="B4475" s="26" t="s">
        <v>26</v>
      </c>
      <c r="C4475" s="26" t="s">
        <v>3470</v>
      </c>
      <c r="D4475" s="8">
        <v>15000</v>
      </c>
      <c r="E4475" s="8"/>
      <c r="F4475" s="92">
        <f t="shared" si="61"/>
        <v>26298</v>
      </c>
    </row>
    <row r="4476" spans="1:6" x14ac:dyDescent="0.25">
      <c r="A4476" s="232">
        <v>43202</v>
      </c>
      <c r="B4476" s="26" t="s">
        <v>59</v>
      </c>
      <c r="C4476" s="26" t="s">
        <v>3471</v>
      </c>
      <c r="D4476" s="8">
        <v>50</v>
      </c>
      <c r="E4476" s="8"/>
      <c r="F4476" s="92">
        <f t="shared" si="61"/>
        <v>26248</v>
      </c>
    </row>
    <row r="4477" spans="1:6" x14ac:dyDescent="0.25">
      <c r="A4477" s="232">
        <v>43202</v>
      </c>
      <c r="B4477" s="26" t="s">
        <v>59</v>
      </c>
      <c r="C4477" s="26" t="s">
        <v>3472</v>
      </c>
      <c r="D4477" s="8">
        <v>50</v>
      </c>
      <c r="E4477" s="8"/>
      <c r="F4477" s="92">
        <f t="shared" si="61"/>
        <v>26198</v>
      </c>
    </row>
    <row r="4478" spans="1:6" x14ac:dyDescent="0.25">
      <c r="A4478" s="232">
        <v>43202</v>
      </c>
      <c r="B4478" s="26" t="s">
        <v>2597</v>
      </c>
      <c r="C4478" s="26" t="s">
        <v>3473</v>
      </c>
      <c r="D4478" s="8">
        <v>5000</v>
      </c>
      <c r="E4478" s="8"/>
      <c r="F4478" s="92">
        <f t="shared" si="61"/>
        <v>21198</v>
      </c>
    </row>
    <row r="4479" spans="1:6" x14ac:dyDescent="0.25">
      <c r="A4479" s="232">
        <v>43203</v>
      </c>
      <c r="B4479" s="26" t="s">
        <v>85</v>
      </c>
      <c r="C4479" s="26" t="s">
        <v>3474</v>
      </c>
      <c r="D4479" s="8">
        <v>5000</v>
      </c>
      <c r="E4479" s="8"/>
      <c r="F4479" s="92">
        <f t="shared" si="61"/>
        <v>16198</v>
      </c>
    </row>
    <row r="4480" spans="1:6" x14ac:dyDescent="0.25">
      <c r="A4480" s="232">
        <v>43203</v>
      </c>
      <c r="B4480" s="26" t="s">
        <v>17</v>
      </c>
      <c r="C4480" s="26" t="s">
        <v>3475</v>
      </c>
      <c r="D4480" s="8">
        <v>12000</v>
      </c>
      <c r="E4480" s="8"/>
      <c r="F4480" s="92">
        <f t="shared" si="61"/>
        <v>4198</v>
      </c>
    </row>
    <row r="4481" spans="1:6" x14ac:dyDescent="0.25">
      <c r="A4481" s="232">
        <v>43203</v>
      </c>
      <c r="B4481" s="26" t="s">
        <v>26</v>
      </c>
      <c r="C4481" s="26" t="s">
        <v>3476</v>
      </c>
      <c r="D4481" s="8">
        <v>3000</v>
      </c>
      <c r="E4481" s="8"/>
      <c r="F4481" s="92">
        <f t="shared" si="61"/>
        <v>1198</v>
      </c>
    </row>
    <row r="4482" spans="1:6" ht="30" x14ac:dyDescent="0.25">
      <c r="A4482" s="232">
        <v>43203</v>
      </c>
      <c r="B4482" s="26" t="s">
        <v>26</v>
      </c>
      <c r="C4482" s="87" t="s">
        <v>3477</v>
      </c>
      <c r="D4482" s="8">
        <f>60+40+10</f>
        <v>110</v>
      </c>
      <c r="E4482" s="8"/>
      <c r="F4482" s="92">
        <f t="shared" si="61"/>
        <v>1088</v>
      </c>
    </row>
    <row r="4483" spans="1:6" x14ac:dyDescent="0.25">
      <c r="A4483" s="232">
        <v>43203</v>
      </c>
      <c r="B4483" s="26" t="s">
        <v>26</v>
      </c>
      <c r="C4483" s="26" t="s">
        <v>3478</v>
      </c>
      <c r="D4483" s="8">
        <v>120</v>
      </c>
      <c r="E4483" s="8"/>
      <c r="F4483" s="92">
        <f t="shared" si="61"/>
        <v>968</v>
      </c>
    </row>
    <row r="4484" spans="1:6" x14ac:dyDescent="0.25">
      <c r="A4484" s="232">
        <v>43203</v>
      </c>
      <c r="B4484" s="26" t="s">
        <v>26</v>
      </c>
      <c r="C4484" s="26" t="s">
        <v>3479</v>
      </c>
      <c r="D4484" s="8">
        <v>130</v>
      </c>
      <c r="E4484" s="8"/>
      <c r="F4484" s="92">
        <f t="shared" si="61"/>
        <v>838</v>
      </c>
    </row>
    <row r="4485" spans="1:6" x14ac:dyDescent="0.25">
      <c r="A4485" s="232">
        <v>43203</v>
      </c>
      <c r="B4485" s="26" t="s">
        <v>26</v>
      </c>
      <c r="C4485" s="26" t="s">
        <v>1707</v>
      </c>
      <c r="D4485" s="8">
        <v>400</v>
      </c>
      <c r="E4485" s="8"/>
      <c r="F4485" s="92">
        <f t="shared" si="61"/>
        <v>438</v>
      </c>
    </row>
    <row r="4486" spans="1:6" x14ac:dyDescent="0.25">
      <c r="A4486" s="232">
        <v>43203</v>
      </c>
      <c r="B4486" s="460" t="s">
        <v>3448</v>
      </c>
      <c r="C4486" s="460"/>
      <c r="D4486" s="71"/>
      <c r="E4486" s="58">
        <v>50000</v>
      </c>
      <c r="F4486" s="92">
        <f t="shared" si="61"/>
        <v>50438</v>
      </c>
    </row>
    <row r="4487" spans="1:6" x14ac:dyDescent="0.25">
      <c r="A4487" s="232">
        <v>43204</v>
      </c>
      <c r="B4487" s="460" t="s">
        <v>3373</v>
      </c>
      <c r="C4487" s="460"/>
      <c r="D4487" s="71"/>
      <c r="E4487" s="58">
        <v>1800</v>
      </c>
      <c r="F4487" s="92">
        <f t="shared" si="61"/>
        <v>52238</v>
      </c>
    </row>
    <row r="4488" spans="1:6" x14ac:dyDescent="0.25">
      <c r="A4488" s="232">
        <v>43204</v>
      </c>
      <c r="B4488" s="26" t="s">
        <v>1319</v>
      </c>
      <c r="C4488" s="26" t="s">
        <v>3484</v>
      </c>
      <c r="D4488" s="8">
        <v>5000</v>
      </c>
      <c r="E4488" s="8"/>
      <c r="F4488" s="92">
        <f t="shared" si="61"/>
        <v>47238</v>
      </c>
    </row>
    <row r="4489" spans="1:6" x14ac:dyDescent="0.25">
      <c r="A4489" s="232">
        <v>43204</v>
      </c>
      <c r="B4489" s="26" t="s">
        <v>2597</v>
      </c>
      <c r="C4489" s="26" t="s">
        <v>3481</v>
      </c>
      <c r="D4489" s="8">
        <v>100</v>
      </c>
      <c r="E4489" s="8"/>
      <c r="F4489" s="92">
        <f t="shared" si="61"/>
        <v>47138</v>
      </c>
    </row>
    <row r="4490" spans="1:6" x14ac:dyDescent="0.25">
      <c r="A4490" s="232">
        <v>43204</v>
      </c>
      <c r="B4490" s="26" t="s">
        <v>57</v>
      </c>
      <c r="C4490" s="26" t="s">
        <v>3482</v>
      </c>
      <c r="D4490" s="8">
        <v>1000</v>
      </c>
      <c r="E4490" s="8"/>
      <c r="F4490" s="92">
        <f t="shared" si="61"/>
        <v>46138</v>
      </c>
    </row>
    <row r="4491" spans="1:6" x14ac:dyDescent="0.25">
      <c r="A4491" s="232">
        <v>43204</v>
      </c>
      <c r="B4491" s="26" t="s">
        <v>57</v>
      </c>
      <c r="C4491" s="26" t="s">
        <v>3483</v>
      </c>
      <c r="D4491" s="8">
        <v>300</v>
      </c>
      <c r="E4491" s="8"/>
      <c r="F4491" s="92">
        <f t="shared" si="61"/>
        <v>45838</v>
      </c>
    </row>
    <row r="4492" spans="1:6" x14ac:dyDescent="0.25">
      <c r="A4492" s="232"/>
      <c r="B4492" s="460" t="s">
        <v>2165</v>
      </c>
      <c r="C4492" s="460"/>
      <c r="D4492" s="71"/>
      <c r="E4492" s="58">
        <v>25000</v>
      </c>
      <c r="F4492" s="92">
        <f t="shared" si="61"/>
        <v>70838</v>
      </c>
    </row>
    <row r="4493" spans="1:6" x14ac:dyDescent="0.25">
      <c r="A4493" s="232">
        <v>43207</v>
      </c>
      <c r="B4493" s="26" t="s">
        <v>61</v>
      </c>
      <c r="C4493" s="87" t="s">
        <v>3498</v>
      </c>
      <c r="D4493" s="8">
        <v>5000</v>
      </c>
      <c r="E4493" s="8"/>
      <c r="F4493" s="92">
        <f t="shared" si="61"/>
        <v>65838</v>
      </c>
    </row>
    <row r="4494" spans="1:6" ht="45" x14ac:dyDescent="0.25">
      <c r="A4494" s="232">
        <v>43207</v>
      </c>
      <c r="B4494" s="26" t="s">
        <v>59</v>
      </c>
      <c r="C4494" s="87" t="s">
        <v>3485</v>
      </c>
      <c r="D4494" s="8">
        <v>37490</v>
      </c>
      <c r="E4494" s="8"/>
      <c r="F4494" s="92">
        <f t="shared" si="61"/>
        <v>28348</v>
      </c>
    </row>
    <row r="4495" spans="1:6" ht="45" x14ac:dyDescent="0.25">
      <c r="A4495" s="232">
        <v>43207</v>
      </c>
      <c r="B4495" s="26" t="s">
        <v>59</v>
      </c>
      <c r="C4495" s="87" t="s">
        <v>3486</v>
      </c>
      <c r="D4495" s="8">
        <v>17900</v>
      </c>
      <c r="E4495" s="8"/>
      <c r="F4495" s="92">
        <f t="shared" si="61"/>
        <v>10448</v>
      </c>
    </row>
    <row r="4496" spans="1:6" x14ac:dyDescent="0.25">
      <c r="A4496" s="232">
        <v>43207</v>
      </c>
      <c r="B4496" s="26" t="s">
        <v>1840</v>
      </c>
      <c r="C4496" s="87" t="s">
        <v>3487</v>
      </c>
      <c r="D4496" s="8">
        <v>5000</v>
      </c>
      <c r="E4496" s="8"/>
      <c r="F4496" s="92">
        <f t="shared" si="61"/>
        <v>5448</v>
      </c>
    </row>
    <row r="4497" spans="1:6" ht="30" x14ac:dyDescent="0.25">
      <c r="A4497" s="232">
        <v>43207</v>
      </c>
      <c r="B4497" s="26" t="s">
        <v>1840</v>
      </c>
      <c r="C4497" s="87" t="s">
        <v>3488</v>
      </c>
      <c r="D4497" s="8">
        <v>1000</v>
      </c>
      <c r="E4497" s="8"/>
      <c r="F4497" s="92">
        <f t="shared" si="61"/>
        <v>4448</v>
      </c>
    </row>
    <row r="4498" spans="1:6" x14ac:dyDescent="0.25">
      <c r="A4498" s="232">
        <v>43207</v>
      </c>
      <c r="B4498" s="26" t="s">
        <v>59</v>
      </c>
      <c r="C4498" s="87" t="s">
        <v>3489</v>
      </c>
      <c r="D4498" s="8">
        <v>2604</v>
      </c>
      <c r="E4498" s="8"/>
      <c r="F4498" s="92">
        <f t="shared" si="61"/>
        <v>1844</v>
      </c>
    </row>
    <row r="4499" spans="1:6" x14ac:dyDescent="0.25">
      <c r="A4499" s="232">
        <v>43208</v>
      </c>
      <c r="B4499" s="460" t="s">
        <v>3448</v>
      </c>
      <c r="C4499" s="460"/>
      <c r="D4499" s="71"/>
      <c r="E4499" s="58">
        <v>49000</v>
      </c>
      <c r="F4499" s="92">
        <f t="shared" si="61"/>
        <v>50844</v>
      </c>
    </row>
    <row r="4500" spans="1:6" x14ac:dyDescent="0.25">
      <c r="A4500" s="232">
        <v>43208</v>
      </c>
      <c r="B4500" s="26" t="s">
        <v>2677</v>
      </c>
      <c r="C4500" s="87" t="s">
        <v>3490</v>
      </c>
      <c r="D4500" s="8">
        <v>350</v>
      </c>
      <c r="E4500" s="8"/>
      <c r="F4500" s="92">
        <f t="shared" si="61"/>
        <v>50494</v>
      </c>
    </row>
    <row r="4501" spans="1:6" x14ac:dyDescent="0.25">
      <c r="A4501" s="232">
        <v>43208</v>
      </c>
      <c r="B4501" s="26" t="s">
        <v>3491</v>
      </c>
      <c r="C4501" s="87" t="s">
        <v>3492</v>
      </c>
      <c r="D4501" s="8">
        <v>7000</v>
      </c>
      <c r="E4501" s="8"/>
      <c r="F4501" s="92">
        <f t="shared" si="61"/>
        <v>43494</v>
      </c>
    </row>
    <row r="4502" spans="1:6" x14ac:dyDescent="0.25">
      <c r="A4502" s="232">
        <v>43208</v>
      </c>
      <c r="B4502" s="26" t="s">
        <v>85</v>
      </c>
      <c r="C4502" s="87" t="s">
        <v>48</v>
      </c>
      <c r="D4502" s="8">
        <v>6000</v>
      </c>
      <c r="E4502" s="8"/>
      <c r="F4502" s="92">
        <f t="shared" si="61"/>
        <v>37494</v>
      </c>
    </row>
    <row r="4503" spans="1:6" x14ac:dyDescent="0.25">
      <c r="A4503" s="232">
        <v>43208</v>
      </c>
      <c r="B4503" s="26" t="s">
        <v>85</v>
      </c>
      <c r="C4503" s="87" t="s">
        <v>3493</v>
      </c>
      <c r="D4503" s="8">
        <v>2000</v>
      </c>
      <c r="E4503" s="8"/>
      <c r="F4503" s="92">
        <f t="shared" si="61"/>
        <v>35494</v>
      </c>
    </row>
    <row r="4504" spans="1:6" ht="30" x14ac:dyDescent="0.25">
      <c r="A4504" s="232">
        <v>43208</v>
      </c>
      <c r="B4504" s="26" t="s">
        <v>59</v>
      </c>
      <c r="C4504" s="87" t="s">
        <v>3494</v>
      </c>
      <c r="D4504" s="8">
        <v>100</v>
      </c>
      <c r="E4504" s="8"/>
      <c r="F4504" s="92">
        <f t="shared" si="61"/>
        <v>35394</v>
      </c>
    </row>
    <row r="4505" spans="1:6" x14ac:dyDescent="0.25">
      <c r="A4505" s="232">
        <v>43208</v>
      </c>
      <c r="B4505" s="26" t="s">
        <v>1840</v>
      </c>
      <c r="C4505" s="87" t="s">
        <v>2075</v>
      </c>
      <c r="D4505" s="8">
        <v>10000</v>
      </c>
      <c r="E4505" s="8"/>
      <c r="F4505" s="92">
        <f t="shared" si="61"/>
        <v>25394</v>
      </c>
    </row>
    <row r="4506" spans="1:6" x14ac:dyDescent="0.25">
      <c r="A4506" s="232">
        <v>43208</v>
      </c>
      <c r="B4506" s="26" t="s">
        <v>59</v>
      </c>
      <c r="C4506" s="87" t="s">
        <v>3499</v>
      </c>
      <c r="D4506" s="8">
        <v>10000</v>
      </c>
      <c r="E4506" s="8"/>
      <c r="F4506" s="92">
        <f t="shared" si="61"/>
        <v>15394</v>
      </c>
    </row>
    <row r="4507" spans="1:6" x14ac:dyDescent="0.25">
      <c r="A4507" s="232">
        <v>43208</v>
      </c>
      <c r="B4507" s="26" t="s">
        <v>1346</v>
      </c>
      <c r="C4507" s="87" t="s">
        <v>3500</v>
      </c>
      <c r="D4507" s="8">
        <v>5000</v>
      </c>
      <c r="E4507" s="8"/>
      <c r="F4507" s="92">
        <f t="shared" si="61"/>
        <v>10394</v>
      </c>
    </row>
    <row r="4508" spans="1:6" x14ac:dyDescent="0.25">
      <c r="A4508" s="232">
        <v>43208</v>
      </c>
      <c r="B4508" s="26" t="s">
        <v>59</v>
      </c>
      <c r="C4508" s="180" t="s">
        <v>3495</v>
      </c>
      <c r="D4508" s="57">
        <v>6000</v>
      </c>
      <c r="E4508" s="8"/>
      <c r="F4508" s="92">
        <f t="shared" si="61"/>
        <v>4394</v>
      </c>
    </row>
    <row r="4509" spans="1:6" x14ac:dyDescent="0.25">
      <c r="A4509" s="232">
        <v>43208</v>
      </c>
      <c r="B4509" s="26" t="s">
        <v>2677</v>
      </c>
      <c r="C4509" s="26" t="s">
        <v>3496</v>
      </c>
      <c r="D4509" s="8">
        <v>200</v>
      </c>
      <c r="E4509" s="8"/>
      <c r="F4509" s="92">
        <f t="shared" si="61"/>
        <v>4194</v>
      </c>
    </row>
    <row r="4510" spans="1:6" x14ac:dyDescent="0.25">
      <c r="A4510" s="232">
        <v>43208</v>
      </c>
      <c r="B4510" s="26" t="s">
        <v>61</v>
      </c>
      <c r="C4510" s="26" t="s">
        <v>3497</v>
      </c>
      <c r="D4510" s="8">
        <v>2000</v>
      </c>
      <c r="E4510" s="8"/>
      <c r="F4510" s="92">
        <f t="shared" si="61"/>
        <v>2194</v>
      </c>
    </row>
    <row r="4511" spans="1:6" ht="45" x14ac:dyDescent="0.25">
      <c r="A4511" s="232">
        <v>43208</v>
      </c>
      <c r="B4511" s="26" t="s">
        <v>3209</v>
      </c>
      <c r="C4511" s="87" t="s">
        <v>3505</v>
      </c>
      <c r="D4511" s="8">
        <f>100+100+150+230+180+130+100+150+100+360+70+40</f>
        <v>1710</v>
      </c>
      <c r="E4511" s="8"/>
      <c r="F4511" s="92">
        <f t="shared" si="61"/>
        <v>484</v>
      </c>
    </row>
    <row r="4512" spans="1:6" x14ac:dyDescent="0.25">
      <c r="A4512" s="232">
        <v>43209</v>
      </c>
      <c r="B4512" s="460" t="s">
        <v>3448</v>
      </c>
      <c r="C4512" s="460"/>
      <c r="D4512" s="71"/>
      <c r="E4512" s="58">
        <v>50000</v>
      </c>
      <c r="F4512" s="92">
        <f t="shared" si="61"/>
        <v>50484</v>
      </c>
    </row>
    <row r="4513" spans="1:7" x14ac:dyDescent="0.25">
      <c r="A4513" s="232">
        <v>43209</v>
      </c>
      <c r="B4513" s="26" t="s">
        <v>248</v>
      </c>
      <c r="C4513" s="26" t="s">
        <v>3501</v>
      </c>
      <c r="D4513" s="8">
        <v>1820</v>
      </c>
      <c r="E4513" s="8"/>
      <c r="F4513" s="92">
        <f t="shared" si="61"/>
        <v>48664</v>
      </c>
    </row>
    <row r="4514" spans="1:7" x14ac:dyDescent="0.25">
      <c r="A4514" s="232">
        <v>43209</v>
      </c>
      <c r="B4514" s="26" t="s">
        <v>248</v>
      </c>
      <c r="C4514" s="26" t="s">
        <v>3502</v>
      </c>
      <c r="D4514" s="8">
        <v>1800</v>
      </c>
      <c r="E4514" s="8"/>
      <c r="F4514" s="92">
        <f t="shared" si="61"/>
        <v>46864</v>
      </c>
    </row>
    <row r="4515" spans="1:7" x14ac:dyDescent="0.25">
      <c r="A4515" s="232">
        <v>43209</v>
      </c>
      <c r="B4515" s="26" t="s">
        <v>248</v>
      </c>
      <c r="C4515" s="26" t="s">
        <v>2016</v>
      </c>
      <c r="D4515" s="8">
        <v>50</v>
      </c>
      <c r="E4515" s="8"/>
      <c r="F4515" s="92">
        <f t="shared" si="61"/>
        <v>46814</v>
      </c>
    </row>
    <row r="4516" spans="1:7" x14ac:dyDescent="0.25">
      <c r="A4516" s="232">
        <v>43209</v>
      </c>
      <c r="B4516" s="26" t="s">
        <v>2333</v>
      </c>
      <c r="C4516" s="26" t="s">
        <v>2334</v>
      </c>
      <c r="D4516" s="8">
        <v>2000</v>
      </c>
      <c r="E4516" s="8"/>
      <c r="F4516" s="92">
        <f t="shared" si="61"/>
        <v>44814</v>
      </c>
    </row>
    <row r="4517" spans="1:7" x14ac:dyDescent="0.25">
      <c r="A4517" s="232">
        <v>43209</v>
      </c>
      <c r="B4517" s="26" t="s">
        <v>26</v>
      </c>
      <c r="C4517" s="26" t="s">
        <v>3503</v>
      </c>
      <c r="D4517" s="8">
        <v>28000</v>
      </c>
      <c r="E4517" s="8"/>
      <c r="F4517" s="92">
        <f t="shared" si="61"/>
        <v>16814</v>
      </c>
    </row>
    <row r="4518" spans="1:7" x14ac:dyDescent="0.25">
      <c r="A4518" s="232">
        <v>43209</v>
      </c>
      <c r="B4518" s="26" t="s">
        <v>59</v>
      </c>
      <c r="C4518" s="26" t="s">
        <v>3352</v>
      </c>
      <c r="D4518" s="8">
        <v>16000</v>
      </c>
      <c r="E4518" s="8"/>
      <c r="F4518" s="92">
        <f t="shared" si="61"/>
        <v>814</v>
      </c>
    </row>
    <row r="4519" spans="1:7" x14ac:dyDescent="0.25">
      <c r="A4519" s="232">
        <v>43209</v>
      </c>
      <c r="B4519" s="460" t="s">
        <v>3504</v>
      </c>
      <c r="C4519" s="460"/>
      <c r="D4519" s="71"/>
      <c r="E4519" s="58">
        <v>30000</v>
      </c>
      <c r="F4519" s="92">
        <f t="shared" si="61"/>
        <v>30814</v>
      </c>
    </row>
    <row r="4520" spans="1:7" x14ac:dyDescent="0.25">
      <c r="A4520" s="232">
        <v>43210</v>
      </c>
      <c r="B4520" s="26" t="s">
        <v>59</v>
      </c>
      <c r="C4520" s="26" t="s">
        <v>3352</v>
      </c>
      <c r="D4520" s="8">
        <v>30000</v>
      </c>
      <c r="E4520" s="8"/>
      <c r="F4520" s="92">
        <f t="shared" si="61"/>
        <v>814</v>
      </c>
      <c r="G4520" s="25"/>
    </row>
    <row r="4521" spans="1:7" x14ac:dyDescent="0.25">
      <c r="A4521" s="232">
        <v>43210</v>
      </c>
      <c r="B4521" s="460" t="s">
        <v>3506</v>
      </c>
      <c r="C4521" s="460"/>
      <c r="D4521" s="71"/>
      <c r="E4521" s="58">
        <v>50000</v>
      </c>
      <c r="F4521" s="92">
        <f t="shared" si="61"/>
        <v>50814</v>
      </c>
    </row>
    <row r="4522" spans="1:7" x14ac:dyDescent="0.25">
      <c r="A4522" s="232">
        <v>43210</v>
      </c>
      <c r="B4522" s="26" t="s">
        <v>59</v>
      </c>
      <c r="C4522" s="26" t="s">
        <v>3507</v>
      </c>
      <c r="D4522" s="8">
        <v>23100</v>
      </c>
      <c r="E4522" s="8"/>
      <c r="F4522" s="92">
        <f t="shared" si="61"/>
        <v>27714</v>
      </c>
      <c r="G4522" s="25"/>
    </row>
    <row r="4523" spans="1:7" ht="45" x14ac:dyDescent="0.25">
      <c r="A4523" s="232">
        <v>43211</v>
      </c>
      <c r="B4523" s="26" t="s">
        <v>59</v>
      </c>
      <c r="C4523" s="87" t="s">
        <v>3536</v>
      </c>
      <c r="D4523" s="8">
        <v>7615</v>
      </c>
      <c r="E4523" s="8"/>
      <c r="F4523" s="92">
        <f t="shared" si="61"/>
        <v>20099</v>
      </c>
      <c r="G4523" s="25"/>
    </row>
    <row r="4524" spans="1:7" x14ac:dyDescent="0.25">
      <c r="A4524" s="232">
        <v>43211</v>
      </c>
      <c r="B4524" s="26" t="s">
        <v>1840</v>
      </c>
      <c r="C4524" s="26" t="s">
        <v>3534</v>
      </c>
      <c r="D4524" s="8">
        <v>5000</v>
      </c>
      <c r="E4524" s="8"/>
      <c r="F4524" s="92">
        <f t="shared" si="61"/>
        <v>15099</v>
      </c>
      <c r="G4524" s="25"/>
    </row>
    <row r="4525" spans="1:7" x14ac:dyDescent="0.25">
      <c r="A4525" s="232">
        <v>43213</v>
      </c>
      <c r="B4525" s="460" t="s">
        <v>3210</v>
      </c>
      <c r="C4525" s="460"/>
      <c r="D4525" s="71"/>
      <c r="E4525" s="58">
        <v>50000</v>
      </c>
      <c r="F4525" s="92">
        <f t="shared" si="61"/>
        <v>65099</v>
      </c>
    </row>
    <row r="4526" spans="1:7" x14ac:dyDescent="0.25">
      <c r="A4526" s="232">
        <v>43213</v>
      </c>
      <c r="B4526" s="26" t="s">
        <v>1413</v>
      </c>
      <c r="C4526" s="26" t="s">
        <v>3198</v>
      </c>
      <c r="D4526" s="8">
        <v>2000</v>
      </c>
      <c r="E4526" s="8"/>
      <c r="F4526" s="92">
        <f t="shared" si="61"/>
        <v>63099</v>
      </c>
      <c r="G4526" s="25"/>
    </row>
    <row r="4527" spans="1:7" ht="45" x14ac:dyDescent="0.25">
      <c r="A4527" s="232">
        <v>43213</v>
      </c>
      <c r="B4527" s="26" t="s">
        <v>59</v>
      </c>
      <c r="C4527" s="87" t="s">
        <v>3519</v>
      </c>
      <c r="D4527" s="8">
        <v>51706</v>
      </c>
      <c r="E4527" s="8"/>
      <c r="F4527" s="92">
        <f t="shared" si="61"/>
        <v>11393</v>
      </c>
    </row>
    <row r="4528" spans="1:7" x14ac:dyDescent="0.25">
      <c r="A4528" s="232">
        <v>43213</v>
      </c>
      <c r="B4528" s="460" t="s">
        <v>3520</v>
      </c>
      <c r="C4528" s="460"/>
      <c r="D4528" s="71"/>
      <c r="E4528" s="58">
        <v>30000</v>
      </c>
      <c r="F4528" s="92">
        <f t="shared" si="61"/>
        <v>41393</v>
      </c>
    </row>
    <row r="4529" spans="1:8" x14ac:dyDescent="0.25">
      <c r="A4529" s="232">
        <v>43213</v>
      </c>
      <c r="B4529" s="26" t="s">
        <v>26</v>
      </c>
      <c r="C4529" s="26" t="s">
        <v>3521</v>
      </c>
      <c r="D4529" s="8">
        <v>1200</v>
      </c>
      <c r="E4529" s="8"/>
      <c r="F4529" s="92">
        <f t="shared" si="61"/>
        <v>40193</v>
      </c>
    </row>
    <row r="4530" spans="1:8" x14ac:dyDescent="0.25">
      <c r="A4530" s="232">
        <v>43213</v>
      </c>
      <c r="B4530" s="460" t="s">
        <v>3527</v>
      </c>
      <c r="C4530" s="460"/>
      <c r="D4530" s="71"/>
      <c r="E4530" s="58">
        <v>2000</v>
      </c>
      <c r="F4530" s="92">
        <f t="shared" si="61"/>
        <v>42193</v>
      </c>
    </row>
    <row r="4531" spans="1:8" x14ac:dyDescent="0.25">
      <c r="A4531" s="232">
        <v>43213</v>
      </c>
      <c r="B4531" s="460" t="s">
        <v>3528</v>
      </c>
      <c r="C4531" s="460"/>
      <c r="D4531" s="71"/>
      <c r="E4531" s="58">
        <v>3000</v>
      </c>
      <c r="F4531" s="92">
        <f t="shared" si="61"/>
        <v>45193</v>
      </c>
    </row>
    <row r="4532" spans="1:8" x14ac:dyDescent="0.25">
      <c r="A4532" s="232">
        <v>43213</v>
      </c>
      <c r="B4532" s="26" t="s">
        <v>59</v>
      </c>
      <c r="C4532" s="26" t="s">
        <v>3522</v>
      </c>
      <c r="D4532" s="8">
        <f>35090-1200</f>
        <v>33890</v>
      </c>
      <c r="E4532" s="8"/>
      <c r="F4532" s="92">
        <f t="shared" si="61"/>
        <v>11303</v>
      </c>
    </row>
    <row r="4533" spans="1:8" x14ac:dyDescent="0.25">
      <c r="A4533" s="232">
        <v>43214</v>
      </c>
      <c r="B4533" s="460" t="s">
        <v>3448</v>
      </c>
      <c r="C4533" s="460"/>
      <c r="D4533" s="71"/>
      <c r="E4533" s="58">
        <v>50000</v>
      </c>
      <c r="F4533" s="92">
        <f t="shared" si="61"/>
        <v>61303</v>
      </c>
    </row>
    <row r="4534" spans="1:8" x14ac:dyDescent="0.25">
      <c r="A4534" s="232">
        <v>43214</v>
      </c>
      <c r="B4534" s="26" t="s">
        <v>26</v>
      </c>
      <c r="C4534" s="26" t="s">
        <v>3523</v>
      </c>
      <c r="D4534" s="8">
        <v>12390</v>
      </c>
      <c r="E4534" s="8"/>
      <c r="F4534" s="92">
        <f t="shared" si="61"/>
        <v>48913</v>
      </c>
    </row>
    <row r="4535" spans="1:8" x14ac:dyDescent="0.25">
      <c r="A4535" s="232">
        <v>43214</v>
      </c>
      <c r="B4535" s="26" t="s">
        <v>1413</v>
      </c>
      <c r="C4535" s="26" t="s">
        <v>3508</v>
      </c>
      <c r="D4535" s="8">
        <v>2500</v>
      </c>
      <c r="E4535" s="8"/>
      <c r="F4535" s="92">
        <f t="shared" si="61"/>
        <v>46413</v>
      </c>
    </row>
    <row r="4536" spans="1:8" x14ac:dyDescent="0.25">
      <c r="A4536" s="232">
        <v>43214</v>
      </c>
      <c r="B4536" s="26" t="s">
        <v>14</v>
      </c>
      <c r="C4536" s="26" t="s">
        <v>3509</v>
      </c>
      <c r="D4536" s="8">
        <v>1000</v>
      </c>
      <c r="E4536" s="8"/>
      <c r="F4536" s="92">
        <f t="shared" si="61"/>
        <v>45413</v>
      </c>
    </row>
    <row r="4537" spans="1:8" x14ac:dyDescent="0.25">
      <c r="A4537" s="232">
        <v>43214</v>
      </c>
      <c r="B4537" s="26" t="s">
        <v>3510</v>
      </c>
      <c r="C4537" s="26" t="s">
        <v>3511</v>
      </c>
      <c r="D4537" s="8">
        <v>600</v>
      </c>
      <c r="E4537" s="8"/>
      <c r="F4537" s="92">
        <f t="shared" si="61"/>
        <v>44813</v>
      </c>
    </row>
    <row r="4538" spans="1:8" x14ac:dyDescent="0.25">
      <c r="A4538" s="232">
        <v>43214</v>
      </c>
      <c r="B4538" s="26" t="s">
        <v>14</v>
      </c>
      <c r="C4538" s="26" t="s">
        <v>3512</v>
      </c>
      <c r="D4538" s="8">
        <v>8000</v>
      </c>
      <c r="E4538" s="8"/>
      <c r="F4538" s="92">
        <f t="shared" si="61"/>
        <v>36813</v>
      </c>
    </row>
    <row r="4539" spans="1:8" x14ac:dyDescent="0.25">
      <c r="A4539" s="232">
        <v>43214</v>
      </c>
      <c r="B4539" s="26" t="s">
        <v>85</v>
      </c>
      <c r="C4539" s="26" t="s">
        <v>3513</v>
      </c>
      <c r="D4539" s="8">
        <v>1000</v>
      </c>
      <c r="E4539" s="8"/>
      <c r="F4539" s="92">
        <f t="shared" si="61"/>
        <v>35813</v>
      </c>
    </row>
    <row r="4540" spans="1:8" x14ac:dyDescent="0.25">
      <c r="A4540" s="232">
        <v>43214</v>
      </c>
      <c r="B4540" s="26" t="s">
        <v>14</v>
      </c>
      <c r="C4540" s="26" t="s">
        <v>641</v>
      </c>
      <c r="D4540" s="8">
        <v>1000</v>
      </c>
      <c r="E4540" s="8"/>
      <c r="F4540" s="92">
        <f t="shared" si="61"/>
        <v>34813</v>
      </c>
    </row>
    <row r="4541" spans="1:8" x14ac:dyDescent="0.25">
      <c r="A4541" s="232">
        <v>43214</v>
      </c>
      <c r="B4541" s="26" t="s">
        <v>3514</v>
      </c>
      <c r="C4541" s="26" t="s">
        <v>3515</v>
      </c>
      <c r="D4541" s="8">
        <v>1500</v>
      </c>
      <c r="E4541" s="8"/>
      <c r="F4541" s="92">
        <f t="shared" si="61"/>
        <v>33313</v>
      </c>
    </row>
    <row r="4542" spans="1:8" x14ac:dyDescent="0.25">
      <c r="A4542" s="232">
        <v>43214</v>
      </c>
      <c r="B4542" s="26" t="s">
        <v>85</v>
      </c>
      <c r="C4542" s="26" t="s">
        <v>3516</v>
      </c>
      <c r="D4542" s="8">
        <v>1000</v>
      </c>
      <c r="E4542" s="8"/>
      <c r="F4542" s="92">
        <f t="shared" si="61"/>
        <v>32313</v>
      </c>
    </row>
    <row r="4543" spans="1:8" x14ac:dyDescent="0.25">
      <c r="A4543" s="232">
        <v>43213</v>
      </c>
      <c r="B4543" s="26" t="s">
        <v>11</v>
      </c>
      <c r="C4543" s="26" t="s">
        <v>3402</v>
      </c>
      <c r="D4543" s="8">
        <v>2000</v>
      </c>
      <c r="E4543" s="8"/>
      <c r="F4543" s="92">
        <f t="shared" si="61"/>
        <v>30313</v>
      </c>
      <c r="H4543" s="8"/>
    </row>
    <row r="4544" spans="1:8" x14ac:dyDescent="0.25">
      <c r="A4544" s="232">
        <v>43213</v>
      </c>
      <c r="B4544" s="26" t="s">
        <v>11</v>
      </c>
      <c r="C4544" s="26" t="s">
        <v>3517</v>
      </c>
      <c r="D4544" s="8">
        <v>950</v>
      </c>
      <c r="E4544" s="8"/>
      <c r="F4544" s="92">
        <f t="shared" si="61"/>
        <v>29363</v>
      </c>
    </row>
    <row r="4545" spans="1:9" x14ac:dyDescent="0.25">
      <c r="A4545" s="232">
        <v>43213</v>
      </c>
      <c r="B4545" s="26" t="s">
        <v>61</v>
      </c>
      <c r="C4545" s="26" t="s">
        <v>3518</v>
      </c>
      <c r="D4545" s="8">
        <v>4500</v>
      </c>
      <c r="E4545" s="8"/>
      <c r="F4545" s="92">
        <f t="shared" si="61"/>
        <v>24863</v>
      </c>
      <c r="I4545" s="8"/>
    </row>
    <row r="4546" spans="1:9" x14ac:dyDescent="0.25">
      <c r="A4546" s="232">
        <v>43213</v>
      </c>
      <c r="B4546" s="26" t="s">
        <v>14</v>
      </c>
      <c r="C4546" s="26" t="s">
        <v>490</v>
      </c>
      <c r="D4546" s="8">
        <v>2000</v>
      </c>
      <c r="E4546" s="8"/>
      <c r="F4546" s="92">
        <f t="shared" si="61"/>
        <v>22863</v>
      </c>
    </row>
    <row r="4547" spans="1:9" x14ac:dyDescent="0.25">
      <c r="A4547" s="232">
        <v>43213</v>
      </c>
      <c r="B4547" s="26" t="s">
        <v>3524</v>
      </c>
      <c r="C4547" s="26" t="s">
        <v>3525</v>
      </c>
      <c r="D4547" s="161">
        <v>6000</v>
      </c>
      <c r="E4547" s="8"/>
      <c r="F4547" s="92">
        <f t="shared" si="61"/>
        <v>16863</v>
      </c>
    </row>
    <row r="4548" spans="1:9" x14ac:dyDescent="0.25">
      <c r="A4548" s="232">
        <v>43216</v>
      </c>
      <c r="B4548" s="460" t="s">
        <v>3537</v>
      </c>
      <c r="C4548" s="460"/>
      <c r="D4548" s="71"/>
      <c r="E4548" s="58">
        <v>100000</v>
      </c>
      <c r="F4548" s="92">
        <f t="shared" si="61"/>
        <v>116863</v>
      </c>
    </row>
    <row r="4549" spans="1:9" ht="45" x14ac:dyDescent="0.25">
      <c r="A4549" s="232">
        <v>43216</v>
      </c>
      <c r="B4549" s="26" t="s">
        <v>59</v>
      </c>
      <c r="C4549" s="87" t="s">
        <v>3526</v>
      </c>
      <c r="D4549" s="8">
        <v>26000</v>
      </c>
      <c r="E4549" s="8"/>
      <c r="F4549" s="92">
        <f t="shared" si="61"/>
        <v>90863</v>
      </c>
    </row>
    <row r="4550" spans="1:9" x14ac:dyDescent="0.25">
      <c r="A4550" s="232">
        <v>43216</v>
      </c>
      <c r="B4550" s="26" t="s">
        <v>1840</v>
      </c>
      <c r="C4550" s="26" t="s">
        <v>3529</v>
      </c>
      <c r="D4550" s="8">
        <v>1200</v>
      </c>
      <c r="E4550" s="8"/>
      <c r="F4550" s="92">
        <f t="shared" si="61"/>
        <v>89663</v>
      </c>
    </row>
    <row r="4551" spans="1:9" x14ac:dyDescent="0.25">
      <c r="A4551" s="232">
        <v>43216</v>
      </c>
      <c r="B4551" s="26" t="s">
        <v>61</v>
      </c>
      <c r="C4551" s="26" t="s">
        <v>3530</v>
      </c>
      <c r="D4551" s="8">
        <v>1000</v>
      </c>
      <c r="E4551" s="8"/>
      <c r="F4551" s="92">
        <f t="shared" si="61"/>
        <v>88663</v>
      </c>
    </row>
    <row r="4552" spans="1:9" x14ac:dyDescent="0.25">
      <c r="A4552" s="232">
        <v>43216</v>
      </c>
      <c r="B4552" s="26" t="s">
        <v>26</v>
      </c>
      <c r="C4552" s="26" t="s">
        <v>3531</v>
      </c>
      <c r="D4552" s="8">
        <v>100</v>
      </c>
      <c r="E4552" s="8"/>
      <c r="F4552" s="92">
        <f t="shared" si="61"/>
        <v>88563</v>
      </c>
    </row>
    <row r="4553" spans="1:9" ht="45" x14ac:dyDescent="0.25">
      <c r="A4553" s="232">
        <v>43216</v>
      </c>
      <c r="B4553" s="26" t="s">
        <v>26</v>
      </c>
      <c r="C4553" s="87" t="s">
        <v>3540</v>
      </c>
      <c r="D4553" s="8">
        <f>1900-100-120</f>
        <v>1680</v>
      </c>
      <c r="E4553" s="8"/>
      <c r="F4553" s="92">
        <f t="shared" si="61"/>
        <v>86883</v>
      </c>
    </row>
    <row r="4554" spans="1:9" x14ac:dyDescent="0.25">
      <c r="A4554" s="232">
        <v>43216</v>
      </c>
      <c r="B4554" s="26" t="s">
        <v>26</v>
      </c>
      <c r="C4554" s="26" t="s">
        <v>3532</v>
      </c>
      <c r="D4554" s="8">
        <v>120</v>
      </c>
      <c r="E4554" s="8"/>
      <c r="F4554" s="92">
        <f t="shared" si="61"/>
        <v>86763</v>
      </c>
    </row>
    <row r="4555" spans="1:9" x14ac:dyDescent="0.25">
      <c r="A4555" s="232">
        <v>43216</v>
      </c>
      <c r="B4555" s="26" t="s">
        <v>2677</v>
      </c>
      <c r="C4555" s="26" t="s">
        <v>3533</v>
      </c>
      <c r="D4555" s="8">
        <v>300</v>
      </c>
      <c r="E4555" s="8"/>
      <c r="F4555" s="92">
        <f t="shared" si="61"/>
        <v>86463</v>
      </c>
    </row>
    <row r="4556" spans="1:9" ht="30" x14ac:dyDescent="0.25">
      <c r="A4556" s="232">
        <v>43216</v>
      </c>
      <c r="B4556" s="26" t="s">
        <v>26</v>
      </c>
      <c r="C4556" s="87" t="s">
        <v>3535</v>
      </c>
      <c r="D4556" s="8">
        <v>1000</v>
      </c>
      <c r="E4556" s="8"/>
      <c r="F4556" s="92">
        <f t="shared" si="61"/>
        <v>85463</v>
      </c>
    </row>
    <row r="4557" spans="1:9" x14ac:dyDescent="0.25">
      <c r="A4557" s="232">
        <v>43216</v>
      </c>
      <c r="B4557" s="26" t="s">
        <v>59</v>
      </c>
      <c r="C4557" s="26" t="s">
        <v>3541</v>
      </c>
      <c r="D4557" s="8">
        <v>13790</v>
      </c>
      <c r="E4557" s="8"/>
      <c r="F4557" s="92">
        <f t="shared" si="61"/>
        <v>71673</v>
      </c>
    </row>
    <row r="4558" spans="1:9" x14ac:dyDescent="0.25">
      <c r="A4558" s="232">
        <v>43216</v>
      </c>
      <c r="B4558" s="26" t="s">
        <v>1346</v>
      </c>
      <c r="C4558" s="26" t="s">
        <v>3198</v>
      </c>
      <c r="D4558" s="8">
        <v>20000</v>
      </c>
      <c r="E4558" s="8"/>
      <c r="F4558" s="92">
        <f t="shared" si="61"/>
        <v>51673</v>
      </c>
    </row>
    <row r="4559" spans="1:9" x14ac:dyDescent="0.25">
      <c r="A4559" s="232">
        <v>43216</v>
      </c>
      <c r="B4559" s="26" t="s">
        <v>14</v>
      </c>
      <c r="C4559" s="26" t="s">
        <v>3538</v>
      </c>
      <c r="D4559" s="8">
        <v>3000</v>
      </c>
      <c r="E4559" s="8"/>
      <c r="F4559" s="92">
        <f t="shared" si="61"/>
        <v>48673</v>
      </c>
    </row>
    <row r="4560" spans="1:9" x14ac:dyDescent="0.25">
      <c r="A4560" s="232">
        <v>43216</v>
      </c>
      <c r="B4560" s="26" t="s">
        <v>26</v>
      </c>
      <c r="C4560" s="26" t="s">
        <v>3539</v>
      </c>
      <c r="D4560" s="8">
        <v>500</v>
      </c>
      <c r="E4560" s="8"/>
      <c r="F4560" s="92">
        <f t="shared" si="61"/>
        <v>48173</v>
      </c>
    </row>
    <row r="4561" spans="1:6" x14ac:dyDescent="0.25">
      <c r="A4561" s="232">
        <v>43216</v>
      </c>
      <c r="B4561" s="26" t="s">
        <v>3141</v>
      </c>
      <c r="C4561" s="26" t="s">
        <v>3542</v>
      </c>
      <c r="D4561" s="8">
        <v>25783</v>
      </c>
      <c r="E4561" s="8"/>
      <c r="F4561" s="92">
        <f t="shared" si="61"/>
        <v>22390</v>
      </c>
    </row>
    <row r="4562" spans="1:6" x14ac:dyDescent="0.25">
      <c r="A4562" s="232">
        <v>43217</v>
      </c>
      <c r="B4562" s="26" t="s">
        <v>0</v>
      </c>
      <c r="C4562" s="26" t="s">
        <v>2016</v>
      </c>
      <c r="D4562" s="8">
        <v>100</v>
      </c>
      <c r="E4562" s="8"/>
      <c r="F4562" s="92">
        <f t="shared" si="61"/>
        <v>22290</v>
      </c>
    </row>
    <row r="4563" spans="1:6" x14ac:dyDescent="0.25">
      <c r="A4563" s="232">
        <v>43217</v>
      </c>
      <c r="B4563" s="26" t="s">
        <v>542</v>
      </c>
      <c r="C4563" s="26" t="s">
        <v>3543</v>
      </c>
      <c r="D4563" s="8">
        <v>500</v>
      </c>
      <c r="E4563" s="8"/>
      <c r="F4563" s="92">
        <f t="shared" si="61"/>
        <v>21790</v>
      </c>
    </row>
    <row r="4564" spans="1:6" x14ac:dyDescent="0.25">
      <c r="A4564" s="232">
        <v>43217</v>
      </c>
      <c r="B4564" s="26" t="s">
        <v>57</v>
      </c>
      <c r="C4564" s="26" t="s">
        <v>3544</v>
      </c>
      <c r="D4564" s="8">
        <v>100</v>
      </c>
      <c r="E4564" s="8"/>
      <c r="F4564" s="92">
        <f t="shared" si="61"/>
        <v>21690</v>
      </c>
    </row>
    <row r="4565" spans="1:6" x14ac:dyDescent="0.25">
      <c r="A4565" s="232">
        <v>43217</v>
      </c>
      <c r="B4565" s="26" t="s">
        <v>57</v>
      </c>
      <c r="C4565" s="26" t="s">
        <v>3545</v>
      </c>
      <c r="D4565" s="8">
        <v>200</v>
      </c>
      <c r="E4565" s="8"/>
      <c r="F4565" s="92">
        <f t="shared" si="61"/>
        <v>21490</v>
      </c>
    </row>
    <row r="4566" spans="1:6" ht="30" x14ac:dyDescent="0.25">
      <c r="A4566" s="232">
        <v>43217</v>
      </c>
      <c r="B4566" s="26" t="s">
        <v>59</v>
      </c>
      <c r="C4566" s="87" t="s">
        <v>3557</v>
      </c>
      <c r="D4566" s="8">
        <v>200</v>
      </c>
      <c r="E4566" s="8"/>
      <c r="F4566" s="92">
        <f t="shared" si="61"/>
        <v>21290</v>
      </c>
    </row>
    <row r="4567" spans="1:6" x14ac:dyDescent="0.25">
      <c r="A4567" s="232">
        <v>43217</v>
      </c>
      <c r="B4567" s="26" t="s">
        <v>3224</v>
      </c>
      <c r="C4567" s="26" t="s">
        <v>818</v>
      </c>
      <c r="D4567" s="8">
        <v>12000</v>
      </c>
      <c r="E4567" s="8"/>
      <c r="F4567" s="92">
        <f t="shared" si="61"/>
        <v>9290</v>
      </c>
    </row>
    <row r="4568" spans="1:6" x14ac:dyDescent="0.25">
      <c r="A4568" s="232">
        <v>43218</v>
      </c>
      <c r="B4568" s="26" t="s">
        <v>61</v>
      </c>
      <c r="C4568" s="26" t="s">
        <v>3546</v>
      </c>
      <c r="D4568" s="8">
        <v>3000</v>
      </c>
      <c r="E4568" s="8"/>
      <c r="F4568" s="92">
        <f t="shared" si="61"/>
        <v>6290</v>
      </c>
    </row>
    <row r="4569" spans="1:6" x14ac:dyDescent="0.25">
      <c r="A4569" s="232">
        <v>43218</v>
      </c>
      <c r="B4569" s="26" t="s">
        <v>1346</v>
      </c>
      <c r="C4569" s="26" t="s">
        <v>3547</v>
      </c>
      <c r="D4569" s="8">
        <v>2000</v>
      </c>
      <c r="E4569" s="8"/>
      <c r="F4569" s="92">
        <f t="shared" si="61"/>
        <v>4290</v>
      </c>
    </row>
    <row r="4570" spans="1:6" x14ac:dyDescent="0.25">
      <c r="A4570" s="232">
        <v>43218</v>
      </c>
      <c r="B4570" s="460" t="s">
        <v>3537</v>
      </c>
      <c r="C4570" s="460"/>
      <c r="D4570" s="71"/>
      <c r="E4570" s="58">
        <v>100000</v>
      </c>
      <c r="F4570" s="92">
        <f t="shared" si="61"/>
        <v>104290</v>
      </c>
    </row>
    <row r="4571" spans="1:6" x14ac:dyDescent="0.25">
      <c r="A4571" s="232">
        <v>43218</v>
      </c>
      <c r="B4571" s="26" t="s">
        <v>3548</v>
      </c>
      <c r="C4571" s="26" t="s">
        <v>3549</v>
      </c>
      <c r="D4571" s="8">
        <v>7000</v>
      </c>
      <c r="E4571" s="8"/>
      <c r="F4571" s="92">
        <f t="shared" si="61"/>
        <v>97290</v>
      </c>
    </row>
    <row r="4572" spans="1:6" x14ac:dyDescent="0.25">
      <c r="A4572" s="232">
        <v>43218</v>
      </c>
      <c r="B4572" s="26" t="s">
        <v>1840</v>
      </c>
      <c r="C4572" s="26" t="s">
        <v>295</v>
      </c>
      <c r="D4572" s="8">
        <v>7000</v>
      </c>
      <c r="E4572" s="8"/>
      <c r="F4572" s="92">
        <f t="shared" si="61"/>
        <v>90290</v>
      </c>
    </row>
    <row r="4573" spans="1:6" x14ac:dyDescent="0.25">
      <c r="A4573" s="232">
        <v>43218</v>
      </c>
      <c r="B4573" s="26" t="s">
        <v>3550</v>
      </c>
      <c r="C4573" s="26" t="s">
        <v>3552</v>
      </c>
      <c r="D4573" s="8">
        <v>16000</v>
      </c>
      <c r="E4573" s="8"/>
      <c r="F4573" s="92">
        <f t="shared" si="61"/>
        <v>74290</v>
      </c>
    </row>
    <row r="4574" spans="1:6" x14ac:dyDescent="0.25">
      <c r="A4574" s="232">
        <v>43220</v>
      </c>
      <c r="B4574" s="26" t="s">
        <v>85</v>
      </c>
      <c r="C4574" s="26" t="s">
        <v>3551</v>
      </c>
      <c r="D4574" s="8">
        <v>8000</v>
      </c>
      <c r="E4574" s="8"/>
      <c r="F4574" s="92">
        <f t="shared" si="61"/>
        <v>66290</v>
      </c>
    </row>
    <row r="4575" spans="1:6" x14ac:dyDescent="0.25">
      <c r="A4575" s="232">
        <v>43220</v>
      </c>
      <c r="B4575" s="26" t="s">
        <v>17</v>
      </c>
      <c r="C4575" s="26" t="s">
        <v>3509</v>
      </c>
      <c r="D4575" s="8">
        <v>10000</v>
      </c>
      <c r="E4575" s="8"/>
      <c r="F4575" s="92">
        <f t="shared" si="61"/>
        <v>56290</v>
      </c>
    </row>
    <row r="4576" spans="1:6" x14ac:dyDescent="0.25">
      <c r="A4576" s="232">
        <v>43220</v>
      </c>
      <c r="B4576" s="26" t="s">
        <v>14</v>
      </c>
      <c r="C4576" s="26" t="s">
        <v>3509</v>
      </c>
      <c r="D4576" s="8">
        <v>5100</v>
      </c>
      <c r="E4576" s="8"/>
      <c r="F4576" s="92">
        <f t="shared" si="61"/>
        <v>51190</v>
      </c>
    </row>
    <row r="4577" spans="1:6" x14ac:dyDescent="0.25">
      <c r="A4577" s="232">
        <v>43220</v>
      </c>
      <c r="B4577" s="26" t="s">
        <v>2333</v>
      </c>
      <c r="C4577" s="26" t="s">
        <v>2318</v>
      </c>
      <c r="D4577" s="8">
        <v>3540</v>
      </c>
      <c r="E4577" s="8"/>
      <c r="F4577" s="92">
        <f t="shared" si="61"/>
        <v>47650</v>
      </c>
    </row>
    <row r="4578" spans="1:6" x14ac:dyDescent="0.25">
      <c r="A4578" s="232">
        <v>43220</v>
      </c>
      <c r="B4578" s="26" t="s">
        <v>59</v>
      </c>
      <c r="C4578" s="26" t="s">
        <v>3560</v>
      </c>
      <c r="D4578" s="8">
        <v>100</v>
      </c>
      <c r="E4578" s="8"/>
      <c r="F4578" s="92">
        <f t="shared" si="61"/>
        <v>47550</v>
      </c>
    </row>
    <row r="4579" spans="1:6" x14ac:dyDescent="0.25">
      <c r="A4579" s="232">
        <v>43220</v>
      </c>
      <c r="B4579" s="26" t="s">
        <v>2597</v>
      </c>
      <c r="C4579" s="26" t="s">
        <v>3553</v>
      </c>
      <c r="D4579" s="8">
        <v>500</v>
      </c>
      <c r="E4579" s="8"/>
      <c r="F4579" s="92">
        <f t="shared" si="61"/>
        <v>47050</v>
      </c>
    </row>
    <row r="4580" spans="1:6" x14ac:dyDescent="0.25">
      <c r="A4580" s="232">
        <v>43220</v>
      </c>
      <c r="B4580" s="26" t="s">
        <v>85</v>
      </c>
      <c r="C4580" s="26" t="s">
        <v>3554</v>
      </c>
      <c r="D4580" s="8">
        <v>3000</v>
      </c>
      <c r="E4580" s="8"/>
      <c r="F4580" s="92">
        <f t="shared" si="61"/>
        <v>44050</v>
      </c>
    </row>
    <row r="4581" spans="1:6" x14ac:dyDescent="0.25">
      <c r="A4581" s="232">
        <v>43220</v>
      </c>
      <c r="B4581" s="26" t="s">
        <v>1196</v>
      </c>
      <c r="C4581" s="26" t="s">
        <v>3555</v>
      </c>
      <c r="D4581" s="8">
        <v>15000</v>
      </c>
      <c r="E4581" s="8"/>
      <c r="F4581" s="92">
        <f t="shared" si="61"/>
        <v>29050</v>
      </c>
    </row>
    <row r="4582" spans="1:6" x14ac:dyDescent="0.25">
      <c r="A4582" s="232">
        <v>43220</v>
      </c>
      <c r="B4582" s="26" t="s">
        <v>1196</v>
      </c>
      <c r="C4582" s="26" t="s">
        <v>3556</v>
      </c>
      <c r="D4582" s="8">
        <v>1000</v>
      </c>
      <c r="E4582" s="8"/>
      <c r="F4582" s="92">
        <f t="shared" si="61"/>
        <v>28050</v>
      </c>
    </row>
    <row r="4583" spans="1:6" ht="45" x14ac:dyDescent="0.25">
      <c r="A4583" s="232">
        <v>43220</v>
      </c>
      <c r="B4583" s="26" t="s">
        <v>59</v>
      </c>
      <c r="C4583" s="87" t="s">
        <v>3579</v>
      </c>
      <c r="D4583" s="8">
        <v>18000</v>
      </c>
      <c r="E4583" s="8"/>
      <c r="F4583" s="92">
        <f t="shared" si="61"/>
        <v>10050</v>
      </c>
    </row>
    <row r="4584" spans="1:6" ht="30" x14ac:dyDescent="0.25">
      <c r="A4584" s="232">
        <v>43220</v>
      </c>
      <c r="B4584" s="26" t="s">
        <v>3558</v>
      </c>
      <c r="C4584" s="87" t="s">
        <v>3559</v>
      </c>
      <c r="D4584" s="8">
        <v>2500</v>
      </c>
      <c r="E4584" s="8"/>
      <c r="F4584" s="92">
        <f t="shared" si="61"/>
        <v>7550</v>
      </c>
    </row>
    <row r="4585" spans="1:6" x14ac:dyDescent="0.25">
      <c r="A4585" s="232">
        <v>43220</v>
      </c>
      <c r="B4585" s="26" t="s">
        <v>108</v>
      </c>
      <c r="C4585" s="26" t="s">
        <v>3561</v>
      </c>
      <c r="D4585" s="8">
        <v>1000</v>
      </c>
      <c r="E4585" s="8"/>
      <c r="F4585" s="92">
        <f t="shared" si="61"/>
        <v>6550</v>
      </c>
    </row>
    <row r="4586" spans="1:6" x14ac:dyDescent="0.25">
      <c r="A4586" s="232">
        <v>43220</v>
      </c>
      <c r="B4586" s="26" t="s">
        <v>14</v>
      </c>
      <c r="C4586" s="26" t="s">
        <v>3562</v>
      </c>
      <c r="D4586" s="8">
        <v>200</v>
      </c>
      <c r="E4586" s="8"/>
      <c r="F4586" s="92">
        <f t="shared" si="61"/>
        <v>6350</v>
      </c>
    </row>
    <row r="4587" spans="1:6" x14ac:dyDescent="0.25">
      <c r="A4587" s="232">
        <v>43220</v>
      </c>
      <c r="B4587" s="26" t="s">
        <v>3563</v>
      </c>
      <c r="C4587" s="26" t="s">
        <v>3446</v>
      </c>
      <c r="D4587" s="8">
        <v>450</v>
      </c>
      <c r="E4587" s="8"/>
      <c r="F4587" s="92">
        <f t="shared" si="61"/>
        <v>5900</v>
      </c>
    </row>
    <row r="4588" spans="1:6" x14ac:dyDescent="0.25">
      <c r="A4588" s="232">
        <v>43220</v>
      </c>
      <c r="B4588" s="26" t="s">
        <v>26</v>
      </c>
      <c r="C4588" s="26" t="s">
        <v>3564</v>
      </c>
      <c r="D4588" s="8">
        <v>600</v>
      </c>
      <c r="E4588" s="8"/>
      <c r="F4588" s="92">
        <f t="shared" si="61"/>
        <v>5300</v>
      </c>
    </row>
    <row r="4589" spans="1:6" x14ac:dyDescent="0.25">
      <c r="A4589" s="232">
        <v>43220</v>
      </c>
      <c r="B4589" s="26" t="s">
        <v>2333</v>
      </c>
      <c r="C4589" s="26" t="s">
        <v>63</v>
      </c>
      <c r="D4589" s="8">
        <v>170</v>
      </c>
      <c r="E4589" s="8"/>
      <c r="F4589" s="92">
        <f t="shared" si="61"/>
        <v>5130</v>
      </c>
    </row>
    <row r="4590" spans="1:6" x14ac:dyDescent="0.25">
      <c r="A4590" s="232">
        <v>43220</v>
      </c>
      <c r="B4590" s="26" t="s">
        <v>26</v>
      </c>
      <c r="C4590" s="26" t="s">
        <v>3565</v>
      </c>
      <c r="D4590" s="8">
        <v>460</v>
      </c>
      <c r="E4590" s="8"/>
      <c r="F4590" s="92">
        <f t="shared" si="61"/>
        <v>4670</v>
      </c>
    </row>
    <row r="4591" spans="1:6" x14ac:dyDescent="0.25">
      <c r="A4591" s="232">
        <v>43220</v>
      </c>
      <c r="B4591" s="26" t="s">
        <v>3558</v>
      </c>
      <c r="C4591" s="26" t="s">
        <v>3566</v>
      </c>
      <c r="D4591" s="8">
        <v>45</v>
      </c>
      <c r="E4591" s="8"/>
      <c r="F4591" s="92">
        <f t="shared" si="61"/>
        <v>4625</v>
      </c>
    </row>
    <row r="4592" spans="1:6" x14ac:dyDescent="0.25">
      <c r="A4592" s="232">
        <v>43220</v>
      </c>
      <c r="B4592" s="26" t="s">
        <v>3567</v>
      </c>
      <c r="C4592" s="26" t="s">
        <v>3568</v>
      </c>
      <c r="D4592" s="8">
        <v>50</v>
      </c>
      <c r="E4592" s="8"/>
      <c r="F4592" s="92">
        <f t="shared" si="61"/>
        <v>4575</v>
      </c>
    </row>
    <row r="4593" spans="1:6" x14ac:dyDescent="0.25">
      <c r="A4593" s="232">
        <v>43222</v>
      </c>
      <c r="B4593" s="26" t="s">
        <v>26</v>
      </c>
      <c r="C4593" s="26" t="s">
        <v>3569</v>
      </c>
      <c r="D4593" s="8">
        <v>730</v>
      </c>
      <c r="E4593" s="8"/>
      <c r="F4593" s="92">
        <f t="shared" si="61"/>
        <v>3845</v>
      </c>
    </row>
    <row r="4594" spans="1:6" x14ac:dyDescent="0.25">
      <c r="A4594" s="232">
        <v>43222</v>
      </c>
      <c r="B4594" s="26" t="s">
        <v>26</v>
      </c>
      <c r="C4594" s="26" t="s">
        <v>3346</v>
      </c>
      <c r="D4594" s="8">
        <v>130</v>
      </c>
      <c r="E4594" s="8"/>
      <c r="F4594" s="92">
        <f t="shared" si="61"/>
        <v>3715</v>
      </c>
    </row>
    <row r="4595" spans="1:6" x14ac:dyDescent="0.25">
      <c r="A4595" s="232">
        <v>43222</v>
      </c>
      <c r="B4595" s="26" t="s">
        <v>3563</v>
      </c>
      <c r="C4595" s="26" t="s">
        <v>3570</v>
      </c>
      <c r="D4595" s="8">
        <v>470</v>
      </c>
      <c r="E4595" s="8"/>
      <c r="F4595" s="92">
        <f t="shared" si="61"/>
        <v>3245</v>
      </c>
    </row>
    <row r="4596" spans="1:6" x14ac:dyDescent="0.25">
      <c r="A4596" s="232">
        <v>43222</v>
      </c>
      <c r="B4596" s="26" t="s">
        <v>3571</v>
      </c>
      <c r="C4596" s="26" t="s">
        <v>3572</v>
      </c>
      <c r="D4596" s="8">
        <v>520</v>
      </c>
      <c r="E4596" s="8"/>
      <c r="F4596" s="92">
        <f t="shared" si="61"/>
        <v>2725</v>
      </c>
    </row>
    <row r="4597" spans="1:6" x14ac:dyDescent="0.25">
      <c r="A4597" s="232">
        <v>43222</v>
      </c>
      <c r="B4597" s="462" t="s">
        <v>3573</v>
      </c>
      <c r="C4597" s="463"/>
      <c r="D4597" s="71"/>
      <c r="E4597" s="58">
        <v>100000</v>
      </c>
      <c r="F4597" s="92">
        <f t="shared" si="61"/>
        <v>102725</v>
      </c>
    </row>
    <row r="4598" spans="1:6" x14ac:dyDescent="0.25">
      <c r="A4598" s="232">
        <v>43222</v>
      </c>
      <c r="B4598" s="26" t="s">
        <v>17</v>
      </c>
      <c r="C4598" s="26" t="s">
        <v>295</v>
      </c>
      <c r="D4598" s="8">
        <v>15000</v>
      </c>
      <c r="E4598" s="8"/>
      <c r="F4598" s="92">
        <f t="shared" si="61"/>
        <v>87725</v>
      </c>
    </row>
    <row r="4599" spans="1:6" x14ac:dyDescent="0.25">
      <c r="A4599" s="232">
        <v>43222</v>
      </c>
      <c r="B4599" s="26" t="s">
        <v>3574</v>
      </c>
      <c r="C4599" s="26" t="s">
        <v>3575</v>
      </c>
      <c r="D4599" s="8">
        <v>10000</v>
      </c>
      <c r="E4599" s="8"/>
      <c r="F4599" s="92">
        <f t="shared" si="61"/>
        <v>77725</v>
      </c>
    </row>
    <row r="4600" spans="1:6" x14ac:dyDescent="0.25">
      <c r="A4600" s="232">
        <v>43222</v>
      </c>
      <c r="B4600" s="26" t="s">
        <v>1619</v>
      </c>
      <c r="C4600" s="26" t="s">
        <v>3414</v>
      </c>
      <c r="D4600" s="8">
        <v>520</v>
      </c>
      <c r="E4600" s="8"/>
      <c r="F4600" s="92">
        <f t="shared" si="61"/>
        <v>77205</v>
      </c>
    </row>
    <row r="4601" spans="1:6" x14ac:dyDescent="0.25">
      <c r="A4601" s="232">
        <v>43222</v>
      </c>
      <c r="B4601" s="26" t="s">
        <v>36</v>
      </c>
      <c r="C4601" s="26" t="s">
        <v>3576</v>
      </c>
      <c r="D4601" s="8">
        <v>2000</v>
      </c>
      <c r="E4601" s="8"/>
      <c r="F4601" s="92">
        <f t="shared" si="61"/>
        <v>75205</v>
      </c>
    </row>
    <row r="4602" spans="1:6" x14ac:dyDescent="0.25">
      <c r="A4602" s="232">
        <v>43222</v>
      </c>
      <c r="B4602" s="26" t="s">
        <v>59</v>
      </c>
      <c r="C4602" s="26" t="s">
        <v>3577</v>
      </c>
      <c r="D4602" s="8">
        <v>15360</v>
      </c>
      <c r="E4602" s="8"/>
      <c r="F4602" s="92">
        <f t="shared" si="61"/>
        <v>59845</v>
      </c>
    </row>
    <row r="4603" spans="1:6" x14ac:dyDescent="0.25">
      <c r="A4603" s="232">
        <v>43222</v>
      </c>
      <c r="B4603" s="26" t="s">
        <v>59</v>
      </c>
      <c r="C4603" s="26" t="s">
        <v>3578</v>
      </c>
      <c r="D4603" s="8">
        <v>5140</v>
      </c>
      <c r="E4603" s="8"/>
      <c r="F4603" s="92">
        <f t="shared" si="61"/>
        <v>54705</v>
      </c>
    </row>
    <row r="4604" spans="1:6" x14ac:dyDescent="0.25">
      <c r="A4604" s="232">
        <v>43222</v>
      </c>
      <c r="B4604" s="26" t="s">
        <v>2597</v>
      </c>
      <c r="C4604" s="26" t="s">
        <v>3580</v>
      </c>
      <c r="D4604" s="8">
        <v>280</v>
      </c>
      <c r="E4604" s="8"/>
      <c r="F4604" s="92">
        <f t="shared" ref="F4604:F4713" si="62">F4603-D4604+E4604</f>
        <v>54425</v>
      </c>
    </row>
    <row r="4605" spans="1:6" x14ac:dyDescent="0.25">
      <c r="A4605" s="232">
        <v>43222</v>
      </c>
      <c r="B4605" s="26" t="s">
        <v>2597</v>
      </c>
      <c r="C4605" s="26" t="s">
        <v>3581</v>
      </c>
      <c r="D4605" s="8">
        <v>432</v>
      </c>
      <c r="E4605" s="8"/>
      <c r="F4605" s="92">
        <f t="shared" si="62"/>
        <v>53993</v>
      </c>
    </row>
    <row r="4606" spans="1:6" x14ac:dyDescent="0.25">
      <c r="A4606" s="232">
        <v>43222</v>
      </c>
      <c r="B4606" s="26" t="s">
        <v>2597</v>
      </c>
      <c r="C4606" s="180" t="s">
        <v>3582</v>
      </c>
      <c r="D4606" s="57">
        <f>1000-D4605-D4604</f>
        <v>288</v>
      </c>
      <c r="E4606" s="8"/>
      <c r="F4606" s="92">
        <f t="shared" si="62"/>
        <v>53705</v>
      </c>
    </row>
    <row r="4607" spans="1:6" x14ac:dyDescent="0.25">
      <c r="A4607" s="232">
        <v>43223</v>
      </c>
      <c r="B4607" s="26" t="s">
        <v>2089</v>
      </c>
      <c r="C4607" s="26" t="s">
        <v>3583</v>
      </c>
      <c r="D4607" s="8">
        <v>500</v>
      </c>
      <c r="E4607" s="8"/>
      <c r="F4607" s="92">
        <f t="shared" si="62"/>
        <v>53205</v>
      </c>
    </row>
    <row r="4608" spans="1:6" x14ac:dyDescent="0.25">
      <c r="A4608" s="232">
        <v>43223</v>
      </c>
      <c r="B4608" s="26" t="s">
        <v>29</v>
      </c>
      <c r="C4608" s="26" t="s">
        <v>3584</v>
      </c>
      <c r="D4608" s="8">
        <v>5000</v>
      </c>
      <c r="E4608" s="8"/>
      <c r="F4608" s="92">
        <f t="shared" si="62"/>
        <v>48205</v>
      </c>
    </row>
    <row r="4609" spans="1:6" ht="30" x14ac:dyDescent="0.25">
      <c r="A4609" s="232">
        <v>43223</v>
      </c>
      <c r="B4609" s="199" t="s">
        <v>29</v>
      </c>
      <c r="C4609" s="207" t="s">
        <v>3585</v>
      </c>
      <c r="D4609" s="91">
        <v>5000</v>
      </c>
      <c r="E4609" s="91"/>
      <c r="F4609" s="92">
        <f t="shared" si="62"/>
        <v>43205</v>
      </c>
    </row>
    <row r="4610" spans="1:6" x14ac:dyDescent="0.25">
      <c r="A4610" s="232">
        <v>43223</v>
      </c>
      <c r="B4610" s="26" t="s">
        <v>3524</v>
      </c>
      <c r="C4610" s="26" t="s">
        <v>295</v>
      </c>
      <c r="D4610" s="8">
        <v>20000</v>
      </c>
      <c r="E4610" s="8"/>
      <c r="F4610" s="92">
        <f t="shared" si="62"/>
        <v>23205</v>
      </c>
    </row>
    <row r="4611" spans="1:6" x14ac:dyDescent="0.25">
      <c r="A4611" s="232">
        <v>43223</v>
      </c>
      <c r="B4611" s="26" t="s">
        <v>17</v>
      </c>
      <c r="C4611" s="26" t="s">
        <v>3509</v>
      </c>
      <c r="D4611" s="8">
        <v>5000</v>
      </c>
      <c r="E4611" s="8"/>
      <c r="F4611" s="92">
        <f t="shared" si="62"/>
        <v>18205</v>
      </c>
    </row>
    <row r="4612" spans="1:6" x14ac:dyDescent="0.25">
      <c r="A4612" s="232">
        <v>43223</v>
      </c>
      <c r="B4612" s="26" t="s">
        <v>0</v>
      </c>
      <c r="C4612" s="26" t="s">
        <v>2318</v>
      </c>
      <c r="D4612" s="8">
        <v>3000</v>
      </c>
      <c r="E4612" s="8"/>
      <c r="F4612" s="92">
        <f t="shared" si="62"/>
        <v>15205</v>
      </c>
    </row>
    <row r="4613" spans="1:6" x14ac:dyDescent="0.25">
      <c r="A4613" s="232">
        <v>43223</v>
      </c>
      <c r="B4613" s="26" t="s">
        <v>85</v>
      </c>
      <c r="C4613" s="26" t="s">
        <v>3586</v>
      </c>
      <c r="D4613" s="8">
        <v>12000</v>
      </c>
      <c r="E4613" s="8"/>
      <c r="F4613" s="92">
        <f t="shared" si="62"/>
        <v>3205</v>
      </c>
    </row>
    <row r="4614" spans="1:6" x14ac:dyDescent="0.25">
      <c r="A4614" s="232">
        <v>43223</v>
      </c>
      <c r="B4614" s="26" t="s">
        <v>14</v>
      </c>
      <c r="C4614" s="26" t="s">
        <v>295</v>
      </c>
      <c r="D4614" s="8">
        <v>1000</v>
      </c>
      <c r="E4614" s="8"/>
      <c r="F4614" s="92">
        <f t="shared" si="62"/>
        <v>2205</v>
      </c>
    </row>
    <row r="4615" spans="1:6" x14ac:dyDescent="0.25">
      <c r="A4615" s="232">
        <v>43224</v>
      </c>
      <c r="B4615" s="26" t="s">
        <v>542</v>
      </c>
      <c r="C4615" s="26" t="s">
        <v>3587</v>
      </c>
      <c r="D4615" s="8">
        <f>140+180</f>
        <v>320</v>
      </c>
      <c r="E4615" s="8"/>
      <c r="F4615" s="92">
        <f t="shared" si="62"/>
        <v>1885</v>
      </c>
    </row>
    <row r="4616" spans="1:6" x14ac:dyDescent="0.25">
      <c r="A4616" s="232">
        <v>43224</v>
      </c>
      <c r="B4616" s="26" t="s">
        <v>26</v>
      </c>
      <c r="C4616" s="26" t="s">
        <v>3588</v>
      </c>
      <c r="D4616" s="8">
        <v>210</v>
      </c>
      <c r="E4616" s="8"/>
      <c r="F4616" s="92">
        <f t="shared" si="62"/>
        <v>1675</v>
      </c>
    </row>
    <row r="4617" spans="1:6" x14ac:dyDescent="0.25">
      <c r="A4617" s="232">
        <v>43224</v>
      </c>
      <c r="B4617" s="26" t="s">
        <v>1636</v>
      </c>
      <c r="C4617" s="26" t="s">
        <v>3591</v>
      </c>
      <c r="D4617" s="8">
        <f>50+40+140+90</f>
        <v>320</v>
      </c>
      <c r="E4617" s="8"/>
      <c r="F4617" s="92">
        <f t="shared" si="62"/>
        <v>1355</v>
      </c>
    </row>
    <row r="4618" spans="1:6" x14ac:dyDescent="0.25">
      <c r="A4618" s="232">
        <v>43224</v>
      </c>
      <c r="B4618" s="26" t="s">
        <v>3589</v>
      </c>
      <c r="C4618" s="26" t="s">
        <v>3590</v>
      </c>
      <c r="D4618" s="8">
        <f>210+35+102-110</f>
        <v>237</v>
      </c>
      <c r="E4618" s="8"/>
      <c r="F4618" s="92">
        <f t="shared" si="62"/>
        <v>1118</v>
      </c>
    </row>
    <row r="4619" spans="1:6" x14ac:dyDescent="0.25">
      <c r="A4619" s="232">
        <v>43224</v>
      </c>
      <c r="B4619" s="460" t="s">
        <v>3592</v>
      </c>
      <c r="C4619" s="460"/>
      <c r="D4619" s="71"/>
      <c r="E4619" s="58">
        <v>13700</v>
      </c>
      <c r="F4619" s="92">
        <f t="shared" si="62"/>
        <v>14818</v>
      </c>
    </row>
    <row r="4620" spans="1:6" x14ac:dyDescent="0.25">
      <c r="A4620" s="232">
        <v>43224</v>
      </c>
      <c r="B4620" s="26" t="s">
        <v>14</v>
      </c>
      <c r="C4620" s="26" t="s">
        <v>295</v>
      </c>
      <c r="D4620" s="8">
        <v>10000</v>
      </c>
      <c r="E4620" s="8"/>
      <c r="F4620" s="92">
        <f t="shared" si="62"/>
        <v>4818</v>
      </c>
    </row>
    <row r="4621" spans="1:6" x14ac:dyDescent="0.25">
      <c r="A4621" s="232">
        <v>43224</v>
      </c>
      <c r="B4621" s="26" t="s">
        <v>2333</v>
      </c>
      <c r="C4621" s="26" t="s">
        <v>3593</v>
      </c>
      <c r="D4621" s="8">
        <v>4700</v>
      </c>
      <c r="E4621" s="8"/>
      <c r="F4621" s="92">
        <f t="shared" si="62"/>
        <v>118</v>
      </c>
    </row>
    <row r="4622" spans="1:6" x14ac:dyDescent="0.25">
      <c r="A4622" s="232">
        <v>43224</v>
      </c>
      <c r="B4622" s="460" t="s">
        <v>3594</v>
      </c>
      <c r="C4622" s="460"/>
      <c r="D4622" s="71"/>
      <c r="E4622" s="58">
        <v>50000</v>
      </c>
      <c r="F4622" s="92">
        <f t="shared" si="62"/>
        <v>50118</v>
      </c>
    </row>
    <row r="4623" spans="1:6" x14ac:dyDescent="0.25">
      <c r="A4623" s="232">
        <v>43224</v>
      </c>
      <c r="B4623" s="26" t="s">
        <v>1196</v>
      </c>
      <c r="C4623" s="26" t="s">
        <v>3595</v>
      </c>
      <c r="D4623" s="8">
        <v>6000</v>
      </c>
      <c r="E4623" s="8"/>
      <c r="F4623" s="92">
        <f t="shared" si="62"/>
        <v>44118</v>
      </c>
    </row>
    <row r="4624" spans="1:6" x14ac:dyDescent="0.25">
      <c r="A4624" s="232">
        <v>43224</v>
      </c>
      <c r="B4624" s="26" t="s">
        <v>1196</v>
      </c>
      <c r="C4624" s="26" t="s">
        <v>3596</v>
      </c>
      <c r="D4624" s="8">
        <v>600</v>
      </c>
      <c r="E4624" s="8"/>
      <c r="F4624" s="92">
        <f t="shared" si="62"/>
        <v>43518</v>
      </c>
    </row>
    <row r="4625" spans="1:6" x14ac:dyDescent="0.25">
      <c r="A4625" s="232">
        <v>43224</v>
      </c>
      <c r="B4625" s="26" t="s">
        <v>1196</v>
      </c>
      <c r="C4625" s="26" t="s">
        <v>3597</v>
      </c>
      <c r="D4625" s="8">
        <v>4000</v>
      </c>
      <c r="E4625" s="8"/>
      <c r="F4625" s="92">
        <f t="shared" si="62"/>
        <v>39518</v>
      </c>
    </row>
    <row r="4626" spans="1:6" x14ac:dyDescent="0.25">
      <c r="A4626" s="232">
        <v>43224</v>
      </c>
      <c r="B4626" s="26" t="s">
        <v>248</v>
      </c>
      <c r="C4626" s="26" t="s">
        <v>3157</v>
      </c>
      <c r="D4626" s="8">
        <v>140</v>
      </c>
      <c r="E4626" s="8"/>
      <c r="F4626" s="92">
        <f t="shared" si="62"/>
        <v>39378</v>
      </c>
    </row>
    <row r="4627" spans="1:6" x14ac:dyDescent="0.25">
      <c r="A4627" s="232">
        <v>43224</v>
      </c>
      <c r="B4627" s="26" t="s">
        <v>61</v>
      </c>
      <c r="C4627" s="26" t="s">
        <v>3598</v>
      </c>
      <c r="D4627" s="8">
        <v>1000</v>
      </c>
      <c r="E4627" s="8"/>
      <c r="F4627" s="92">
        <f t="shared" si="62"/>
        <v>38378</v>
      </c>
    </row>
    <row r="4628" spans="1:6" x14ac:dyDescent="0.25">
      <c r="A4628" s="232">
        <v>43225</v>
      </c>
      <c r="B4628" s="26" t="s">
        <v>3599</v>
      </c>
      <c r="C4628" s="26" t="s">
        <v>3600</v>
      </c>
      <c r="D4628" s="8">
        <v>16890</v>
      </c>
      <c r="E4628" s="8"/>
      <c r="F4628" s="92">
        <f t="shared" si="62"/>
        <v>21488</v>
      </c>
    </row>
    <row r="4629" spans="1:6" x14ac:dyDescent="0.25">
      <c r="A4629" s="232">
        <v>43225</v>
      </c>
      <c r="B4629" s="26" t="s">
        <v>3599</v>
      </c>
      <c r="C4629" s="26" t="s">
        <v>3601</v>
      </c>
      <c r="D4629" s="8">
        <f>37000-D4628</f>
        <v>20110</v>
      </c>
      <c r="E4629" s="8"/>
      <c r="F4629" s="92">
        <f t="shared" si="62"/>
        <v>1378</v>
      </c>
    </row>
    <row r="4630" spans="1:6" x14ac:dyDescent="0.25">
      <c r="A4630" s="232">
        <v>43225</v>
      </c>
      <c r="B4630" s="460" t="s">
        <v>3602</v>
      </c>
      <c r="C4630" s="460"/>
      <c r="D4630" s="71"/>
      <c r="E4630" s="58">
        <v>10000</v>
      </c>
      <c r="F4630" s="92">
        <f t="shared" si="62"/>
        <v>11378</v>
      </c>
    </row>
    <row r="4631" spans="1:6" x14ac:dyDescent="0.25">
      <c r="A4631" s="232">
        <v>43225</v>
      </c>
      <c r="B4631" s="26" t="s">
        <v>17</v>
      </c>
      <c r="C4631" s="26" t="s">
        <v>3603</v>
      </c>
      <c r="D4631" s="8">
        <v>5000</v>
      </c>
      <c r="E4631" s="8"/>
      <c r="F4631" s="92">
        <f t="shared" si="62"/>
        <v>6378</v>
      </c>
    </row>
    <row r="4632" spans="1:6" x14ac:dyDescent="0.25">
      <c r="A4632" s="232">
        <v>43225</v>
      </c>
      <c r="B4632" s="26" t="s">
        <v>2099</v>
      </c>
      <c r="C4632" s="26" t="s">
        <v>3603</v>
      </c>
      <c r="D4632" s="8">
        <v>5000</v>
      </c>
      <c r="E4632" s="8"/>
      <c r="F4632" s="92">
        <f t="shared" si="62"/>
        <v>1378</v>
      </c>
    </row>
    <row r="4633" spans="1:6" x14ac:dyDescent="0.25">
      <c r="A4633" s="232">
        <v>43225</v>
      </c>
      <c r="B4633" s="26" t="s">
        <v>248</v>
      </c>
      <c r="C4633" s="26" t="s">
        <v>3467</v>
      </c>
      <c r="D4633" s="8">
        <v>200</v>
      </c>
      <c r="E4633" s="8"/>
      <c r="F4633" s="92">
        <f t="shared" si="62"/>
        <v>1178</v>
      </c>
    </row>
    <row r="4634" spans="1:6" x14ac:dyDescent="0.25">
      <c r="A4634" s="232">
        <v>43225</v>
      </c>
      <c r="B4634" s="26" t="s">
        <v>85</v>
      </c>
      <c r="C4634" s="26" t="s">
        <v>3662</v>
      </c>
      <c r="D4634" s="8">
        <v>500</v>
      </c>
      <c r="E4634" s="8"/>
      <c r="F4634" s="92">
        <f t="shared" si="62"/>
        <v>678</v>
      </c>
    </row>
    <row r="4635" spans="1:6" x14ac:dyDescent="0.25">
      <c r="A4635" s="232">
        <v>43227</v>
      </c>
      <c r="B4635" s="460" t="s">
        <v>3448</v>
      </c>
      <c r="C4635" s="460"/>
      <c r="D4635" s="71"/>
      <c r="E4635" s="58">
        <v>50000</v>
      </c>
      <c r="F4635" s="92">
        <f t="shared" si="62"/>
        <v>50678</v>
      </c>
    </row>
    <row r="4636" spans="1:6" x14ac:dyDescent="0.25">
      <c r="A4636" s="232">
        <v>43227</v>
      </c>
      <c r="B4636" s="460" t="s">
        <v>3448</v>
      </c>
      <c r="C4636" s="460"/>
      <c r="D4636" s="71"/>
      <c r="E4636" s="58">
        <v>10000</v>
      </c>
      <c r="F4636" s="92">
        <f t="shared" si="62"/>
        <v>60678</v>
      </c>
    </row>
    <row r="4637" spans="1:6" x14ac:dyDescent="0.25">
      <c r="A4637" s="232">
        <v>43228</v>
      </c>
      <c r="B4637" s="26" t="s">
        <v>14</v>
      </c>
      <c r="C4637" s="26" t="s">
        <v>3509</v>
      </c>
      <c r="D4637" s="8">
        <v>2000</v>
      </c>
      <c r="E4637" s="8"/>
      <c r="F4637" s="92">
        <f t="shared" si="62"/>
        <v>58678</v>
      </c>
    </row>
    <row r="4638" spans="1:6" x14ac:dyDescent="0.25">
      <c r="A4638" s="232">
        <v>43228</v>
      </c>
      <c r="B4638" s="26" t="s">
        <v>0</v>
      </c>
      <c r="C4638" s="26" t="s">
        <v>3509</v>
      </c>
      <c r="D4638" s="8">
        <v>1000</v>
      </c>
      <c r="E4638" s="8"/>
      <c r="F4638" s="92">
        <f t="shared" si="62"/>
        <v>57678</v>
      </c>
    </row>
    <row r="4639" spans="1:6" x14ac:dyDescent="0.25">
      <c r="A4639" s="232">
        <v>43228</v>
      </c>
      <c r="B4639" s="26" t="s">
        <v>29</v>
      </c>
      <c r="C4639" s="26" t="s">
        <v>3653</v>
      </c>
      <c r="D4639" s="8">
        <v>3000</v>
      </c>
      <c r="E4639" s="8"/>
      <c r="F4639" s="92">
        <f t="shared" si="62"/>
        <v>54678</v>
      </c>
    </row>
    <row r="4640" spans="1:6" x14ac:dyDescent="0.25">
      <c r="A4640" s="232">
        <v>43228</v>
      </c>
      <c r="B4640" s="26" t="s">
        <v>55</v>
      </c>
      <c r="C4640" s="26" t="s">
        <v>3604</v>
      </c>
      <c r="D4640" s="8">
        <v>5000</v>
      </c>
      <c r="E4640" s="8"/>
      <c r="F4640" s="92">
        <f t="shared" si="62"/>
        <v>49678</v>
      </c>
    </row>
    <row r="4641" spans="1:7" x14ac:dyDescent="0.25">
      <c r="A4641" s="232">
        <v>43228</v>
      </c>
      <c r="B4641" s="26" t="s">
        <v>59</v>
      </c>
      <c r="C4641" s="26" t="s">
        <v>3654</v>
      </c>
      <c r="D4641" s="8">
        <v>11350</v>
      </c>
      <c r="E4641" s="8"/>
      <c r="F4641" s="92">
        <f t="shared" si="62"/>
        <v>38328</v>
      </c>
    </row>
    <row r="4642" spans="1:7" x14ac:dyDescent="0.25">
      <c r="A4642" s="232">
        <v>43228</v>
      </c>
      <c r="B4642" s="26" t="s">
        <v>26</v>
      </c>
      <c r="C4642" s="26" t="s">
        <v>3606</v>
      </c>
      <c r="D4642" s="8">
        <f>20+30+50+20</f>
        <v>120</v>
      </c>
      <c r="E4642" s="8"/>
      <c r="F4642" s="92">
        <f t="shared" si="62"/>
        <v>38208</v>
      </c>
    </row>
    <row r="4643" spans="1:7" x14ac:dyDescent="0.25">
      <c r="A4643" s="232">
        <v>43228</v>
      </c>
      <c r="B4643" s="26" t="s">
        <v>26</v>
      </c>
      <c r="C4643" s="26" t="s">
        <v>3605</v>
      </c>
      <c r="D4643" s="8">
        <v>120</v>
      </c>
      <c r="E4643" s="8"/>
      <c r="F4643" s="92">
        <f t="shared" si="62"/>
        <v>38088</v>
      </c>
    </row>
    <row r="4644" spans="1:7" x14ac:dyDescent="0.25">
      <c r="A4644" s="232">
        <v>43228</v>
      </c>
      <c r="B4644" s="26" t="s">
        <v>542</v>
      </c>
      <c r="C4644" s="26" t="s">
        <v>2878</v>
      </c>
      <c r="D4644" s="8">
        <v>150</v>
      </c>
      <c r="E4644" s="8"/>
      <c r="F4644" s="92">
        <f t="shared" si="62"/>
        <v>37938</v>
      </c>
    </row>
    <row r="4645" spans="1:7" x14ac:dyDescent="0.25">
      <c r="A4645" s="232">
        <v>43228</v>
      </c>
      <c r="B4645" s="26" t="s">
        <v>2333</v>
      </c>
      <c r="C4645" s="26" t="s">
        <v>63</v>
      </c>
      <c r="D4645" s="8">
        <v>70</v>
      </c>
      <c r="E4645" s="8"/>
      <c r="F4645" s="92">
        <f t="shared" si="62"/>
        <v>37868</v>
      </c>
    </row>
    <row r="4646" spans="1:7" ht="30" x14ac:dyDescent="0.25">
      <c r="A4646" s="232">
        <v>43228</v>
      </c>
      <c r="B4646" s="26" t="s">
        <v>59</v>
      </c>
      <c r="C4646" s="87" t="s">
        <v>3614</v>
      </c>
      <c r="D4646" s="8">
        <v>8500</v>
      </c>
      <c r="E4646" s="8"/>
      <c r="F4646" s="92">
        <f t="shared" si="62"/>
        <v>29368</v>
      </c>
    </row>
    <row r="4647" spans="1:7" x14ac:dyDescent="0.25">
      <c r="A4647" s="232">
        <v>43228</v>
      </c>
      <c r="B4647" s="26" t="s">
        <v>2333</v>
      </c>
      <c r="C4647" s="26" t="s">
        <v>3607</v>
      </c>
      <c r="D4647" s="8">
        <v>500</v>
      </c>
      <c r="E4647" s="8"/>
      <c r="F4647" s="92">
        <f t="shared" si="62"/>
        <v>28868</v>
      </c>
    </row>
    <row r="4648" spans="1:7" x14ac:dyDescent="0.25">
      <c r="A4648" s="232">
        <v>43228</v>
      </c>
      <c r="B4648" s="26" t="s">
        <v>94</v>
      </c>
      <c r="C4648" s="26" t="s">
        <v>3452</v>
      </c>
      <c r="D4648" s="8">
        <v>5000</v>
      </c>
      <c r="E4648" s="8"/>
      <c r="F4648" s="92">
        <f t="shared" si="62"/>
        <v>23868</v>
      </c>
    </row>
    <row r="4649" spans="1:7" x14ac:dyDescent="0.25">
      <c r="A4649" s="232">
        <v>43228</v>
      </c>
      <c r="B4649" s="26" t="s">
        <v>61</v>
      </c>
      <c r="C4649" s="26" t="s">
        <v>3608</v>
      </c>
      <c r="D4649" s="8">
        <v>5000</v>
      </c>
      <c r="E4649" s="8"/>
      <c r="F4649" s="92">
        <f t="shared" si="62"/>
        <v>18868</v>
      </c>
      <c r="G4649" s="25"/>
    </row>
    <row r="4650" spans="1:7" x14ac:dyDescent="0.25">
      <c r="A4650" s="232">
        <v>43228</v>
      </c>
      <c r="B4650" s="238" t="s">
        <v>26</v>
      </c>
      <c r="C4650" s="238" t="s">
        <v>3655</v>
      </c>
      <c r="D4650" s="120">
        <v>4122</v>
      </c>
      <c r="E4650" s="8"/>
      <c r="F4650" s="92">
        <f t="shared" si="62"/>
        <v>14746</v>
      </c>
    </row>
    <row r="4651" spans="1:7" x14ac:dyDescent="0.25">
      <c r="A4651" s="232">
        <v>43228</v>
      </c>
      <c r="B4651" s="26" t="s">
        <v>3609</v>
      </c>
      <c r="C4651" s="26" t="s">
        <v>3610</v>
      </c>
      <c r="D4651" s="8">
        <v>1500</v>
      </c>
      <c r="E4651" s="8"/>
      <c r="F4651" s="92">
        <f t="shared" si="62"/>
        <v>13246</v>
      </c>
    </row>
    <row r="4652" spans="1:7" x14ac:dyDescent="0.25">
      <c r="A4652" s="232">
        <v>43228</v>
      </c>
      <c r="B4652" s="26" t="s">
        <v>3609</v>
      </c>
      <c r="C4652" s="26" t="s">
        <v>3611</v>
      </c>
      <c r="D4652" s="8">
        <v>100</v>
      </c>
      <c r="E4652" s="8"/>
      <c r="F4652" s="92">
        <f t="shared" si="62"/>
        <v>13146</v>
      </c>
    </row>
    <row r="4653" spans="1:7" x14ac:dyDescent="0.25">
      <c r="A4653" s="232">
        <v>43228</v>
      </c>
      <c r="B4653" s="26" t="s">
        <v>1619</v>
      </c>
      <c r="C4653" s="26" t="s">
        <v>2675</v>
      </c>
      <c r="D4653" s="8">
        <v>1500</v>
      </c>
      <c r="E4653" s="8"/>
      <c r="F4653" s="92">
        <f t="shared" si="62"/>
        <v>11646</v>
      </c>
    </row>
    <row r="4654" spans="1:7" x14ac:dyDescent="0.25">
      <c r="A4654" s="232">
        <v>43228</v>
      </c>
      <c r="B4654" s="26" t="s">
        <v>3612</v>
      </c>
      <c r="C4654" s="26" t="s">
        <v>3613</v>
      </c>
      <c r="D4654" s="8">
        <v>1700</v>
      </c>
      <c r="E4654" s="8"/>
      <c r="F4654" s="92">
        <f t="shared" si="62"/>
        <v>9946</v>
      </c>
    </row>
    <row r="4655" spans="1:7" x14ac:dyDescent="0.25">
      <c r="A4655" s="232">
        <v>43229</v>
      </c>
      <c r="B4655" s="460" t="s">
        <v>3618</v>
      </c>
      <c r="C4655" s="460"/>
      <c r="D4655" s="71"/>
      <c r="E4655" s="58">
        <v>12820</v>
      </c>
      <c r="F4655" s="92">
        <f t="shared" si="62"/>
        <v>22766</v>
      </c>
    </row>
    <row r="4656" spans="1:7" x14ac:dyDescent="0.25">
      <c r="A4656" s="232">
        <v>43228</v>
      </c>
      <c r="B4656" s="26" t="s">
        <v>1840</v>
      </c>
      <c r="C4656" s="26" t="s">
        <v>3509</v>
      </c>
      <c r="D4656" s="8">
        <v>2000</v>
      </c>
      <c r="E4656" s="8"/>
      <c r="F4656" s="92">
        <f t="shared" si="62"/>
        <v>20766</v>
      </c>
    </row>
    <row r="4657" spans="1:6" x14ac:dyDescent="0.25">
      <c r="A4657" s="232">
        <v>43229</v>
      </c>
      <c r="B4657" s="26" t="s">
        <v>3224</v>
      </c>
      <c r="C4657" s="26" t="s">
        <v>3615</v>
      </c>
      <c r="D4657" s="8">
        <v>12000</v>
      </c>
      <c r="E4657" s="8"/>
      <c r="F4657" s="92">
        <f t="shared" si="62"/>
        <v>8766</v>
      </c>
    </row>
    <row r="4658" spans="1:6" x14ac:dyDescent="0.25">
      <c r="A4658" s="232">
        <v>43231</v>
      </c>
      <c r="B4658" s="26" t="s">
        <v>14</v>
      </c>
      <c r="C4658" s="26" t="s">
        <v>641</v>
      </c>
      <c r="D4658" s="8">
        <v>1000</v>
      </c>
      <c r="E4658" s="8"/>
      <c r="F4658" s="92">
        <f t="shared" si="62"/>
        <v>7766</v>
      </c>
    </row>
    <row r="4659" spans="1:6" x14ac:dyDescent="0.25">
      <c r="A4659" s="232">
        <v>43231</v>
      </c>
      <c r="B4659" s="26" t="s">
        <v>14</v>
      </c>
      <c r="C4659" s="26" t="s">
        <v>3616</v>
      </c>
      <c r="D4659" s="8">
        <f>1000+1000+3000</f>
        <v>5000</v>
      </c>
      <c r="E4659" s="8"/>
      <c r="F4659" s="92">
        <f t="shared" si="62"/>
        <v>2766</v>
      </c>
    </row>
    <row r="4660" spans="1:6" x14ac:dyDescent="0.25">
      <c r="A4660" s="232">
        <v>43231</v>
      </c>
      <c r="B4660" s="26" t="s">
        <v>26</v>
      </c>
      <c r="C4660" s="26" t="s">
        <v>3617</v>
      </c>
      <c r="D4660" s="8">
        <f>60+70+30+30+20+20+110+380+20+20+20</f>
        <v>780</v>
      </c>
      <c r="E4660" s="8"/>
      <c r="F4660" s="92">
        <f t="shared" si="62"/>
        <v>1986</v>
      </c>
    </row>
    <row r="4661" spans="1:6" x14ac:dyDescent="0.25">
      <c r="A4661" s="232">
        <v>43231</v>
      </c>
      <c r="B4661" s="26" t="s">
        <v>542</v>
      </c>
      <c r="C4661" s="26" t="s">
        <v>3434</v>
      </c>
      <c r="D4661" s="8">
        <v>150</v>
      </c>
      <c r="E4661" s="8"/>
      <c r="F4661" s="92">
        <f t="shared" si="62"/>
        <v>1836</v>
      </c>
    </row>
    <row r="4662" spans="1:6" x14ac:dyDescent="0.25">
      <c r="A4662" s="232">
        <v>43231</v>
      </c>
      <c r="B4662" s="26" t="s">
        <v>2597</v>
      </c>
      <c r="C4662" s="26" t="s">
        <v>3619</v>
      </c>
      <c r="D4662" s="8">
        <v>1000</v>
      </c>
      <c r="E4662" s="8"/>
      <c r="F4662" s="92">
        <f t="shared" si="62"/>
        <v>836</v>
      </c>
    </row>
    <row r="4663" spans="1:6" x14ac:dyDescent="0.25">
      <c r="A4663" s="232">
        <v>43231</v>
      </c>
      <c r="B4663" s="26" t="s">
        <v>3388</v>
      </c>
      <c r="C4663" s="26" t="s">
        <v>3620</v>
      </c>
      <c r="D4663" s="8">
        <v>50</v>
      </c>
      <c r="E4663" s="8"/>
      <c r="F4663" s="92">
        <f t="shared" si="62"/>
        <v>786</v>
      </c>
    </row>
    <row r="4664" spans="1:6" x14ac:dyDescent="0.25">
      <c r="A4664" s="232">
        <v>43231</v>
      </c>
      <c r="B4664" s="460" t="s">
        <v>3448</v>
      </c>
      <c r="C4664" s="460"/>
      <c r="D4664" s="71"/>
      <c r="E4664" s="58">
        <v>50000</v>
      </c>
      <c r="F4664" s="92">
        <f t="shared" si="62"/>
        <v>50786</v>
      </c>
    </row>
    <row r="4665" spans="1:6" x14ac:dyDescent="0.25">
      <c r="A4665" s="232">
        <v>43231</v>
      </c>
      <c r="B4665" s="26" t="s">
        <v>1196</v>
      </c>
      <c r="C4665" s="26" t="s">
        <v>3635</v>
      </c>
      <c r="D4665" s="8">
        <v>2000</v>
      </c>
      <c r="E4665" s="8"/>
      <c r="F4665" s="92">
        <f t="shared" si="62"/>
        <v>48786</v>
      </c>
    </row>
    <row r="4666" spans="1:6" x14ac:dyDescent="0.25">
      <c r="A4666" s="232">
        <v>43231</v>
      </c>
      <c r="B4666" s="26" t="s">
        <v>1196</v>
      </c>
      <c r="C4666" s="39" t="s">
        <v>3629</v>
      </c>
      <c r="D4666" s="8">
        <v>3500</v>
      </c>
      <c r="E4666" s="8"/>
      <c r="F4666" s="92">
        <f t="shared" si="62"/>
        <v>45286</v>
      </c>
    </row>
    <row r="4667" spans="1:6" x14ac:dyDescent="0.25">
      <c r="A4667" s="232">
        <v>43231</v>
      </c>
      <c r="B4667" s="26" t="s">
        <v>3628</v>
      </c>
      <c r="C4667" s="26" t="s">
        <v>3627</v>
      </c>
      <c r="D4667" s="8">
        <v>100</v>
      </c>
      <c r="E4667" s="8"/>
      <c r="F4667" s="92">
        <f t="shared" si="62"/>
        <v>45186</v>
      </c>
    </row>
    <row r="4668" spans="1:6" x14ac:dyDescent="0.25">
      <c r="A4668" s="232">
        <v>43231</v>
      </c>
      <c r="B4668" s="26" t="s">
        <v>85</v>
      </c>
      <c r="C4668" s="26" t="s">
        <v>3621</v>
      </c>
      <c r="D4668" s="8">
        <v>7000</v>
      </c>
      <c r="E4668" s="8"/>
      <c r="F4668" s="92">
        <f t="shared" si="62"/>
        <v>38186</v>
      </c>
    </row>
    <row r="4669" spans="1:6" x14ac:dyDescent="0.25">
      <c r="A4669" s="232">
        <v>43231</v>
      </c>
      <c r="B4669" s="26" t="s">
        <v>3622</v>
      </c>
      <c r="C4669" s="26" t="s">
        <v>3623</v>
      </c>
      <c r="D4669" s="8">
        <v>10000</v>
      </c>
      <c r="E4669" s="8"/>
      <c r="F4669" s="92">
        <f t="shared" si="62"/>
        <v>28186</v>
      </c>
    </row>
    <row r="4670" spans="1:6" x14ac:dyDescent="0.25">
      <c r="A4670" s="232">
        <v>43231</v>
      </c>
      <c r="B4670" s="26" t="s">
        <v>1515</v>
      </c>
      <c r="C4670" s="26" t="s">
        <v>3624</v>
      </c>
      <c r="D4670" s="8">
        <v>18333</v>
      </c>
      <c r="E4670" s="8"/>
      <c r="F4670" s="92">
        <f t="shared" si="62"/>
        <v>9853</v>
      </c>
    </row>
    <row r="4671" spans="1:6" x14ac:dyDescent="0.25">
      <c r="A4671" s="232">
        <v>43231</v>
      </c>
      <c r="B4671" s="26" t="s">
        <v>59</v>
      </c>
      <c r="C4671" s="26" t="s">
        <v>3320</v>
      </c>
      <c r="D4671" s="8">
        <v>2370</v>
      </c>
      <c r="E4671" s="8"/>
      <c r="F4671" s="92">
        <f t="shared" si="62"/>
        <v>7483</v>
      </c>
    </row>
    <row r="4672" spans="1:6" x14ac:dyDescent="0.25">
      <c r="A4672" s="232">
        <v>43231</v>
      </c>
      <c r="B4672" s="26" t="s">
        <v>59</v>
      </c>
      <c r="C4672" s="26" t="s">
        <v>3630</v>
      </c>
      <c r="D4672" s="8">
        <v>3980</v>
      </c>
      <c r="E4672" s="8"/>
      <c r="F4672" s="92">
        <f t="shared" si="62"/>
        <v>3503</v>
      </c>
    </row>
    <row r="4673" spans="1:6" x14ac:dyDescent="0.25">
      <c r="A4673" s="232">
        <v>43231</v>
      </c>
      <c r="B4673" s="26" t="s">
        <v>59</v>
      </c>
      <c r="C4673" s="26" t="s">
        <v>3625</v>
      </c>
      <c r="D4673" s="8">
        <v>4600</v>
      </c>
      <c r="E4673" s="8"/>
      <c r="F4673" s="92">
        <f t="shared" si="62"/>
        <v>-1097</v>
      </c>
    </row>
    <row r="4674" spans="1:6" x14ac:dyDescent="0.25">
      <c r="A4674" s="232">
        <v>43231</v>
      </c>
      <c r="B4674" s="460" t="s">
        <v>3632</v>
      </c>
      <c r="C4674" s="460"/>
      <c r="D4674" s="71"/>
      <c r="E4674" s="58">
        <v>50000</v>
      </c>
      <c r="F4674" s="92">
        <f>F4673-D4674+E4674</f>
        <v>48903</v>
      </c>
    </row>
    <row r="4675" spans="1:6" x14ac:dyDescent="0.25">
      <c r="A4675" s="232">
        <v>43232</v>
      </c>
      <c r="B4675" s="26" t="s">
        <v>57</v>
      </c>
      <c r="C4675" s="26" t="s">
        <v>3626</v>
      </c>
      <c r="D4675" s="8">
        <v>3000</v>
      </c>
      <c r="E4675" s="8"/>
      <c r="F4675" s="92">
        <f>F4674-D4675+E4675</f>
        <v>45903</v>
      </c>
    </row>
    <row r="4676" spans="1:6" x14ac:dyDescent="0.25">
      <c r="A4676" s="232">
        <v>43232</v>
      </c>
      <c r="B4676" s="26" t="s">
        <v>26</v>
      </c>
      <c r="C4676" s="26" t="s">
        <v>3631</v>
      </c>
      <c r="D4676" s="8">
        <v>1600</v>
      </c>
      <c r="E4676" s="8"/>
      <c r="F4676" s="92">
        <f t="shared" si="62"/>
        <v>44303</v>
      </c>
    </row>
    <row r="4677" spans="1:6" x14ac:dyDescent="0.25">
      <c r="A4677" s="232">
        <v>43232</v>
      </c>
      <c r="B4677" s="26" t="s">
        <v>3633</v>
      </c>
      <c r="C4677" s="26" t="s">
        <v>3634</v>
      </c>
      <c r="D4677" s="8">
        <v>6000</v>
      </c>
      <c r="E4677" s="8"/>
      <c r="F4677" s="92">
        <f t="shared" si="62"/>
        <v>38303</v>
      </c>
    </row>
    <row r="4678" spans="1:6" ht="30" x14ac:dyDescent="0.25">
      <c r="A4678" s="232">
        <v>43232</v>
      </c>
      <c r="B4678" s="26" t="s">
        <v>59</v>
      </c>
      <c r="C4678" s="87" t="s">
        <v>3643</v>
      </c>
      <c r="D4678" s="8">
        <v>21860</v>
      </c>
      <c r="E4678" s="8"/>
      <c r="F4678" s="92">
        <f t="shared" si="62"/>
        <v>16443</v>
      </c>
    </row>
    <row r="4679" spans="1:6" x14ac:dyDescent="0.25">
      <c r="A4679" s="232">
        <v>43232</v>
      </c>
      <c r="B4679" s="26" t="s">
        <v>3412</v>
      </c>
      <c r="C4679" s="26" t="s">
        <v>3426</v>
      </c>
      <c r="D4679" s="8">
        <v>600</v>
      </c>
      <c r="E4679" s="8"/>
      <c r="F4679" s="92">
        <f t="shared" si="62"/>
        <v>15843</v>
      </c>
    </row>
    <row r="4680" spans="1:6" x14ac:dyDescent="0.25">
      <c r="A4680" s="232">
        <v>43232</v>
      </c>
      <c r="B4680" s="26" t="s">
        <v>26</v>
      </c>
      <c r="C4680" s="26" t="s">
        <v>3636</v>
      </c>
      <c r="D4680" s="8">
        <v>370</v>
      </c>
      <c r="E4680" s="8"/>
      <c r="F4680" s="92">
        <f t="shared" si="62"/>
        <v>15473</v>
      </c>
    </row>
    <row r="4681" spans="1:6" x14ac:dyDescent="0.25">
      <c r="A4681" s="232">
        <v>43232</v>
      </c>
      <c r="B4681" s="26" t="s">
        <v>26</v>
      </c>
      <c r="C4681" s="26" t="s">
        <v>3637</v>
      </c>
      <c r="D4681" s="8">
        <v>200</v>
      </c>
      <c r="E4681" s="8"/>
      <c r="F4681" s="92">
        <f t="shared" si="62"/>
        <v>15273</v>
      </c>
    </row>
    <row r="4682" spans="1:6" x14ac:dyDescent="0.25">
      <c r="A4682" s="232">
        <v>43232</v>
      </c>
      <c r="B4682" s="26" t="s">
        <v>26</v>
      </c>
      <c r="C4682" s="26" t="s">
        <v>3638</v>
      </c>
      <c r="D4682" s="8">
        <v>50</v>
      </c>
      <c r="E4682" s="8"/>
      <c r="F4682" s="92">
        <f t="shared" si="62"/>
        <v>15223</v>
      </c>
    </row>
    <row r="4683" spans="1:6" x14ac:dyDescent="0.25">
      <c r="A4683" s="232">
        <v>43232</v>
      </c>
      <c r="B4683" s="26" t="s">
        <v>26</v>
      </c>
      <c r="C4683" s="26" t="s">
        <v>3639</v>
      </c>
      <c r="D4683" s="8">
        <v>180</v>
      </c>
      <c r="E4683" s="8"/>
      <c r="F4683" s="92">
        <f t="shared" si="62"/>
        <v>15043</v>
      </c>
    </row>
    <row r="4684" spans="1:6" x14ac:dyDescent="0.25">
      <c r="A4684" s="232">
        <v>43232</v>
      </c>
      <c r="B4684" s="26" t="s">
        <v>26</v>
      </c>
      <c r="C4684" s="26" t="s">
        <v>3640</v>
      </c>
      <c r="D4684" s="8">
        <v>180</v>
      </c>
      <c r="E4684" s="8"/>
      <c r="F4684" s="92">
        <f t="shared" si="62"/>
        <v>14863</v>
      </c>
    </row>
    <row r="4685" spans="1:6" x14ac:dyDescent="0.25">
      <c r="A4685" s="232">
        <v>43232</v>
      </c>
      <c r="B4685" s="26" t="s">
        <v>26</v>
      </c>
      <c r="C4685" s="26" t="s">
        <v>3641</v>
      </c>
      <c r="D4685" s="8">
        <v>20</v>
      </c>
      <c r="E4685" s="8"/>
      <c r="F4685" s="92">
        <f t="shared" si="62"/>
        <v>14843</v>
      </c>
    </row>
    <row r="4686" spans="1:6" x14ac:dyDescent="0.25">
      <c r="A4686" s="232">
        <v>43232</v>
      </c>
      <c r="B4686" s="26" t="s">
        <v>3396</v>
      </c>
      <c r="C4686" s="26" t="s">
        <v>439</v>
      </c>
      <c r="D4686" s="8">
        <v>2000</v>
      </c>
      <c r="E4686" s="8"/>
      <c r="F4686" s="92">
        <f t="shared" si="62"/>
        <v>12843</v>
      </c>
    </row>
    <row r="4687" spans="1:6" x14ac:dyDescent="0.25">
      <c r="A4687" s="232">
        <v>43234</v>
      </c>
      <c r="B4687" s="26" t="s">
        <v>61</v>
      </c>
      <c r="C4687" s="26" t="s">
        <v>3642</v>
      </c>
      <c r="D4687" s="8">
        <v>300</v>
      </c>
      <c r="E4687" s="8"/>
      <c r="F4687" s="92">
        <f t="shared" si="62"/>
        <v>12543</v>
      </c>
    </row>
    <row r="4688" spans="1:6" ht="30" x14ac:dyDescent="0.25">
      <c r="A4688" s="232">
        <v>43234</v>
      </c>
      <c r="B4688" s="26" t="s">
        <v>59</v>
      </c>
      <c r="C4688" s="87" t="s">
        <v>3644</v>
      </c>
      <c r="D4688" s="8">
        <v>380</v>
      </c>
      <c r="E4688" s="8"/>
      <c r="F4688" s="92">
        <f t="shared" si="62"/>
        <v>12163</v>
      </c>
    </row>
    <row r="4689" spans="1:6" x14ac:dyDescent="0.25">
      <c r="A4689" s="232">
        <v>43234</v>
      </c>
      <c r="B4689" s="26" t="s">
        <v>3609</v>
      </c>
      <c r="C4689" s="26" t="s">
        <v>3656</v>
      </c>
      <c r="D4689" s="8">
        <v>3000</v>
      </c>
      <c r="E4689" s="8"/>
      <c r="F4689" s="92">
        <f t="shared" si="62"/>
        <v>9163</v>
      </c>
    </row>
    <row r="4690" spans="1:6" x14ac:dyDescent="0.25">
      <c r="A4690" s="232">
        <v>43234</v>
      </c>
      <c r="B4690" s="26" t="s">
        <v>14</v>
      </c>
      <c r="C4690" s="26" t="s">
        <v>3645</v>
      </c>
      <c r="D4690" s="8">
        <v>5000</v>
      </c>
      <c r="E4690" s="8"/>
      <c r="F4690" s="92">
        <f t="shared" si="62"/>
        <v>4163</v>
      </c>
    </row>
    <row r="4691" spans="1:6" x14ac:dyDescent="0.25">
      <c r="A4691" s="232">
        <v>43234</v>
      </c>
      <c r="B4691" s="460" t="s">
        <v>3646</v>
      </c>
      <c r="C4691" s="460"/>
      <c r="D4691" s="71"/>
      <c r="E4691" s="58">
        <v>90552</v>
      </c>
      <c r="F4691" s="92">
        <f t="shared" si="62"/>
        <v>94715</v>
      </c>
    </row>
    <row r="4692" spans="1:6" x14ac:dyDescent="0.25">
      <c r="A4692" s="232">
        <v>43234</v>
      </c>
      <c r="B4692" s="26" t="s">
        <v>59</v>
      </c>
      <c r="C4692" s="26" t="s">
        <v>3650</v>
      </c>
      <c r="D4692" s="8">
        <v>16870</v>
      </c>
      <c r="E4692" s="8"/>
      <c r="F4692" s="92">
        <f t="shared" si="62"/>
        <v>77845</v>
      </c>
    </row>
    <row r="4693" spans="1:6" x14ac:dyDescent="0.25">
      <c r="A4693" s="232">
        <v>43234</v>
      </c>
      <c r="B4693" s="26" t="s">
        <v>1840</v>
      </c>
      <c r="C4693" s="26" t="s">
        <v>3647</v>
      </c>
      <c r="D4693" s="8">
        <v>3000</v>
      </c>
      <c r="E4693" s="8"/>
      <c r="F4693" s="92">
        <f t="shared" si="62"/>
        <v>74845</v>
      </c>
    </row>
    <row r="4694" spans="1:6" x14ac:dyDescent="0.25">
      <c r="A4694" s="232">
        <v>43234</v>
      </c>
      <c r="B4694" s="26" t="s">
        <v>59</v>
      </c>
      <c r="C4694" s="26" t="s">
        <v>3648</v>
      </c>
      <c r="D4694" s="8">
        <v>4122</v>
      </c>
      <c r="E4694" s="8"/>
      <c r="F4694" s="92">
        <f t="shared" si="62"/>
        <v>70723</v>
      </c>
    </row>
    <row r="4695" spans="1:6" x14ac:dyDescent="0.25">
      <c r="A4695" s="232">
        <v>43234</v>
      </c>
      <c r="B4695" s="26" t="s">
        <v>59</v>
      </c>
      <c r="C4695" s="26" t="s">
        <v>3657</v>
      </c>
      <c r="D4695" s="8">
        <f>5000-4122</f>
        <v>878</v>
      </c>
      <c r="E4695" s="8"/>
      <c r="F4695" s="92">
        <f t="shared" si="62"/>
        <v>69845</v>
      </c>
    </row>
    <row r="4696" spans="1:6" x14ac:dyDescent="0.25">
      <c r="A4696" s="232">
        <v>43234</v>
      </c>
      <c r="B4696" s="26" t="s">
        <v>61</v>
      </c>
      <c r="C4696" s="26" t="s">
        <v>3649</v>
      </c>
      <c r="D4696" s="8">
        <f>1000+5000</f>
        <v>6000</v>
      </c>
      <c r="E4696" s="8"/>
      <c r="F4696" s="92">
        <f t="shared" si="62"/>
        <v>63845</v>
      </c>
    </row>
    <row r="4697" spans="1:6" ht="30" x14ac:dyDescent="0.25">
      <c r="A4697" s="232">
        <v>43235</v>
      </c>
      <c r="B4697" s="26" t="s">
        <v>59</v>
      </c>
      <c r="C4697" s="87" t="s">
        <v>3658</v>
      </c>
      <c r="D4697" s="8">
        <f>2490+1800+12600+250+20</f>
        <v>17160</v>
      </c>
      <c r="E4697" s="8"/>
      <c r="F4697" s="92">
        <f t="shared" si="62"/>
        <v>46685</v>
      </c>
    </row>
    <row r="4698" spans="1:6" x14ac:dyDescent="0.25">
      <c r="A4698" s="232">
        <v>43236</v>
      </c>
      <c r="B4698" s="26" t="s">
        <v>542</v>
      </c>
      <c r="C4698" s="26" t="s">
        <v>2913</v>
      </c>
      <c r="D4698" s="8">
        <v>1000</v>
      </c>
      <c r="E4698" s="8"/>
      <c r="F4698" s="92">
        <f t="shared" si="62"/>
        <v>45685</v>
      </c>
    </row>
    <row r="4699" spans="1:6" x14ac:dyDescent="0.25">
      <c r="A4699" s="232">
        <v>43236</v>
      </c>
      <c r="B4699" s="26" t="s">
        <v>14</v>
      </c>
      <c r="C4699" s="26" t="s">
        <v>3651</v>
      </c>
      <c r="D4699" s="8">
        <v>5000</v>
      </c>
      <c r="E4699" s="8"/>
      <c r="F4699" s="92">
        <f t="shared" si="62"/>
        <v>40685</v>
      </c>
    </row>
    <row r="4700" spans="1:6" x14ac:dyDescent="0.25">
      <c r="A4700" s="232">
        <v>43237</v>
      </c>
      <c r="B4700" s="26" t="s">
        <v>29</v>
      </c>
      <c r="C4700" s="26" t="s">
        <v>3652</v>
      </c>
      <c r="D4700" s="8">
        <v>1000</v>
      </c>
      <c r="E4700" s="8"/>
      <c r="F4700" s="92">
        <f t="shared" si="62"/>
        <v>39685</v>
      </c>
    </row>
    <row r="4701" spans="1:6" ht="30" x14ac:dyDescent="0.25">
      <c r="A4701" s="232">
        <v>43237</v>
      </c>
      <c r="B4701" s="26" t="s">
        <v>59</v>
      </c>
      <c r="C4701" s="87" t="s">
        <v>3664</v>
      </c>
      <c r="D4701" s="8">
        <v>11110</v>
      </c>
      <c r="E4701" s="8"/>
      <c r="F4701" s="92">
        <f t="shared" si="62"/>
        <v>28575</v>
      </c>
    </row>
    <row r="4702" spans="1:6" x14ac:dyDescent="0.25">
      <c r="A4702" s="232">
        <v>43237</v>
      </c>
      <c r="B4702" s="26" t="s">
        <v>26</v>
      </c>
      <c r="C4702" s="26" t="s">
        <v>3661</v>
      </c>
      <c r="D4702" s="8">
        <v>70</v>
      </c>
      <c r="E4702" s="8"/>
      <c r="F4702" s="92">
        <f t="shared" si="62"/>
        <v>28505</v>
      </c>
    </row>
    <row r="4703" spans="1:6" x14ac:dyDescent="0.25">
      <c r="A4703" s="232">
        <v>43237</v>
      </c>
      <c r="B4703" s="26" t="s">
        <v>3659</v>
      </c>
      <c r="C4703" s="26" t="s">
        <v>3221</v>
      </c>
      <c r="D4703" s="8">
        <v>100</v>
      </c>
      <c r="E4703" s="8"/>
      <c r="F4703" s="92">
        <f t="shared" si="62"/>
        <v>28405</v>
      </c>
    </row>
    <row r="4704" spans="1:6" x14ac:dyDescent="0.25">
      <c r="A4704" s="232">
        <v>43237</v>
      </c>
      <c r="B4704" s="26" t="s">
        <v>2677</v>
      </c>
      <c r="C4704" s="26" t="s">
        <v>3660</v>
      </c>
      <c r="D4704" s="8">
        <v>600</v>
      </c>
      <c r="E4704" s="8"/>
      <c r="F4704" s="92">
        <f t="shared" si="62"/>
        <v>27805</v>
      </c>
    </row>
    <row r="4705" spans="1:6" x14ac:dyDescent="0.25">
      <c r="A4705" s="232">
        <v>43237</v>
      </c>
      <c r="B4705" s="26" t="s">
        <v>542</v>
      </c>
      <c r="C4705" s="26" t="s">
        <v>2878</v>
      </c>
      <c r="D4705" s="8">
        <v>150</v>
      </c>
      <c r="E4705" s="8"/>
      <c r="F4705" s="92">
        <f t="shared" si="62"/>
        <v>27655</v>
      </c>
    </row>
    <row r="4706" spans="1:6" x14ac:dyDescent="0.25">
      <c r="A4706" s="232">
        <v>43237</v>
      </c>
      <c r="B4706" s="26" t="s">
        <v>542</v>
      </c>
      <c r="C4706" s="26" t="s">
        <v>3120</v>
      </c>
      <c r="D4706" s="8">
        <v>160</v>
      </c>
      <c r="E4706" s="8"/>
      <c r="F4706" s="92">
        <f t="shared" si="62"/>
        <v>27495</v>
      </c>
    </row>
    <row r="4707" spans="1:6" x14ac:dyDescent="0.25">
      <c r="A4707" s="232">
        <v>43238</v>
      </c>
      <c r="B4707" s="26" t="s">
        <v>85</v>
      </c>
      <c r="C4707" s="26" t="s">
        <v>3663</v>
      </c>
      <c r="D4707" s="8">
        <v>5000</v>
      </c>
      <c r="E4707" s="8"/>
      <c r="F4707" s="92">
        <f t="shared" si="62"/>
        <v>22495</v>
      </c>
    </row>
    <row r="4708" spans="1:6" x14ac:dyDescent="0.25">
      <c r="A4708" s="232">
        <v>43238</v>
      </c>
      <c r="B4708" s="26" t="s">
        <v>58</v>
      </c>
      <c r="C4708" s="26" t="s">
        <v>3767</v>
      </c>
      <c r="D4708" s="8">
        <v>5000</v>
      </c>
      <c r="E4708" s="8"/>
      <c r="F4708" s="92">
        <f t="shared" si="62"/>
        <v>17495</v>
      </c>
    </row>
    <row r="4709" spans="1:6" x14ac:dyDescent="0.25">
      <c r="A4709" s="232">
        <v>43238</v>
      </c>
      <c r="B4709" s="26" t="s">
        <v>17</v>
      </c>
      <c r="C4709" s="26" t="s">
        <v>3665</v>
      </c>
      <c r="D4709" s="8">
        <v>1500</v>
      </c>
      <c r="E4709" s="8"/>
      <c r="F4709" s="92">
        <f t="shared" si="62"/>
        <v>15995</v>
      </c>
    </row>
    <row r="4710" spans="1:6" ht="30" x14ac:dyDescent="0.25">
      <c r="A4710" s="232">
        <v>43238</v>
      </c>
      <c r="B4710" s="26" t="s">
        <v>59</v>
      </c>
      <c r="C4710" s="87" t="s">
        <v>3666</v>
      </c>
      <c r="D4710" s="8">
        <v>8000</v>
      </c>
      <c r="E4710" s="8"/>
      <c r="F4710" s="92">
        <f t="shared" si="62"/>
        <v>7995</v>
      </c>
    </row>
    <row r="4711" spans="1:6" x14ac:dyDescent="0.25">
      <c r="A4711" s="232">
        <v>43238</v>
      </c>
      <c r="B4711" s="26" t="s">
        <v>14</v>
      </c>
      <c r="C4711" s="26" t="s">
        <v>3509</v>
      </c>
      <c r="D4711" s="8">
        <v>7000</v>
      </c>
      <c r="E4711" s="8"/>
      <c r="F4711" s="92">
        <f t="shared" si="62"/>
        <v>995</v>
      </c>
    </row>
    <row r="4712" spans="1:6" x14ac:dyDescent="0.25">
      <c r="A4712" s="232">
        <v>43242</v>
      </c>
      <c r="B4712" s="460" t="s">
        <v>3448</v>
      </c>
      <c r="C4712" s="460"/>
      <c r="D4712" s="71"/>
      <c r="E4712" s="58">
        <v>50000</v>
      </c>
      <c r="F4712" s="92">
        <f t="shared" si="62"/>
        <v>50995</v>
      </c>
    </row>
    <row r="4713" spans="1:6" x14ac:dyDescent="0.25">
      <c r="A4713" s="232">
        <v>43242</v>
      </c>
      <c r="B4713" s="26" t="s">
        <v>59</v>
      </c>
      <c r="C4713" s="26" t="s">
        <v>3668</v>
      </c>
      <c r="D4713" s="8">
        <v>21785</v>
      </c>
      <c r="E4713" s="8"/>
      <c r="F4713" s="92">
        <f t="shared" si="62"/>
        <v>29210</v>
      </c>
    </row>
    <row r="4714" spans="1:6" x14ac:dyDescent="0.25">
      <c r="A4714" s="232">
        <v>43242</v>
      </c>
      <c r="B4714" s="26" t="s">
        <v>0</v>
      </c>
      <c r="C4714" s="26" t="s">
        <v>3667</v>
      </c>
      <c r="D4714" s="8">
        <v>1000</v>
      </c>
      <c r="E4714" s="8"/>
      <c r="F4714" s="92">
        <f t="shared" ref="F4714:F4730" si="63">F4713-D4714+E4714</f>
        <v>28210</v>
      </c>
    </row>
    <row r="4715" spans="1:6" x14ac:dyDescent="0.25">
      <c r="A4715" s="232">
        <v>43242</v>
      </c>
      <c r="B4715" s="26" t="s">
        <v>3224</v>
      </c>
      <c r="C4715" s="26" t="s">
        <v>3669</v>
      </c>
      <c r="D4715" s="8">
        <v>11000</v>
      </c>
      <c r="E4715" s="8"/>
      <c r="F4715" s="92">
        <f t="shared" si="63"/>
        <v>17210</v>
      </c>
    </row>
    <row r="4716" spans="1:6" x14ac:dyDescent="0.25">
      <c r="A4716" s="232">
        <v>43242</v>
      </c>
      <c r="B4716" s="26" t="s">
        <v>1196</v>
      </c>
      <c r="C4716" s="26" t="s">
        <v>3670</v>
      </c>
      <c r="D4716" s="8">
        <v>2000</v>
      </c>
      <c r="E4716" s="8"/>
      <c r="F4716" s="92">
        <f t="shared" si="63"/>
        <v>15210</v>
      </c>
    </row>
    <row r="4717" spans="1:6" ht="30" x14ac:dyDescent="0.25">
      <c r="A4717" s="232">
        <v>43242</v>
      </c>
      <c r="B4717" s="26" t="s">
        <v>26</v>
      </c>
      <c r="C4717" s="87" t="s">
        <v>3674</v>
      </c>
      <c r="D4717" s="8">
        <v>1000</v>
      </c>
      <c r="E4717" s="8"/>
      <c r="F4717" s="92">
        <f t="shared" si="63"/>
        <v>14210</v>
      </c>
    </row>
    <row r="4718" spans="1:6" x14ac:dyDescent="0.25">
      <c r="A4718" s="232">
        <v>43242</v>
      </c>
      <c r="B4718" s="26" t="s">
        <v>59</v>
      </c>
      <c r="C4718" s="26" t="s">
        <v>3671</v>
      </c>
      <c r="D4718" s="8">
        <v>2000</v>
      </c>
      <c r="E4718" s="8"/>
      <c r="F4718" s="92">
        <f t="shared" si="63"/>
        <v>12210</v>
      </c>
    </row>
    <row r="4719" spans="1:6" x14ac:dyDescent="0.25">
      <c r="A4719" s="232">
        <v>43242</v>
      </c>
      <c r="B4719" s="26" t="s">
        <v>2333</v>
      </c>
      <c r="C4719" s="26" t="s">
        <v>3672</v>
      </c>
      <c r="D4719" s="8">
        <v>2630</v>
      </c>
      <c r="E4719" s="8"/>
      <c r="F4719" s="92">
        <f t="shared" si="63"/>
        <v>9580</v>
      </c>
    </row>
    <row r="4720" spans="1:6" x14ac:dyDescent="0.25">
      <c r="A4720" s="232">
        <v>43242</v>
      </c>
      <c r="B4720" s="26" t="s">
        <v>1196</v>
      </c>
      <c r="C4720" s="26" t="s">
        <v>3673</v>
      </c>
      <c r="D4720" s="8">
        <v>8000</v>
      </c>
      <c r="E4720" s="8"/>
      <c r="F4720" s="92">
        <f t="shared" si="63"/>
        <v>1580</v>
      </c>
    </row>
    <row r="4721" spans="1:6" x14ac:dyDescent="0.25">
      <c r="A4721" s="232">
        <v>43242</v>
      </c>
      <c r="B4721" s="26" t="s">
        <v>248</v>
      </c>
      <c r="C4721" s="26" t="s">
        <v>3675</v>
      </c>
      <c r="D4721" s="8">
        <v>50</v>
      </c>
      <c r="E4721" s="8"/>
      <c r="F4721" s="92">
        <f t="shared" si="63"/>
        <v>1530</v>
      </c>
    </row>
    <row r="4722" spans="1:6" x14ac:dyDescent="0.25">
      <c r="A4722" s="232">
        <v>43244</v>
      </c>
      <c r="B4722" s="26" t="s">
        <v>248</v>
      </c>
      <c r="C4722" s="26" t="s">
        <v>3676</v>
      </c>
      <c r="D4722" s="8">
        <v>120</v>
      </c>
      <c r="E4722" s="8"/>
      <c r="F4722" s="92">
        <f t="shared" si="63"/>
        <v>1410</v>
      </c>
    </row>
    <row r="4723" spans="1:6" x14ac:dyDescent="0.25">
      <c r="A4723" s="232">
        <v>43244</v>
      </c>
      <c r="B4723" s="460" t="s">
        <v>3677</v>
      </c>
      <c r="C4723" s="460"/>
      <c r="D4723" s="71"/>
      <c r="E4723" s="58">
        <v>75000</v>
      </c>
      <c r="F4723" s="92">
        <f t="shared" si="63"/>
        <v>76410</v>
      </c>
    </row>
    <row r="4724" spans="1:6" ht="30" x14ac:dyDescent="0.25">
      <c r="A4724" s="232">
        <v>43244</v>
      </c>
      <c r="B4724" s="26" t="s">
        <v>59</v>
      </c>
      <c r="C4724" s="87" t="s">
        <v>3678</v>
      </c>
      <c r="D4724" s="8">
        <v>32560</v>
      </c>
      <c r="E4724" s="8"/>
      <c r="F4724" s="92">
        <f t="shared" si="63"/>
        <v>43850</v>
      </c>
    </row>
    <row r="4725" spans="1:6" x14ac:dyDescent="0.25">
      <c r="A4725" s="232">
        <v>43244</v>
      </c>
      <c r="B4725" s="26" t="s">
        <v>85</v>
      </c>
      <c r="C4725" s="26" t="s">
        <v>3694</v>
      </c>
      <c r="D4725" s="8">
        <v>1000</v>
      </c>
      <c r="E4725" s="8"/>
      <c r="F4725" s="92">
        <f t="shared" si="63"/>
        <v>42850</v>
      </c>
    </row>
    <row r="4726" spans="1:6" x14ac:dyDescent="0.25">
      <c r="A4726" s="232">
        <v>43244</v>
      </c>
      <c r="B4726" s="26" t="s">
        <v>14</v>
      </c>
      <c r="C4726" s="26" t="s">
        <v>1052</v>
      </c>
      <c r="D4726" s="8">
        <v>1000</v>
      </c>
      <c r="E4726" s="8"/>
      <c r="F4726" s="92">
        <f t="shared" si="63"/>
        <v>41850</v>
      </c>
    </row>
    <row r="4727" spans="1:6" x14ac:dyDescent="0.25">
      <c r="A4727" s="232">
        <v>43244</v>
      </c>
      <c r="B4727" s="26" t="s">
        <v>85</v>
      </c>
      <c r="C4727" s="26" t="s">
        <v>3679</v>
      </c>
      <c r="D4727" s="8">
        <v>1000</v>
      </c>
      <c r="E4727" s="8"/>
      <c r="F4727" s="92">
        <f t="shared" si="63"/>
        <v>40850</v>
      </c>
    </row>
    <row r="4728" spans="1:6" x14ac:dyDescent="0.25">
      <c r="A4728" s="232">
        <v>43244</v>
      </c>
      <c r="B4728" s="26" t="s">
        <v>2333</v>
      </c>
      <c r="C4728" s="26" t="s">
        <v>3680</v>
      </c>
      <c r="D4728" s="8">
        <v>2635</v>
      </c>
      <c r="E4728" s="8"/>
      <c r="F4728" s="92">
        <f t="shared" si="63"/>
        <v>38215</v>
      </c>
    </row>
    <row r="4729" spans="1:6" ht="30" x14ac:dyDescent="0.25">
      <c r="A4729" s="232">
        <v>43244</v>
      </c>
      <c r="B4729" s="26" t="s">
        <v>1346</v>
      </c>
      <c r="C4729" s="87" t="s">
        <v>3681</v>
      </c>
      <c r="D4729" s="8">
        <v>3000</v>
      </c>
      <c r="E4729" s="8"/>
      <c r="F4729" s="92">
        <f t="shared" si="63"/>
        <v>35215</v>
      </c>
    </row>
    <row r="4730" spans="1:6" x14ac:dyDescent="0.25">
      <c r="A4730" s="232">
        <v>43244</v>
      </c>
      <c r="B4730" s="26" t="s">
        <v>29</v>
      </c>
      <c r="C4730" s="26" t="s">
        <v>3682</v>
      </c>
      <c r="D4730" s="8">
        <v>18000</v>
      </c>
      <c r="E4730" s="8"/>
      <c r="F4730" s="92">
        <f t="shared" si="63"/>
        <v>17215</v>
      </c>
    </row>
    <row r="4731" spans="1:6" x14ac:dyDescent="0.25">
      <c r="A4731" s="232">
        <v>43244</v>
      </c>
      <c r="B4731" s="26" t="s">
        <v>85</v>
      </c>
      <c r="C4731" s="26" t="s">
        <v>3683</v>
      </c>
      <c r="D4731" s="8">
        <v>2000</v>
      </c>
      <c r="E4731" s="8"/>
      <c r="F4731" s="92">
        <f t="shared" ref="F4731:F4821" si="64">F4730-D4731+E4731</f>
        <v>15215</v>
      </c>
    </row>
    <row r="4732" spans="1:6" x14ac:dyDescent="0.25">
      <c r="A4732" s="232">
        <v>43244</v>
      </c>
      <c r="B4732" s="26" t="s">
        <v>59</v>
      </c>
      <c r="C4732" s="26" t="s">
        <v>3684</v>
      </c>
      <c r="D4732" s="8">
        <v>50</v>
      </c>
      <c r="E4732" s="8"/>
      <c r="F4732" s="92">
        <f t="shared" si="64"/>
        <v>15165</v>
      </c>
    </row>
    <row r="4733" spans="1:6" x14ac:dyDescent="0.25">
      <c r="A4733" s="232">
        <v>43245</v>
      </c>
      <c r="B4733" s="26" t="s">
        <v>14</v>
      </c>
      <c r="C4733" s="26" t="s">
        <v>3685</v>
      </c>
      <c r="D4733" s="8">
        <v>10000</v>
      </c>
      <c r="E4733" s="8"/>
      <c r="F4733" s="92">
        <f t="shared" si="64"/>
        <v>5165</v>
      </c>
    </row>
    <row r="4734" spans="1:6" x14ac:dyDescent="0.25">
      <c r="A4734" s="232">
        <v>43245</v>
      </c>
      <c r="B4734" s="26" t="s">
        <v>59</v>
      </c>
      <c r="C4734" s="26" t="s">
        <v>3686</v>
      </c>
      <c r="D4734" s="8">
        <v>2000</v>
      </c>
      <c r="E4734" s="8"/>
      <c r="F4734" s="92">
        <f t="shared" si="64"/>
        <v>3165</v>
      </c>
    </row>
    <row r="4735" spans="1:6" x14ac:dyDescent="0.25">
      <c r="A4735" s="232">
        <v>43246</v>
      </c>
      <c r="B4735" s="26" t="s">
        <v>0</v>
      </c>
      <c r="C4735" s="26" t="s">
        <v>3509</v>
      </c>
      <c r="D4735" s="8">
        <v>1000</v>
      </c>
      <c r="E4735" s="8"/>
      <c r="F4735" s="92">
        <f t="shared" si="64"/>
        <v>2165</v>
      </c>
    </row>
    <row r="4736" spans="1:6" x14ac:dyDescent="0.25">
      <c r="A4736" s="232">
        <v>43246</v>
      </c>
      <c r="B4736" s="26" t="s">
        <v>59</v>
      </c>
      <c r="C4736" s="26" t="s">
        <v>3687</v>
      </c>
      <c r="D4736" s="8">
        <v>100</v>
      </c>
      <c r="E4736" s="8"/>
      <c r="F4736" s="92">
        <f t="shared" si="64"/>
        <v>2065</v>
      </c>
    </row>
    <row r="4737" spans="1:10" x14ac:dyDescent="0.25">
      <c r="A4737" s="232">
        <v>43246</v>
      </c>
      <c r="B4737" s="26" t="s">
        <v>59</v>
      </c>
      <c r="C4737" s="26" t="s">
        <v>3693</v>
      </c>
      <c r="D4737" s="8">
        <v>50</v>
      </c>
      <c r="E4737" s="8"/>
      <c r="F4737" s="92">
        <f t="shared" si="64"/>
        <v>2015</v>
      </c>
    </row>
    <row r="4738" spans="1:10" x14ac:dyDescent="0.25">
      <c r="A4738" s="232">
        <v>43246</v>
      </c>
      <c r="B4738" s="460" t="s">
        <v>3689</v>
      </c>
      <c r="C4738" s="460"/>
      <c r="D4738" s="71"/>
      <c r="E4738" s="58">
        <v>15000</v>
      </c>
      <c r="F4738" s="92">
        <f t="shared" si="64"/>
        <v>17015</v>
      </c>
    </row>
    <row r="4739" spans="1:10" ht="30" x14ac:dyDescent="0.25">
      <c r="A4739" s="232">
        <v>43246</v>
      </c>
      <c r="B4739" s="26" t="s">
        <v>59</v>
      </c>
      <c r="C4739" s="87" t="s">
        <v>3688</v>
      </c>
      <c r="D4739" s="8">
        <v>14030</v>
      </c>
      <c r="E4739" s="8"/>
      <c r="F4739" s="92">
        <f t="shared" si="64"/>
        <v>2985</v>
      </c>
    </row>
    <row r="4740" spans="1:10" x14ac:dyDescent="0.25">
      <c r="A4740" s="232">
        <v>43246</v>
      </c>
      <c r="B4740" s="26" t="s">
        <v>14</v>
      </c>
      <c r="C4740" s="87" t="s">
        <v>641</v>
      </c>
      <c r="D4740" s="8">
        <v>500</v>
      </c>
      <c r="E4740" s="8"/>
      <c r="F4740" s="92">
        <f t="shared" si="64"/>
        <v>2485</v>
      </c>
    </row>
    <row r="4741" spans="1:10" x14ac:dyDescent="0.25">
      <c r="A4741" s="232">
        <v>43246</v>
      </c>
      <c r="B4741" s="26" t="s">
        <v>542</v>
      </c>
      <c r="C4741" s="87" t="s">
        <v>641</v>
      </c>
      <c r="D4741" s="8">
        <v>600</v>
      </c>
      <c r="E4741" s="8"/>
      <c r="F4741" s="92">
        <f t="shared" si="64"/>
        <v>1885</v>
      </c>
    </row>
    <row r="4742" spans="1:10" ht="30" x14ac:dyDescent="0.25">
      <c r="A4742" s="232">
        <v>43246</v>
      </c>
      <c r="B4742" s="26" t="s">
        <v>26</v>
      </c>
      <c r="C4742" s="87" t="s">
        <v>3690</v>
      </c>
      <c r="D4742" s="8">
        <v>313</v>
      </c>
      <c r="E4742" s="8"/>
      <c r="F4742" s="92">
        <f t="shared" si="64"/>
        <v>1572</v>
      </c>
    </row>
    <row r="4743" spans="1:10" x14ac:dyDescent="0.25">
      <c r="A4743" s="232">
        <v>43246</v>
      </c>
      <c r="B4743" s="26" t="s">
        <v>3691</v>
      </c>
      <c r="C4743" s="87" t="s">
        <v>3692</v>
      </c>
      <c r="D4743" s="8">
        <v>450</v>
      </c>
      <c r="E4743" s="8"/>
      <c r="F4743" s="92">
        <f t="shared" si="64"/>
        <v>1122</v>
      </c>
    </row>
    <row r="4744" spans="1:10" ht="30" x14ac:dyDescent="0.25">
      <c r="A4744" s="232">
        <v>43246</v>
      </c>
      <c r="B4744" s="26" t="s">
        <v>2089</v>
      </c>
      <c r="C4744" s="87" t="s">
        <v>3695</v>
      </c>
      <c r="D4744" s="8">
        <v>100</v>
      </c>
      <c r="E4744" s="8"/>
      <c r="F4744" s="92">
        <f t="shared" si="64"/>
        <v>1022</v>
      </c>
    </row>
    <row r="4745" spans="1:10" x14ac:dyDescent="0.25">
      <c r="A4745" s="232">
        <v>43250</v>
      </c>
      <c r="B4745" s="460" t="s">
        <v>3448</v>
      </c>
      <c r="C4745" s="460"/>
      <c r="D4745" s="71"/>
      <c r="E4745" s="58">
        <v>50000</v>
      </c>
      <c r="F4745" s="92">
        <f t="shared" si="64"/>
        <v>51022</v>
      </c>
    </row>
    <row r="4746" spans="1:10" s="20" customFormat="1" x14ac:dyDescent="0.25">
      <c r="A4746" s="204">
        <v>43250</v>
      </c>
      <c r="B4746" s="84" t="s">
        <v>59</v>
      </c>
      <c r="C4746" s="84" t="s">
        <v>3765</v>
      </c>
      <c r="D4746" s="81">
        <v>4000</v>
      </c>
      <c r="E4746" s="41"/>
      <c r="F4746" s="92">
        <f t="shared" si="64"/>
        <v>47022</v>
      </c>
      <c r="H4746" s="24"/>
      <c r="I4746" s="24"/>
      <c r="J4746" s="24"/>
    </row>
    <row r="4747" spans="1:10" s="20" customFormat="1" x14ac:dyDescent="0.25">
      <c r="A4747" s="204">
        <v>43250</v>
      </c>
      <c r="B4747" s="84" t="s">
        <v>3696</v>
      </c>
      <c r="C4747" s="84" t="s">
        <v>3748</v>
      </c>
      <c r="D4747" s="81">
        <v>5000</v>
      </c>
      <c r="E4747" s="41"/>
      <c r="F4747" s="92">
        <f t="shared" si="64"/>
        <v>42022</v>
      </c>
      <c r="H4747" s="24"/>
      <c r="I4747" s="24"/>
      <c r="J4747" s="24"/>
    </row>
    <row r="4748" spans="1:10" s="20" customFormat="1" x14ac:dyDescent="0.25">
      <c r="A4748" s="204">
        <v>43250</v>
      </c>
      <c r="B4748" s="84" t="s">
        <v>2573</v>
      </c>
      <c r="C4748" s="84" t="s">
        <v>3697</v>
      </c>
      <c r="D4748" s="81">
        <v>290</v>
      </c>
      <c r="E4748" s="41"/>
      <c r="F4748" s="92">
        <f t="shared" si="64"/>
        <v>41732</v>
      </c>
      <c r="H4748" s="24"/>
      <c r="I4748" s="24"/>
      <c r="J4748" s="24"/>
    </row>
    <row r="4749" spans="1:10" s="20" customFormat="1" x14ac:dyDescent="0.25">
      <c r="A4749" s="204">
        <v>43250</v>
      </c>
      <c r="B4749" s="84" t="s">
        <v>2573</v>
      </c>
      <c r="C4749" s="84" t="s">
        <v>3698</v>
      </c>
      <c r="D4749" s="81">
        <v>190</v>
      </c>
      <c r="E4749" s="41"/>
      <c r="F4749" s="92">
        <f t="shared" si="64"/>
        <v>41542</v>
      </c>
      <c r="H4749" s="24"/>
      <c r="I4749" s="24"/>
      <c r="J4749" s="24"/>
    </row>
    <row r="4750" spans="1:10" s="20" customFormat="1" ht="30" x14ac:dyDescent="0.25">
      <c r="A4750" s="204">
        <v>43250</v>
      </c>
      <c r="B4750" s="84" t="s">
        <v>106</v>
      </c>
      <c r="C4750" s="96" t="s">
        <v>3699</v>
      </c>
      <c r="D4750" s="81">
        <f>970+110+150</f>
        <v>1230</v>
      </c>
      <c r="E4750" s="41"/>
      <c r="F4750" s="92">
        <f t="shared" si="64"/>
        <v>40312</v>
      </c>
      <c r="H4750" s="24"/>
      <c r="I4750" s="24"/>
      <c r="J4750" s="24"/>
    </row>
    <row r="4751" spans="1:10" s="20" customFormat="1" x14ac:dyDescent="0.25">
      <c r="A4751" s="204">
        <v>43250</v>
      </c>
      <c r="B4751" s="84" t="s">
        <v>85</v>
      </c>
      <c r="C4751" s="84" t="s">
        <v>3700</v>
      </c>
      <c r="D4751" s="81">
        <v>5000</v>
      </c>
      <c r="E4751" s="41"/>
      <c r="F4751" s="92">
        <f t="shared" si="64"/>
        <v>35312</v>
      </c>
      <c r="H4751" s="24"/>
      <c r="I4751" s="24"/>
      <c r="J4751" s="24"/>
    </row>
    <row r="4752" spans="1:10" s="20" customFormat="1" x14ac:dyDescent="0.25">
      <c r="A4752" s="204">
        <v>43251</v>
      </c>
      <c r="B4752" s="84" t="s">
        <v>59</v>
      </c>
      <c r="C4752" s="84" t="s">
        <v>3766</v>
      </c>
      <c r="D4752" s="81">
        <v>22000</v>
      </c>
      <c r="E4752" s="41"/>
      <c r="F4752" s="92">
        <f t="shared" si="64"/>
        <v>13312</v>
      </c>
      <c r="H4752" s="24"/>
      <c r="I4752" s="24"/>
      <c r="J4752" s="24"/>
    </row>
    <row r="4753" spans="1:10" s="20" customFormat="1" x14ac:dyDescent="0.25">
      <c r="A4753" s="204">
        <v>43251</v>
      </c>
      <c r="B4753" s="84" t="s">
        <v>85</v>
      </c>
      <c r="C4753" s="84" t="s">
        <v>3701</v>
      </c>
      <c r="D4753" s="81">
        <v>200</v>
      </c>
      <c r="E4753" s="41"/>
      <c r="F4753" s="92">
        <f t="shared" si="64"/>
        <v>13112</v>
      </c>
      <c r="H4753" s="24"/>
      <c r="I4753" s="24"/>
      <c r="J4753" s="24"/>
    </row>
    <row r="4754" spans="1:10" s="20" customFormat="1" x14ac:dyDescent="0.25">
      <c r="A4754" s="204">
        <v>43251</v>
      </c>
      <c r="B4754" s="84" t="s">
        <v>1346</v>
      </c>
      <c r="C4754" s="84" t="s">
        <v>3753</v>
      </c>
      <c r="D4754" s="81">
        <v>10000</v>
      </c>
      <c r="E4754" s="41"/>
      <c r="F4754" s="92">
        <f t="shared" si="64"/>
        <v>3112</v>
      </c>
      <c r="H4754" s="24"/>
      <c r="I4754" s="24"/>
      <c r="J4754" s="24"/>
    </row>
    <row r="4755" spans="1:10" s="20" customFormat="1" x14ac:dyDescent="0.25">
      <c r="A4755" s="204">
        <v>43251</v>
      </c>
      <c r="B4755" s="84" t="s">
        <v>14</v>
      </c>
      <c r="C4755" s="84" t="s">
        <v>3509</v>
      </c>
      <c r="D4755" s="81">
        <v>2000</v>
      </c>
      <c r="E4755" s="41"/>
      <c r="F4755" s="92">
        <f t="shared" si="64"/>
        <v>1112</v>
      </c>
      <c r="H4755" s="24"/>
      <c r="I4755" s="24"/>
      <c r="J4755" s="24"/>
    </row>
    <row r="4756" spans="1:10" x14ac:dyDescent="0.25">
      <c r="A4756" s="204">
        <v>43252</v>
      </c>
      <c r="B4756" s="460" t="s">
        <v>3702</v>
      </c>
      <c r="C4756" s="460"/>
      <c r="D4756" s="71"/>
      <c r="E4756" s="58">
        <v>89000</v>
      </c>
      <c r="F4756" s="92">
        <f t="shared" si="64"/>
        <v>90112</v>
      </c>
    </row>
    <row r="4757" spans="1:10" x14ac:dyDescent="0.25">
      <c r="A4757" s="204">
        <v>43252</v>
      </c>
      <c r="B4757" s="26" t="s">
        <v>3703</v>
      </c>
      <c r="C4757" s="26" t="s">
        <v>3704</v>
      </c>
      <c r="D4757" s="8">
        <v>16800</v>
      </c>
      <c r="E4757" s="8"/>
      <c r="F4757" s="92">
        <f t="shared" si="64"/>
        <v>73312</v>
      </c>
    </row>
    <row r="4758" spans="1:10" x14ac:dyDescent="0.25">
      <c r="A4758" s="204">
        <v>43252</v>
      </c>
      <c r="B4758" s="26" t="s">
        <v>49</v>
      </c>
      <c r="C4758" s="26" t="s">
        <v>3749</v>
      </c>
      <c r="D4758" s="8">
        <v>3460</v>
      </c>
      <c r="E4758" s="8"/>
      <c r="F4758" s="92">
        <f t="shared" si="64"/>
        <v>69852</v>
      </c>
    </row>
    <row r="4759" spans="1:10" x14ac:dyDescent="0.25">
      <c r="A4759" s="204">
        <v>43252</v>
      </c>
      <c r="B4759" s="26" t="s">
        <v>1346</v>
      </c>
      <c r="C4759" s="26" t="s">
        <v>3750</v>
      </c>
      <c r="D4759" s="8">
        <v>10000</v>
      </c>
      <c r="E4759" s="8"/>
      <c r="F4759" s="92">
        <f t="shared" si="64"/>
        <v>59852</v>
      </c>
    </row>
    <row r="4760" spans="1:10" x14ac:dyDescent="0.25">
      <c r="A4760" s="204">
        <v>43252</v>
      </c>
      <c r="B4760" s="26" t="s">
        <v>57</v>
      </c>
      <c r="C4760" s="26" t="s">
        <v>3751</v>
      </c>
      <c r="D4760" s="8">
        <v>5000</v>
      </c>
      <c r="E4760" s="8"/>
      <c r="F4760" s="92">
        <f t="shared" si="64"/>
        <v>54852</v>
      </c>
    </row>
    <row r="4761" spans="1:10" x14ac:dyDescent="0.25">
      <c r="A4761" s="204">
        <v>43252</v>
      </c>
      <c r="B4761" s="26" t="s">
        <v>2333</v>
      </c>
      <c r="C4761" s="26" t="s">
        <v>2016</v>
      </c>
      <c r="D4761" s="8">
        <v>3000</v>
      </c>
      <c r="E4761" s="8"/>
      <c r="F4761" s="92">
        <f t="shared" si="64"/>
        <v>51852</v>
      </c>
    </row>
    <row r="4762" spans="1:10" x14ac:dyDescent="0.25">
      <c r="A4762" s="204">
        <v>43252</v>
      </c>
      <c r="B4762" s="26" t="s">
        <v>2597</v>
      </c>
      <c r="C4762" s="26" t="s">
        <v>3705</v>
      </c>
      <c r="D4762" s="8">
        <v>30000</v>
      </c>
      <c r="E4762" s="8"/>
      <c r="F4762" s="92">
        <f t="shared" si="64"/>
        <v>21852</v>
      </c>
    </row>
    <row r="4763" spans="1:10" x14ac:dyDescent="0.25">
      <c r="A4763" s="204">
        <v>43252</v>
      </c>
      <c r="B4763" s="26" t="s">
        <v>59</v>
      </c>
      <c r="C4763" s="26" t="s">
        <v>3752</v>
      </c>
      <c r="D4763" s="8">
        <v>300</v>
      </c>
      <c r="E4763" s="8"/>
      <c r="F4763" s="92">
        <f t="shared" si="64"/>
        <v>21552</v>
      </c>
    </row>
    <row r="4764" spans="1:10" x14ac:dyDescent="0.25">
      <c r="A4764" s="204">
        <v>43253</v>
      </c>
      <c r="B4764" s="26" t="s">
        <v>59</v>
      </c>
      <c r="C4764" s="29" t="s">
        <v>3561</v>
      </c>
      <c r="D4764" s="8">
        <v>10750</v>
      </c>
      <c r="E4764" s="8"/>
      <c r="F4764" s="92">
        <f t="shared" si="64"/>
        <v>10802</v>
      </c>
    </row>
    <row r="4765" spans="1:10" x14ac:dyDescent="0.25">
      <c r="A4765" s="204">
        <v>43253</v>
      </c>
      <c r="B4765" s="26" t="s">
        <v>3224</v>
      </c>
      <c r="C4765" s="26" t="s">
        <v>3706</v>
      </c>
      <c r="D4765" s="8">
        <v>3000</v>
      </c>
      <c r="E4765" s="8"/>
      <c r="F4765" s="92">
        <f t="shared" si="64"/>
        <v>7802</v>
      </c>
    </row>
    <row r="4766" spans="1:10" x14ac:dyDescent="0.25">
      <c r="A4766" s="204">
        <v>43253</v>
      </c>
      <c r="B4766" s="26" t="s">
        <v>1619</v>
      </c>
      <c r="C4766" s="26" t="s">
        <v>3414</v>
      </c>
      <c r="D4766" s="8">
        <v>520</v>
      </c>
      <c r="E4766" s="8"/>
      <c r="F4766" s="92">
        <f t="shared" si="64"/>
        <v>7282</v>
      </c>
    </row>
    <row r="4767" spans="1:10" x14ac:dyDescent="0.25">
      <c r="A4767" s="204">
        <v>43253</v>
      </c>
      <c r="B4767" s="26" t="s">
        <v>1619</v>
      </c>
      <c r="C4767" s="26" t="s">
        <v>3707</v>
      </c>
      <c r="D4767" s="8">
        <v>1500</v>
      </c>
      <c r="E4767" s="8"/>
      <c r="F4767" s="92">
        <f t="shared" si="64"/>
        <v>5782</v>
      </c>
    </row>
    <row r="4768" spans="1:10" x14ac:dyDescent="0.25">
      <c r="A4768" s="204">
        <v>43253</v>
      </c>
      <c r="B4768" s="26" t="s">
        <v>14</v>
      </c>
      <c r="C4768" s="26" t="s">
        <v>295</v>
      </c>
      <c r="D4768" s="8">
        <v>5500</v>
      </c>
      <c r="E4768" s="8"/>
      <c r="F4768" s="92">
        <f t="shared" si="64"/>
        <v>282</v>
      </c>
    </row>
    <row r="4769" spans="1:6" x14ac:dyDescent="0.25">
      <c r="A4769" s="204">
        <v>43253</v>
      </c>
      <c r="B4769" s="26" t="s">
        <v>3708</v>
      </c>
      <c r="C4769" s="26" t="s">
        <v>3710</v>
      </c>
      <c r="D4769" s="8">
        <v>150</v>
      </c>
      <c r="E4769" s="8"/>
      <c r="F4769" s="92">
        <f t="shared" si="64"/>
        <v>132</v>
      </c>
    </row>
    <row r="4770" spans="1:6" x14ac:dyDescent="0.25">
      <c r="A4770" s="204">
        <v>43252</v>
      </c>
      <c r="B4770" s="460" t="s">
        <v>3714</v>
      </c>
      <c r="C4770" s="460"/>
      <c r="D4770" s="71"/>
      <c r="E4770" s="58">
        <v>50000</v>
      </c>
      <c r="F4770" s="92">
        <f>F4769-D4770+E4770</f>
        <v>50132</v>
      </c>
    </row>
    <row r="4771" spans="1:6" x14ac:dyDescent="0.25">
      <c r="A4771" s="204">
        <v>43255</v>
      </c>
      <c r="B4771" s="26" t="s">
        <v>26</v>
      </c>
      <c r="C4771" s="26" t="s">
        <v>3709</v>
      </c>
      <c r="D4771" s="8">
        <v>430</v>
      </c>
      <c r="E4771" s="8"/>
      <c r="F4771" s="92">
        <f>F4770-D4771+E4771</f>
        <v>49702</v>
      </c>
    </row>
    <row r="4772" spans="1:6" x14ac:dyDescent="0.25">
      <c r="A4772" s="204">
        <v>43255</v>
      </c>
      <c r="B4772" s="26" t="s">
        <v>2677</v>
      </c>
      <c r="C4772" s="26" t="s">
        <v>3221</v>
      </c>
      <c r="D4772" s="8">
        <v>100</v>
      </c>
      <c r="E4772" s="8"/>
      <c r="F4772" s="92">
        <f t="shared" si="64"/>
        <v>49602</v>
      </c>
    </row>
    <row r="4773" spans="1:6" x14ac:dyDescent="0.25">
      <c r="A4773" s="204">
        <v>43255</v>
      </c>
      <c r="B4773" s="26" t="s">
        <v>59</v>
      </c>
      <c r="C4773" s="26" t="s">
        <v>3712</v>
      </c>
      <c r="D4773" s="8">
        <v>120</v>
      </c>
      <c r="E4773" s="8"/>
      <c r="F4773" s="92">
        <f t="shared" si="64"/>
        <v>49482</v>
      </c>
    </row>
    <row r="4774" spans="1:6" x14ac:dyDescent="0.25">
      <c r="A4774" s="204">
        <v>43255</v>
      </c>
      <c r="B4774" s="26" t="s">
        <v>59</v>
      </c>
      <c r="C4774" s="26" t="s">
        <v>3711</v>
      </c>
      <c r="D4774" s="8">
        <v>120</v>
      </c>
      <c r="E4774" s="8"/>
      <c r="F4774" s="92">
        <f t="shared" si="64"/>
        <v>49362</v>
      </c>
    </row>
    <row r="4775" spans="1:6" ht="30" x14ac:dyDescent="0.25">
      <c r="A4775" s="204">
        <v>43255</v>
      </c>
      <c r="B4775" s="26" t="s">
        <v>3609</v>
      </c>
      <c r="C4775" s="87" t="s">
        <v>3713</v>
      </c>
      <c r="D4775" s="8">
        <v>220</v>
      </c>
      <c r="E4775" s="8"/>
      <c r="F4775" s="92">
        <f t="shared" si="64"/>
        <v>49142</v>
      </c>
    </row>
    <row r="4776" spans="1:6" x14ac:dyDescent="0.25">
      <c r="A4776" s="204">
        <v>43257</v>
      </c>
      <c r="B4776" s="26" t="s">
        <v>17</v>
      </c>
      <c r="C4776" s="26" t="s">
        <v>3754</v>
      </c>
      <c r="D4776" s="8">
        <v>10000</v>
      </c>
      <c r="E4776" s="8"/>
      <c r="F4776" s="92">
        <f t="shared" si="64"/>
        <v>39142</v>
      </c>
    </row>
    <row r="4777" spans="1:6" x14ac:dyDescent="0.25">
      <c r="A4777" s="204">
        <v>43257</v>
      </c>
      <c r="B4777" s="26" t="s">
        <v>2333</v>
      </c>
      <c r="C4777" s="26" t="s">
        <v>3715</v>
      </c>
      <c r="D4777" s="8">
        <v>10650</v>
      </c>
      <c r="E4777" s="8"/>
      <c r="F4777" s="92">
        <f t="shared" si="64"/>
        <v>28492</v>
      </c>
    </row>
    <row r="4778" spans="1:6" x14ac:dyDescent="0.25">
      <c r="A4778" s="204">
        <v>43257</v>
      </c>
      <c r="B4778" s="26" t="s">
        <v>2333</v>
      </c>
      <c r="C4778" s="26" t="s">
        <v>3716</v>
      </c>
      <c r="D4778" s="8">
        <v>2700</v>
      </c>
      <c r="E4778" s="8"/>
      <c r="F4778" s="92">
        <f t="shared" si="64"/>
        <v>25792</v>
      </c>
    </row>
    <row r="4779" spans="1:6" x14ac:dyDescent="0.25">
      <c r="A4779" s="204">
        <v>43258</v>
      </c>
      <c r="B4779" s="26" t="s">
        <v>94</v>
      </c>
      <c r="C4779" s="26" t="s">
        <v>3717</v>
      </c>
      <c r="D4779" s="8">
        <v>1000</v>
      </c>
      <c r="E4779" s="8"/>
      <c r="F4779" s="92">
        <f t="shared" si="64"/>
        <v>24792</v>
      </c>
    </row>
    <row r="4780" spans="1:6" x14ac:dyDescent="0.25">
      <c r="A4780" s="204">
        <v>43258</v>
      </c>
      <c r="B4780" s="26" t="s">
        <v>3224</v>
      </c>
      <c r="C4780" s="26" t="s">
        <v>3718</v>
      </c>
      <c r="D4780" s="8">
        <v>15000</v>
      </c>
      <c r="E4780" s="8"/>
      <c r="F4780" s="92">
        <f t="shared" si="64"/>
        <v>9792</v>
      </c>
    </row>
    <row r="4781" spans="1:6" x14ac:dyDescent="0.25">
      <c r="A4781" s="204">
        <v>43258</v>
      </c>
      <c r="B4781" s="26" t="s">
        <v>1840</v>
      </c>
      <c r="C4781" s="26" t="s">
        <v>3719</v>
      </c>
      <c r="D4781" s="8">
        <v>5000</v>
      </c>
      <c r="E4781" s="8"/>
      <c r="F4781" s="92">
        <f t="shared" si="64"/>
        <v>4792</v>
      </c>
    </row>
    <row r="4782" spans="1:6" x14ac:dyDescent="0.25">
      <c r="A4782" s="204">
        <v>43258</v>
      </c>
      <c r="B4782" s="26" t="s">
        <v>1461</v>
      </c>
      <c r="C4782" s="26" t="s">
        <v>3720</v>
      </c>
      <c r="D4782" s="8">
        <v>1700</v>
      </c>
      <c r="E4782" s="8"/>
      <c r="F4782" s="92">
        <f t="shared" si="64"/>
        <v>3092</v>
      </c>
    </row>
    <row r="4783" spans="1:6" x14ac:dyDescent="0.25">
      <c r="A4783" s="204">
        <v>43258</v>
      </c>
      <c r="B4783" s="460" t="s">
        <v>3721</v>
      </c>
      <c r="C4783" s="460"/>
      <c r="D4783" s="71"/>
      <c r="E4783" s="58">
        <v>50000</v>
      </c>
      <c r="F4783" s="92">
        <f t="shared" si="64"/>
        <v>53092</v>
      </c>
    </row>
    <row r="4784" spans="1:6" x14ac:dyDescent="0.25">
      <c r="A4784" s="204">
        <v>43258</v>
      </c>
      <c r="B4784" s="26" t="s">
        <v>6626</v>
      </c>
      <c r="C4784" s="26" t="s">
        <v>3722</v>
      </c>
      <c r="D4784" s="8">
        <v>4400</v>
      </c>
      <c r="E4784" s="8"/>
      <c r="F4784" s="92">
        <f t="shared" si="64"/>
        <v>48692</v>
      </c>
    </row>
    <row r="4785" spans="1:7" x14ac:dyDescent="0.25">
      <c r="A4785" s="204">
        <v>43258</v>
      </c>
      <c r="B4785" s="26" t="s">
        <v>1319</v>
      </c>
      <c r="C4785" s="26" t="s">
        <v>3723</v>
      </c>
      <c r="D4785" s="8">
        <v>16000</v>
      </c>
      <c r="E4785" s="8"/>
      <c r="F4785" s="92">
        <f t="shared" si="64"/>
        <v>32692</v>
      </c>
    </row>
    <row r="4786" spans="1:7" ht="30" x14ac:dyDescent="0.25">
      <c r="A4786" s="204">
        <v>43259</v>
      </c>
      <c r="B4786" s="26" t="s">
        <v>29</v>
      </c>
      <c r="C4786" s="87" t="s">
        <v>3755</v>
      </c>
      <c r="D4786" s="8">
        <v>3000</v>
      </c>
      <c r="E4786" s="8"/>
      <c r="F4786" s="92">
        <f t="shared" si="64"/>
        <v>29692</v>
      </c>
    </row>
    <row r="4787" spans="1:7" x14ac:dyDescent="0.25">
      <c r="A4787" s="204">
        <v>43259</v>
      </c>
      <c r="B4787" s="26" t="s">
        <v>3659</v>
      </c>
      <c r="C4787" s="26" t="s">
        <v>3724</v>
      </c>
      <c r="D4787" s="8">
        <v>420</v>
      </c>
      <c r="E4787" s="8"/>
      <c r="F4787" s="92">
        <f t="shared" si="64"/>
        <v>29272</v>
      </c>
    </row>
    <row r="4788" spans="1:7" x14ac:dyDescent="0.25">
      <c r="A4788" s="204">
        <v>43259</v>
      </c>
      <c r="B4788" s="26" t="s">
        <v>2677</v>
      </c>
      <c r="C4788" s="26" t="s">
        <v>3724</v>
      </c>
      <c r="D4788" s="8">
        <v>50</v>
      </c>
      <c r="E4788" s="8"/>
      <c r="F4788" s="92">
        <f t="shared" si="64"/>
        <v>29222</v>
      </c>
    </row>
    <row r="4789" spans="1:7" x14ac:dyDescent="0.25">
      <c r="A4789" s="204">
        <v>43259</v>
      </c>
      <c r="B4789" s="460" t="s">
        <v>3618</v>
      </c>
      <c r="C4789" s="460"/>
      <c r="D4789" s="71"/>
      <c r="E4789" s="58">
        <v>849</v>
      </c>
      <c r="F4789" s="92">
        <f t="shared" si="64"/>
        <v>30071</v>
      </c>
    </row>
    <row r="4790" spans="1:7" x14ac:dyDescent="0.25">
      <c r="A4790" s="204">
        <v>43259</v>
      </c>
      <c r="B4790" s="26" t="s">
        <v>2677</v>
      </c>
      <c r="C4790" s="26" t="s">
        <v>3731</v>
      </c>
      <c r="D4790" s="8">
        <v>780</v>
      </c>
      <c r="E4790" s="8"/>
      <c r="F4790" s="92">
        <f t="shared" si="64"/>
        <v>29291</v>
      </c>
    </row>
    <row r="4791" spans="1:7" x14ac:dyDescent="0.25">
      <c r="A4791" s="204">
        <v>43259</v>
      </c>
      <c r="B4791" s="26" t="s">
        <v>26</v>
      </c>
      <c r="C4791" s="26" t="s">
        <v>3725</v>
      </c>
      <c r="D4791" s="8">
        <v>200</v>
      </c>
      <c r="E4791" s="8"/>
      <c r="F4791" s="92">
        <f t="shared" si="64"/>
        <v>29091</v>
      </c>
    </row>
    <row r="4792" spans="1:7" x14ac:dyDescent="0.25">
      <c r="A4792" s="204">
        <v>43259</v>
      </c>
      <c r="B4792" s="26" t="s">
        <v>3727</v>
      </c>
      <c r="C4792" s="26" t="s">
        <v>3726</v>
      </c>
      <c r="D4792" s="8">
        <v>5380</v>
      </c>
      <c r="E4792" s="8"/>
      <c r="F4792" s="92">
        <f t="shared" si="64"/>
        <v>23711</v>
      </c>
    </row>
    <row r="4793" spans="1:7" x14ac:dyDescent="0.25">
      <c r="A4793" s="204">
        <v>43259</v>
      </c>
      <c r="B4793" s="26" t="s">
        <v>3728</v>
      </c>
      <c r="C4793" s="26" t="s">
        <v>3729</v>
      </c>
      <c r="D4793" s="8">
        <v>4180</v>
      </c>
      <c r="E4793" s="8"/>
      <c r="F4793" s="92">
        <f t="shared" si="64"/>
        <v>19531</v>
      </c>
    </row>
    <row r="4794" spans="1:7" x14ac:dyDescent="0.25">
      <c r="A4794" s="204">
        <v>43259</v>
      </c>
      <c r="B4794" s="26" t="s">
        <v>2333</v>
      </c>
      <c r="C4794" s="26" t="s">
        <v>3730</v>
      </c>
      <c r="D4794" s="8">
        <v>3340</v>
      </c>
      <c r="E4794" s="8"/>
      <c r="F4794" s="92">
        <f t="shared" si="64"/>
        <v>16191</v>
      </c>
    </row>
    <row r="4795" spans="1:7" x14ac:dyDescent="0.25">
      <c r="A4795" s="204">
        <v>43259</v>
      </c>
      <c r="B4795" s="26" t="s">
        <v>2099</v>
      </c>
      <c r="C4795" s="26" t="s">
        <v>3756</v>
      </c>
      <c r="D4795" s="8">
        <v>15000</v>
      </c>
      <c r="E4795" s="8"/>
      <c r="F4795" s="92">
        <f t="shared" si="64"/>
        <v>1191</v>
      </c>
    </row>
    <row r="4796" spans="1:7" x14ac:dyDescent="0.25">
      <c r="A4796" s="204">
        <v>43259</v>
      </c>
      <c r="B4796" s="26" t="s">
        <v>14</v>
      </c>
      <c r="C4796" s="26" t="s">
        <v>3732</v>
      </c>
      <c r="D4796" s="8">
        <v>130</v>
      </c>
      <c r="E4796" s="8"/>
      <c r="F4796" s="92">
        <f t="shared" si="64"/>
        <v>1061</v>
      </c>
    </row>
    <row r="4797" spans="1:7" x14ac:dyDescent="0.25">
      <c r="A4797" s="204">
        <v>43259</v>
      </c>
      <c r="B4797" s="26" t="s">
        <v>59</v>
      </c>
      <c r="C4797" s="26" t="s">
        <v>3737</v>
      </c>
      <c r="D4797" s="8">
        <v>150</v>
      </c>
      <c r="E4797" s="8"/>
      <c r="F4797" s="92">
        <f t="shared" si="64"/>
        <v>911</v>
      </c>
      <c r="G4797" s="25"/>
    </row>
    <row r="4798" spans="1:7" x14ac:dyDescent="0.25">
      <c r="A4798" s="204">
        <v>43260</v>
      </c>
      <c r="B4798" s="26" t="s">
        <v>2951</v>
      </c>
      <c r="C4798" s="26" t="s">
        <v>2952</v>
      </c>
      <c r="D4798" s="8">
        <v>363</v>
      </c>
      <c r="E4798" s="8"/>
      <c r="F4798" s="92">
        <f t="shared" si="64"/>
        <v>548</v>
      </c>
    </row>
    <row r="4799" spans="1:7" x14ac:dyDescent="0.25">
      <c r="A4799" s="204">
        <v>43258</v>
      </c>
      <c r="B4799" s="460" t="s">
        <v>3721</v>
      </c>
      <c r="C4799" s="460"/>
      <c r="D4799" s="71"/>
      <c r="E4799" s="58">
        <v>50000</v>
      </c>
      <c r="F4799" s="92">
        <f t="shared" si="64"/>
        <v>50548</v>
      </c>
    </row>
    <row r="4800" spans="1:7" x14ac:dyDescent="0.25">
      <c r="A4800" s="204">
        <v>43260</v>
      </c>
      <c r="B4800" s="26" t="s">
        <v>3738</v>
      </c>
      <c r="C4800" s="26" t="s">
        <v>3739</v>
      </c>
      <c r="D4800" s="8">
        <v>1100</v>
      </c>
      <c r="E4800" s="8"/>
      <c r="F4800" s="92">
        <f t="shared" si="64"/>
        <v>49448</v>
      </c>
    </row>
    <row r="4801" spans="1:6" x14ac:dyDescent="0.25">
      <c r="A4801" s="204">
        <v>43260</v>
      </c>
      <c r="B4801" s="26" t="s">
        <v>1790</v>
      </c>
      <c r="C4801" s="26" t="s">
        <v>3740</v>
      </c>
      <c r="D4801" s="8">
        <v>1200</v>
      </c>
      <c r="E4801" s="8"/>
      <c r="F4801" s="92">
        <f t="shared" si="64"/>
        <v>48248</v>
      </c>
    </row>
    <row r="4802" spans="1:6" x14ac:dyDescent="0.25">
      <c r="A4802" s="204">
        <v>43260</v>
      </c>
      <c r="B4802" s="26" t="s">
        <v>14</v>
      </c>
      <c r="C4802" s="26" t="s">
        <v>3733</v>
      </c>
      <c r="D4802" s="8">
        <v>1000</v>
      </c>
      <c r="E4802" s="8"/>
      <c r="F4802" s="92">
        <f t="shared" si="64"/>
        <v>47248</v>
      </c>
    </row>
    <row r="4803" spans="1:6" ht="30" x14ac:dyDescent="0.25">
      <c r="A4803" s="204">
        <v>43263</v>
      </c>
      <c r="B4803" s="26" t="s">
        <v>1515</v>
      </c>
      <c r="C4803" s="87" t="s">
        <v>3757</v>
      </c>
      <c r="D4803" s="8">
        <v>17435</v>
      </c>
      <c r="E4803" s="8"/>
      <c r="F4803" s="92">
        <f t="shared" si="64"/>
        <v>29813</v>
      </c>
    </row>
    <row r="4804" spans="1:6" x14ac:dyDescent="0.25">
      <c r="A4804" s="204">
        <v>43263</v>
      </c>
      <c r="B4804" s="26" t="s">
        <v>0</v>
      </c>
      <c r="C4804" s="26" t="s">
        <v>3758</v>
      </c>
      <c r="D4804" s="8">
        <v>500</v>
      </c>
      <c r="E4804" s="8"/>
      <c r="F4804" s="92">
        <f t="shared" si="64"/>
        <v>29313</v>
      </c>
    </row>
    <row r="4805" spans="1:6" x14ac:dyDescent="0.25">
      <c r="A4805" s="204">
        <v>43263</v>
      </c>
      <c r="B4805" s="26" t="s">
        <v>28</v>
      </c>
      <c r="C4805" s="26" t="s">
        <v>3759</v>
      </c>
      <c r="D4805" s="8">
        <v>500</v>
      </c>
      <c r="E4805" s="8"/>
      <c r="F4805" s="92">
        <f t="shared" si="64"/>
        <v>28813</v>
      </c>
    </row>
    <row r="4806" spans="1:6" x14ac:dyDescent="0.25">
      <c r="A4806" s="204">
        <v>43263</v>
      </c>
      <c r="B4806" s="26" t="s">
        <v>3412</v>
      </c>
      <c r="C4806" s="26" t="s">
        <v>3734</v>
      </c>
      <c r="D4806" s="8">
        <v>2000</v>
      </c>
      <c r="E4806" s="8"/>
      <c r="F4806" s="92">
        <f t="shared" si="64"/>
        <v>26813</v>
      </c>
    </row>
    <row r="4807" spans="1:6" x14ac:dyDescent="0.25">
      <c r="A4807" s="204">
        <v>43263</v>
      </c>
      <c r="B4807" s="26" t="s">
        <v>59</v>
      </c>
      <c r="C4807" s="26" t="s">
        <v>3735</v>
      </c>
      <c r="D4807" s="8">
        <v>11760</v>
      </c>
      <c r="E4807" s="8"/>
      <c r="F4807" s="92">
        <f t="shared" si="64"/>
        <v>15053</v>
      </c>
    </row>
    <row r="4808" spans="1:6" x14ac:dyDescent="0.25">
      <c r="A4808" s="204">
        <v>43263</v>
      </c>
      <c r="B4808" s="26" t="s">
        <v>59</v>
      </c>
      <c r="C4808" s="26" t="s">
        <v>3760</v>
      </c>
      <c r="D4808" s="8">
        <v>500</v>
      </c>
      <c r="E4808" s="8"/>
      <c r="F4808" s="92">
        <f t="shared" si="64"/>
        <v>14553</v>
      </c>
    </row>
    <row r="4809" spans="1:6" x14ac:dyDescent="0.25">
      <c r="A4809" s="204">
        <v>43263</v>
      </c>
      <c r="B4809" s="26" t="s">
        <v>3736</v>
      </c>
      <c r="C4809" s="26" t="s">
        <v>3761</v>
      </c>
      <c r="D4809" s="8">
        <v>8000</v>
      </c>
      <c r="E4809" s="8"/>
      <c r="F4809" s="92">
        <f t="shared" si="64"/>
        <v>6553</v>
      </c>
    </row>
    <row r="4810" spans="1:6" x14ac:dyDescent="0.25">
      <c r="A4810" s="204">
        <v>43263</v>
      </c>
      <c r="B4810" s="26" t="s">
        <v>28</v>
      </c>
      <c r="C4810" s="26" t="s">
        <v>3509</v>
      </c>
      <c r="D4810" s="8">
        <v>5000</v>
      </c>
      <c r="E4810" s="8"/>
      <c r="F4810" s="92">
        <f t="shared" si="64"/>
        <v>1553</v>
      </c>
    </row>
    <row r="4811" spans="1:6" x14ac:dyDescent="0.25">
      <c r="A4811" s="204">
        <v>43263</v>
      </c>
      <c r="B4811" s="26" t="s">
        <v>1790</v>
      </c>
      <c r="C4811" s="26" t="s">
        <v>3741</v>
      </c>
      <c r="D4811" s="8">
        <v>1200</v>
      </c>
      <c r="E4811" s="8"/>
      <c r="F4811" s="92">
        <f t="shared" si="64"/>
        <v>353</v>
      </c>
    </row>
    <row r="4812" spans="1:6" x14ac:dyDescent="0.25">
      <c r="A4812" s="204">
        <v>43264</v>
      </c>
      <c r="B4812" s="460" t="s">
        <v>3744</v>
      </c>
      <c r="C4812" s="460"/>
      <c r="D4812" s="71"/>
      <c r="E4812" s="58">
        <v>12500</v>
      </c>
      <c r="F4812" s="92">
        <f t="shared" si="64"/>
        <v>12853</v>
      </c>
    </row>
    <row r="4813" spans="1:6" x14ac:dyDescent="0.25">
      <c r="A4813" s="204">
        <v>43264</v>
      </c>
      <c r="B4813" s="460" t="s">
        <v>3745</v>
      </c>
      <c r="C4813" s="460"/>
      <c r="D4813" s="71"/>
      <c r="E4813" s="58">
        <v>3000</v>
      </c>
      <c r="F4813" s="92">
        <f t="shared" si="64"/>
        <v>15853</v>
      </c>
    </row>
    <row r="4814" spans="1:6" x14ac:dyDescent="0.25">
      <c r="A4814" s="204">
        <v>43264</v>
      </c>
      <c r="B4814" s="460" t="s">
        <v>3746</v>
      </c>
      <c r="C4814" s="460"/>
      <c r="D4814" s="71"/>
      <c r="E4814" s="58">
        <v>10000</v>
      </c>
      <c r="F4814" s="92">
        <f t="shared" si="64"/>
        <v>25853</v>
      </c>
    </row>
    <row r="4815" spans="1:6" x14ac:dyDescent="0.25">
      <c r="A4815" s="204">
        <v>43264</v>
      </c>
      <c r="B4815" s="460" t="s">
        <v>3747</v>
      </c>
      <c r="C4815" s="460"/>
      <c r="D4815" s="71"/>
      <c r="E4815" s="58">
        <v>17500</v>
      </c>
      <c r="F4815" s="92">
        <f t="shared" si="64"/>
        <v>43353</v>
      </c>
    </row>
    <row r="4816" spans="1:6" x14ac:dyDescent="0.25">
      <c r="A4816" s="204">
        <v>43264</v>
      </c>
      <c r="B4816" s="26" t="s">
        <v>3224</v>
      </c>
      <c r="C4816" s="26" t="s">
        <v>3762</v>
      </c>
      <c r="D4816" s="8">
        <v>24000</v>
      </c>
      <c r="E4816" s="8"/>
      <c r="F4816" s="92">
        <f t="shared" si="64"/>
        <v>19353</v>
      </c>
    </row>
    <row r="4817" spans="1:6" x14ac:dyDescent="0.25">
      <c r="A4817" s="204">
        <v>43264</v>
      </c>
      <c r="B4817" s="26" t="s">
        <v>2597</v>
      </c>
      <c r="C4817" s="26" t="s">
        <v>3742</v>
      </c>
      <c r="D4817" s="8">
        <v>500</v>
      </c>
      <c r="E4817" s="8"/>
      <c r="F4817" s="92">
        <f t="shared" si="64"/>
        <v>18853</v>
      </c>
    </row>
    <row r="4818" spans="1:6" x14ac:dyDescent="0.25">
      <c r="A4818" s="204">
        <v>43264</v>
      </c>
      <c r="B4818" s="26" t="s">
        <v>542</v>
      </c>
      <c r="C4818" s="26" t="s">
        <v>3743</v>
      </c>
      <c r="D4818" s="8">
        <v>5000</v>
      </c>
      <c r="E4818" s="8"/>
      <c r="F4818" s="92">
        <f t="shared" si="64"/>
        <v>13853</v>
      </c>
    </row>
    <row r="4819" spans="1:6" x14ac:dyDescent="0.25">
      <c r="A4819" s="204">
        <v>43265</v>
      </c>
      <c r="B4819" s="26" t="s">
        <v>85</v>
      </c>
      <c r="C4819" s="26" t="s">
        <v>3763</v>
      </c>
      <c r="D4819" s="8">
        <v>1000</v>
      </c>
      <c r="E4819" s="8"/>
      <c r="F4819" s="92">
        <f t="shared" si="64"/>
        <v>12853</v>
      </c>
    </row>
    <row r="4820" spans="1:6" x14ac:dyDescent="0.25">
      <c r="A4820" s="204">
        <v>43265</v>
      </c>
      <c r="B4820" s="26" t="s">
        <v>3224</v>
      </c>
      <c r="C4820" s="26" t="s">
        <v>3333</v>
      </c>
      <c r="D4820" s="8">
        <v>10000</v>
      </c>
      <c r="E4820" s="8"/>
      <c r="F4820" s="92">
        <f t="shared" si="64"/>
        <v>2853</v>
      </c>
    </row>
    <row r="4821" spans="1:6" x14ac:dyDescent="0.25">
      <c r="A4821" s="204">
        <v>43265</v>
      </c>
      <c r="B4821" s="26" t="s">
        <v>85</v>
      </c>
      <c r="C4821" s="26" t="s">
        <v>3764</v>
      </c>
      <c r="D4821" s="8">
        <v>2500</v>
      </c>
      <c r="E4821" s="8"/>
      <c r="F4821" s="92">
        <f t="shared" si="64"/>
        <v>353</v>
      </c>
    </row>
    <row r="4822" spans="1:6" x14ac:dyDescent="0.25">
      <c r="A4822" s="204">
        <v>43272</v>
      </c>
      <c r="B4822" s="460" t="s">
        <v>3721</v>
      </c>
      <c r="C4822" s="460"/>
      <c r="D4822" s="71"/>
      <c r="E4822" s="58">
        <v>100000</v>
      </c>
      <c r="F4822" s="92">
        <f t="shared" ref="F4822:F4842" si="65">F4821-D4822+E4822</f>
        <v>100353</v>
      </c>
    </row>
    <row r="4823" spans="1:6" x14ac:dyDescent="0.25">
      <c r="A4823" s="204">
        <v>43272</v>
      </c>
      <c r="B4823" s="26" t="s">
        <v>59</v>
      </c>
      <c r="C4823" s="26" t="s">
        <v>3776</v>
      </c>
      <c r="D4823" s="8">
        <v>150</v>
      </c>
      <c r="E4823" s="8"/>
      <c r="F4823" s="92">
        <f t="shared" si="65"/>
        <v>100203</v>
      </c>
    </row>
    <row r="4824" spans="1:6" x14ac:dyDescent="0.25">
      <c r="A4824" s="204">
        <v>43272</v>
      </c>
      <c r="B4824" s="26" t="s">
        <v>59</v>
      </c>
      <c r="C4824" s="26" t="s">
        <v>3768</v>
      </c>
      <c r="D4824" s="8">
        <v>57000</v>
      </c>
      <c r="E4824" s="8"/>
      <c r="F4824" s="92">
        <f t="shared" si="65"/>
        <v>43203</v>
      </c>
    </row>
    <row r="4825" spans="1:6" x14ac:dyDescent="0.25">
      <c r="A4825" s="204">
        <v>43272</v>
      </c>
      <c r="B4825" s="26" t="s">
        <v>3769</v>
      </c>
      <c r="C4825" s="26" t="s">
        <v>3778</v>
      </c>
      <c r="D4825" s="8">
        <v>1500</v>
      </c>
      <c r="E4825" s="8"/>
      <c r="F4825" s="92">
        <f t="shared" si="65"/>
        <v>41703</v>
      </c>
    </row>
    <row r="4826" spans="1:6" x14ac:dyDescent="0.25">
      <c r="A4826" s="204">
        <v>43272</v>
      </c>
      <c r="B4826" s="26" t="s">
        <v>3770</v>
      </c>
      <c r="C4826" s="26" t="s">
        <v>3771</v>
      </c>
      <c r="D4826" s="8">
        <v>12960</v>
      </c>
      <c r="E4826" s="8"/>
      <c r="F4826" s="92">
        <f t="shared" si="65"/>
        <v>28743</v>
      </c>
    </row>
    <row r="4827" spans="1:6" x14ac:dyDescent="0.25">
      <c r="A4827" s="204">
        <v>43272</v>
      </c>
      <c r="B4827" s="26" t="s">
        <v>59</v>
      </c>
      <c r="C4827" s="26" t="s">
        <v>3777</v>
      </c>
      <c r="D4827" s="8">
        <v>6750</v>
      </c>
      <c r="E4827" s="8"/>
      <c r="F4827" s="92">
        <f t="shared" si="65"/>
        <v>21993</v>
      </c>
    </row>
    <row r="4828" spans="1:6" x14ac:dyDescent="0.25">
      <c r="A4828" s="204">
        <v>43272</v>
      </c>
      <c r="B4828" s="26" t="s">
        <v>42</v>
      </c>
      <c r="C4828" s="26" t="s">
        <v>3779</v>
      </c>
      <c r="D4828" s="8">
        <v>500</v>
      </c>
      <c r="E4828" s="8"/>
      <c r="F4828" s="92">
        <f t="shared" si="65"/>
        <v>21493</v>
      </c>
    </row>
    <row r="4829" spans="1:6" x14ac:dyDescent="0.25">
      <c r="A4829" s="204">
        <v>43272</v>
      </c>
      <c r="B4829" s="26" t="s">
        <v>26</v>
      </c>
      <c r="C4829" s="26" t="s">
        <v>3772</v>
      </c>
      <c r="D4829" s="8">
        <f>30+10+102+50+30+70</f>
        <v>292</v>
      </c>
      <c r="E4829" s="8"/>
      <c r="F4829" s="92">
        <f t="shared" si="65"/>
        <v>21201</v>
      </c>
    </row>
    <row r="4830" spans="1:6" x14ac:dyDescent="0.25">
      <c r="A4830" s="204">
        <v>43272</v>
      </c>
      <c r="B4830" s="26" t="s">
        <v>28</v>
      </c>
      <c r="C4830" s="26" t="s">
        <v>3780</v>
      </c>
      <c r="D4830" s="8">
        <f>180+50</f>
        <v>230</v>
      </c>
      <c r="E4830" s="8"/>
      <c r="F4830" s="92">
        <f t="shared" si="65"/>
        <v>20971</v>
      </c>
    </row>
    <row r="4831" spans="1:6" x14ac:dyDescent="0.25">
      <c r="A4831" s="204">
        <v>43272</v>
      </c>
      <c r="B4831" s="26" t="s">
        <v>26</v>
      </c>
      <c r="C4831" s="26" t="s">
        <v>3773</v>
      </c>
      <c r="D4831" s="8">
        <v>130</v>
      </c>
      <c r="E4831" s="8"/>
      <c r="F4831" s="92">
        <f t="shared" si="65"/>
        <v>20841</v>
      </c>
    </row>
    <row r="4832" spans="1:6" x14ac:dyDescent="0.25">
      <c r="A4832" s="204">
        <v>43272</v>
      </c>
      <c r="B4832" s="26" t="s">
        <v>14</v>
      </c>
      <c r="C4832" s="26" t="s">
        <v>3774</v>
      </c>
      <c r="D4832" s="8">
        <f>40+70</f>
        <v>110</v>
      </c>
      <c r="E4832" s="8"/>
      <c r="F4832" s="92">
        <f t="shared" si="65"/>
        <v>20731</v>
      </c>
    </row>
    <row r="4833" spans="1:6" x14ac:dyDescent="0.25">
      <c r="A4833" s="204">
        <v>43272</v>
      </c>
      <c r="B4833" s="26" t="s">
        <v>26</v>
      </c>
      <c r="C4833" s="26" t="s">
        <v>3775</v>
      </c>
      <c r="D4833" s="8">
        <v>950</v>
      </c>
      <c r="E4833" s="8"/>
      <c r="F4833" s="92">
        <f t="shared" si="65"/>
        <v>19781</v>
      </c>
    </row>
    <row r="4834" spans="1:6" x14ac:dyDescent="0.25">
      <c r="A4834" s="204">
        <v>43272</v>
      </c>
      <c r="B4834" s="26" t="s">
        <v>17</v>
      </c>
      <c r="C4834" s="26" t="s">
        <v>3509</v>
      </c>
      <c r="D4834" s="8">
        <v>4500</v>
      </c>
      <c r="E4834" s="8"/>
      <c r="F4834" s="92">
        <f t="shared" si="65"/>
        <v>15281</v>
      </c>
    </row>
    <row r="4835" spans="1:6" x14ac:dyDescent="0.25">
      <c r="A4835" s="204">
        <v>43272</v>
      </c>
      <c r="B4835" s="26" t="s">
        <v>59</v>
      </c>
      <c r="C4835" s="26" t="s">
        <v>3284</v>
      </c>
      <c r="D4835" s="8">
        <v>50</v>
      </c>
      <c r="E4835" s="8"/>
      <c r="F4835" s="92">
        <f t="shared" si="65"/>
        <v>15231</v>
      </c>
    </row>
    <row r="4836" spans="1:6" x14ac:dyDescent="0.25">
      <c r="A4836" s="204">
        <v>43272</v>
      </c>
      <c r="B4836" s="26" t="s">
        <v>58</v>
      </c>
      <c r="C4836" s="26" t="s">
        <v>3781</v>
      </c>
      <c r="D4836" s="8">
        <v>5000</v>
      </c>
      <c r="E4836" s="8"/>
      <c r="F4836" s="92">
        <f t="shared" si="65"/>
        <v>10231</v>
      </c>
    </row>
    <row r="4837" spans="1:6" ht="30" x14ac:dyDescent="0.25">
      <c r="A4837" s="204">
        <v>43272</v>
      </c>
      <c r="B4837" s="26" t="s">
        <v>59</v>
      </c>
      <c r="C4837" s="87" t="s">
        <v>3782</v>
      </c>
      <c r="D4837" s="8">
        <v>6700</v>
      </c>
      <c r="E4837" s="8"/>
      <c r="F4837" s="92">
        <f t="shared" si="65"/>
        <v>3531</v>
      </c>
    </row>
    <row r="4838" spans="1:6" x14ac:dyDescent="0.25">
      <c r="A4838" s="204">
        <v>43272</v>
      </c>
      <c r="B4838" s="26" t="s">
        <v>2333</v>
      </c>
      <c r="C4838" s="26" t="s">
        <v>2960</v>
      </c>
      <c r="D4838" s="8">
        <v>1035</v>
      </c>
      <c r="E4838" s="8"/>
      <c r="F4838" s="92">
        <f t="shared" si="65"/>
        <v>2496</v>
      </c>
    </row>
    <row r="4839" spans="1:6" x14ac:dyDescent="0.25">
      <c r="A4839" s="204">
        <v>43272</v>
      </c>
      <c r="B4839" s="26" t="s">
        <v>58</v>
      </c>
      <c r="C4839" s="26" t="s">
        <v>295</v>
      </c>
      <c r="D4839" s="8">
        <v>2000</v>
      </c>
      <c r="E4839" s="8"/>
      <c r="F4839" s="92">
        <f t="shared" si="65"/>
        <v>496</v>
      </c>
    </row>
    <row r="4840" spans="1:6" x14ac:dyDescent="0.25">
      <c r="A4840" s="204">
        <v>43272</v>
      </c>
      <c r="B4840" s="26" t="s">
        <v>26</v>
      </c>
      <c r="C4840" s="26" t="s">
        <v>3783</v>
      </c>
      <c r="D4840" s="8">
        <f>60+30+30+30+110</f>
        <v>260</v>
      </c>
      <c r="E4840" s="8"/>
      <c r="F4840" s="92">
        <f t="shared" si="65"/>
        <v>236</v>
      </c>
    </row>
    <row r="4841" spans="1:6" x14ac:dyDescent="0.25">
      <c r="A4841" s="204">
        <v>43272</v>
      </c>
      <c r="B4841" s="26" t="s">
        <v>26</v>
      </c>
      <c r="C4841" s="26" t="s">
        <v>942</v>
      </c>
      <c r="D4841" s="8">
        <v>100</v>
      </c>
      <c r="E4841" s="8"/>
      <c r="F4841" s="92">
        <f t="shared" si="65"/>
        <v>136</v>
      </c>
    </row>
    <row r="4842" spans="1:6" x14ac:dyDescent="0.25">
      <c r="A4842" s="204">
        <v>43272</v>
      </c>
      <c r="B4842" s="26" t="s">
        <v>28</v>
      </c>
      <c r="C4842" s="26" t="s">
        <v>3784</v>
      </c>
      <c r="D4842" s="8">
        <v>120</v>
      </c>
      <c r="E4842" s="8"/>
      <c r="F4842" s="92">
        <f t="shared" si="65"/>
        <v>16</v>
      </c>
    </row>
    <row r="4843" spans="1:6" x14ac:dyDescent="0.25">
      <c r="A4843" s="204">
        <v>43273</v>
      </c>
      <c r="B4843" s="460" t="s">
        <v>3594</v>
      </c>
      <c r="C4843" s="460"/>
      <c r="D4843" s="71"/>
      <c r="E4843" s="58">
        <v>50000</v>
      </c>
      <c r="F4843" s="92">
        <f t="shared" ref="F4843:F4876" si="66">F4842-D4843+E4843</f>
        <v>50016</v>
      </c>
    </row>
    <row r="4844" spans="1:6" x14ac:dyDescent="0.25">
      <c r="A4844" s="204">
        <v>43273</v>
      </c>
      <c r="B4844" s="26" t="s">
        <v>3738</v>
      </c>
      <c r="C4844" s="26" t="s">
        <v>3785</v>
      </c>
      <c r="D4844" s="8">
        <v>1000</v>
      </c>
      <c r="E4844" s="8"/>
      <c r="F4844" s="92">
        <f t="shared" si="66"/>
        <v>49016</v>
      </c>
    </row>
    <row r="4845" spans="1:6" x14ac:dyDescent="0.25">
      <c r="A4845" s="204">
        <v>43273</v>
      </c>
      <c r="B4845" s="26" t="s">
        <v>59</v>
      </c>
      <c r="C4845" s="26" t="s">
        <v>3786</v>
      </c>
      <c r="D4845" s="8">
        <v>19000</v>
      </c>
      <c r="E4845" s="8"/>
      <c r="F4845" s="92">
        <f t="shared" si="66"/>
        <v>30016</v>
      </c>
    </row>
    <row r="4846" spans="1:6" x14ac:dyDescent="0.25">
      <c r="A4846" s="204">
        <v>43273</v>
      </c>
      <c r="B4846" s="26" t="s">
        <v>59</v>
      </c>
      <c r="C4846" s="26" t="s">
        <v>3787</v>
      </c>
      <c r="D4846" s="8">
        <v>2500</v>
      </c>
      <c r="E4846" s="8"/>
      <c r="F4846" s="92">
        <f t="shared" si="66"/>
        <v>27516</v>
      </c>
    </row>
    <row r="4847" spans="1:6" x14ac:dyDescent="0.25">
      <c r="A4847" s="204">
        <v>43274</v>
      </c>
      <c r="B4847" s="26" t="s">
        <v>17</v>
      </c>
      <c r="C4847" s="26" t="s">
        <v>295</v>
      </c>
      <c r="D4847" s="8">
        <v>2000</v>
      </c>
      <c r="E4847" s="8"/>
      <c r="F4847" s="92">
        <f t="shared" si="66"/>
        <v>25516</v>
      </c>
    </row>
    <row r="4848" spans="1:6" x14ac:dyDescent="0.25">
      <c r="A4848" s="204">
        <v>43274</v>
      </c>
      <c r="B4848" s="26" t="s">
        <v>1346</v>
      </c>
      <c r="C4848" s="26" t="s">
        <v>3788</v>
      </c>
      <c r="D4848" s="8">
        <v>1500</v>
      </c>
      <c r="E4848" s="8"/>
      <c r="F4848" s="92">
        <f t="shared" si="66"/>
        <v>24016</v>
      </c>
    </row>
    <row r="4849" spans="1:7" x14ac:dyDescent="0.25">
      <c r="A4849" s="204">
        <v>43274</v>
      </c>
      <c r="B4849" s="26" t="s">
        <v>2597</v>
      </c>
      <c r="C4849" s="26" t="s">
        <v>3789</v>
      </c>
      <c r="D4849" s="8">
        <v>600</v>
      </c>
      <c r="E4849" s="8"/>
      <c r="F4849" s="92">
        <f t="shared" si="66"/>
        <v>23416</v>
      </c>
    </row>
    <row r="4850" spans="1:7" x14ac:dyDescent="0.25">
      <c r="A4850" s="204">
        <v>43274</v>
      </c>
      <c r="B4850" s="26" t="s">
        <v>3563</v>
      </c>
      <c r="C4850" s="26" t="s">
        <v>3539</v>
      </c>
      <c r="D4850" s="8">
        <v>500</v>
      </c>
      <c r="E4850" s="8"/>
      <c r="F4850" s="92">
        <f t="shared" si="66"/>
        <v>22916</v>
      </c>
    </row>
    <row r="4851" spans="1:7" x14ac:dyDescent="0.25">
      <c r="A4851" s="204">
        <v>43274</v>
      </c>
      <c r="B4851" s="26" t="s">
        <v>59</v>
      </c>
      <c r="C4851" s="26" t="s">
        <v>3790</v>
      </c>
      <c r="D4851" s="8">
        <v>19463</v>
      </c>
      <c r="E4851" s="8"/>
      <c r="F4851" s="92">
        <f t="shared" si="66"/>
        <v>3453</v>
      </c>
    </row>
    <row r="4852" spans="1:7" x14ac:dyDescent="0.25">
      <c r="A4852" s="204">
        <v>43276</v>
      </c>
      <c r="B4852" s="26" t="s">
        <v>17</v>
      </c>
      <c r="C4852" s="26" t="s">
        <v>1052</v>
      </c>
      <c r="D4852" s="8">
        <v>500</v>
      </c>
      <c r="E4852" s="8"/>
      <c r="F4852" s="92">
        <f t="shared" si="66"/>
        <v>2953</v>
      </c>
    </row>
    <row r="4853" spans="1:7" x14ac:dyDescent="0.25">
      <c r="A4853" s="204">
        <v>43276</v>
      </c>
      <c r="B4853" s="26" t="s">
        <v>28</v>
      </c>
      <c r="C4853" s="26" t="s">
        <v>1052</v>
      </c>
      <c r="D4853" s="8">
        <v>1500</v>
      </c>
      <c r="E4853" s="8"/>
      <c r="F4853" s="92">
        <f t="shared" si="66"/>
        <v>1453</v>
      </c>
    </row>
    <row r="4854" spans="1:7" x14ac:dyDescent="0.25">
      <c r="A4854" s="204">
        <v>43276</v>
      </c>
      <c r="B4854" s="26" t="s">
        <v>26</v>
      </c>
      <c r="C4854" s="26" t="s">
        <v>3791</v>
      </c>
      <c r="D4854" s="8">
        <v>340</v>
      </c>
      <c r="E4854" s="8"/>
      <c r="F4854" s="92">
        <f t="shared" si="66"/>
        <v>1113</v>
      </c>
    </row>
    <row r="4855" spans="1:7" x14ac:dyDescent="0.25">
      <c r="A4855" s="204">
        <v>43276</v>
      </c>
      <c r="B4855" s="26" t="s">
        <v>3792</v>
      </c>
      <c r="C4855" s="26" t="s">
        <v>3793</v>
      </c>
      <c r="D4855" s="8">
        <v>50</v>
      </c>
      <c r="E4855" s="8"/>
      <c r="F4855" s="92">
        <f t="shared" si="66"/>
        <v>1063</v>
      </c>
    </row>
    <row r="4856" spans="1:7" x14ac:dyDescent="0.25">
      <c r="A4856" s="204">
        <v>43276</v>
      </c>
      <c r="B4856" s="26" t="s">
        <v>26</v>
      </c>
      <c r="C4856" s="26" t="s">
        <v>3794</v>
      </c>
      <c r="D4856" s="8">
        <f>670+140</f>
        <v>810</v>
      </c>
      <c r="E4856" s="8"/>
      <c r="F4856" s="92">
        <f t="shared" si="66"/>
        <v>253</v>
      </c>
    </row>
    <row r="4857" spans="1:7" x14ac:dyDescent="0.25">
      <c r="A4857" s="204">
        <v>43276</v>
      </c>
      <c r="B4857" s="26" t="s">
        <v>28</v>
      </c>
      <c r="C4857" s="26" t="s">
        <v>3795</v>
      </c>
      <c r="D4857" s="8">
        <f>80+30+30+70</f>
        <v>210</v>
      </c>
      <c r="E4857" s="8"/>
      <c r="F4857" s="92">
        <f t="shared" si="66"/>
        <v>43</v>
      </c>
    </row>
    <row r="4858" spans="1:7" x14ac:dyDescent="0.25">
      <c r="A4858" s="204">
        <v>43276</v>
      </c>
      <c r="B4858" s="26" t="s">
        <v>542</v>
      </c>
      <c r="C4858" s="26" t="s">
        <v>3796</v>
      </c>
      <c r="D4858" s="8">
        <v>70</v>
      </c>
      <c r="E4858" s="8"/>
      <c r="F4858" s="92">
        <f t="shared" si="66"/>
        <v>-27</v>
      </c>
    </row>
    <row r="4859" spans="1:7" x14ac:dyDescent="0.25">
      <c r="A4859" s="204">
        <v>43277</v>
      </c>
      <c r="B4859" s="460" t="s">
        <v>3721</v>
      </c>
      <c r="C4859" s="460"/>
      <c r="D4859" s="71"/>
      <c r="E4859" s="58">
        <v>100000</v>
      </c>
      <c r="F4859" s="92">
        <f t="shared" si="66"/>
        <v>99973</v>
      </c>
    </row>
    <row r="4860" spans="1:7" x14ac:dyDescent="0.25">
      <c r="A4860" s="204">
        <v>43277</v>
      </c>
      <c r="B4860" s="26" t="s">
        <v>2333</v>
      </c>
      <c r="C4860" s="26" t="s">
        <v>3800</v>
      </c>
      <c r="D4860" s="8">
        <v>9400</v>
      </c>
      <c r="E4860" s="8"/>
      <c r="F4860" s="92">
        <f t="shared" si="66"/>
        <v>90573</v>
      </c>
    </row>
    <row r="4861" spans="1:7" x14ac:dyDescent="0.25">
      <c r="A4861" s="204">
        <v>43277</v>
      </c>
      <c r="B4861" s="26" t="s">
        <v>59</v>
      </c>
      <c r="C4861" s="26" t="s">
        <v>3814</v>
      </c>
      <c r="D4861" s="8">
        <v>43640</v>
      </c>
      <c r="E4861" s="8"/>
      <c r="F4861" s="92">
        <f t="shared" si="66"/>
        <v>46933</v>
      </c>
      <c r="G4861" s="25"/>
    </row>
    <row r="4862" spans="1:7" x14ac:dyDescent="0.25">
      <c r="A4862" s="204">
        <v>43277</v>
      </c>
      <c r="B4862" s="26" t="s">
        <v>14</v>
      </c>
      <c r="C4862" s="26" t="s">
        <v>3802</v>
      </c>
      <c r="D4862" s="8">
        <v>5000</v>
      </c>
      <c r="E4862" s="8"/>
      <c r="F4862" s="92">
        <f t="shared" si="66"/>
        <v>41933</v>
      </c>
    </row>
    <row r="4863" spans="1:7" x14ac:dyDescent="0.25">
      <c r="A4863" s="204">
        <v>43277</v>
      </c>
      <c r="B4863" s="26" t="s">
        <v>3412</v>
      </c>
      <c r="C4863" s="26" t="s">
        <v>3805</v>
      </c>
      <c r="D4863" s="8">
        <v>2500</v>
      </c>
      <c r="E4863" s="8"/>
      <c r="F4863" s="92">
        <f t="shared" si="66"/>
        <v>39433</v>
      </c>
    </row>
    <row r="4864" spans="1:7" x14ac:dyDescent="0.25">
      <c r="A4864" s="204">
        <v>43277</v>
      </c>
      <c r="B4864" s="26" t="s">
        <v>59</v>
      </c>
      <c r="C4864" s="26" t="s">
        <v>3797</v>
      </c>
      <c r="D4864" s="8">
        <v>50</v>
      </c>
      <c r="E4864" s="8"/>
      <c r="F4864" s="92">
        <f t="shared" si="66"/>
        <v>39383</v>
      </c>
    </row>
    <row r="4865" spans="1:6" x14ac:dyDescent="0.25">
      <c r="A4865" s="204">
        <v>43277</v>
      </c>
      <c r="B4865" s="26" t="s">
        <v>59</v>
      </c>
      <c r="C4865" s="26" t="s">
        <v>3798</v>
      </c>
      <c r="D4865" s="8">
        <v>70</v>
      </c>
      <c r="E4865" s="8"/>
      <c r="F4865" s="92">
        <f t="shared" si="66"/>
        <v>39313</v>
      </c>
    </row>
    <row r="4866" spans="1:6" x14ac:dyDescent="0.25">
      <c r="A4866" s="204">
        <v>43277</v>
      </c>
      <c r="B4866" s="26" t="s">
        <v>59</v>
      </c>
      <c r="C4866" s="26" t="s">
        <v>3799</v>
      </c>
      <c r="D4866" s="8">
        <v>120</v>
      </c>
      <c r="E4866" s="8"/>
      <c r="F4866" s="92">
        <f t="shared" si="66"/>
        <v>39193</v>
      </c>
    </row>
    <row r="4867" spans="1:6" x14ac:dyDescent="0.25">
      <c r="A4867" s="204">
        <v>43277</v>
      </c>
      <c r="B4867" s="26" t="s">
        <v>3829</v>
      </c>
      <c r="C4867" s="26" t="s">
        <v>3801</v>
      </c>
      <c r="D4867" s="8">
        <v>1930</v>
      </c>
      <c r="E4867" s="8"/>
      <c r="F4867" s="92">
        <f t="shared" si="66"/>
        <v>37263</v>
      </c>
    </row>
    <row r="4868" spans="1:6" x14ac:dyDescent="0.25">
      <c r="A4868" s="204">
        <v>43277</v>
      </c>
      <c r="B4868" s="460" t="s">
        <v>3807</v>
      </c>
      <c r="C4868" s="460"/>
      <c r="D4868" s="71"/>
      <c r="E4868" s="58">
        <v>10000</v>
      </c>
      <c r="F4868" s="92">
        <f t="shared" si="66"/>
        <v>47263</v>
      </c>
    </row>
    <row r="4869" spans="1:6" x14ac:dyDescent="0.25">
      <c r="A4869" s="204">
        <v>43277</v>
      </c>
      <c r="B4869" s="26" t="s">
        <v>28</v>
      </c>
      <c r="C4869" s="26" t="s">
        <v>295</v>
      </c>
      <c r="D4869" s="8">
        <v>2000</v>
      </c>
      <c r="E4869" s="8"/>
      <c r="F4869" s="92">
        <f t="shared" si="66"/>
        <v>45263</v>
      </c>
    </row>
    <row r="4870" spans="1:6" x14ac:dyDescent="0.25">
      <c r="A4870" s="204">
        <v>43277</v>
      </c>
      <c r="B4870" s="26" t="s">
        <v>3628</v>
      </c>
      <c r="C4870" s="26" t="s">
        <v>3803</v>
      </c>
      <c r="D4870" s="8">
        <f>185+534+170</f>
        <v>889</v>
      </c>
      <c r="E4870" s="8"/>
      <c r="F4870" s="92">
        <f t="shared" si="66"/>
        <v>44374</v>
      </c>
    </row>
    <row r="4871" spans="1:6" x14ac:dyDescent="0.25">
      <c r="A4871" s="204">
        <v>43277</v>
      </c>
      <c r="B4871" s="26" t="s">
        <v>3628</v>
      </c>
      <c r="C4871" s="26" t="s">
        <v>3804</v>
      </c>
      <c r="D4871" s="8">
        <v>70</v>
      </c>
      <c r="E4871" s="8"/>
      <c r="F4871" s="92">
        <f t="shared" si="66"/>
        <v>44304</v>
      </c>
    </row>
    <row r="4872" spans="1:6" x14ac:dyDescent="0.25">
      <c r="A4872" s="204">
        <v>43278</v>
      </c>
      <c r="B4872" s="26" t="s">
        <v>85</v>
      </c>
      <c r="C4872" s="26" t="s">
        <v>3806</v>
      </c>
      <c r="D4872" s="8">
        <v>500</v>
      </c>
      <c r="E4872" s="8"/>
      <c r="F4872" s="92">
        <f t="shared" si="66"/>
        <v>43804</v>
      </c>
    </row>
    <row r="4873" spans="1:6" x14ac:dyDescent="0.25">
      <c r="A4873" s="204">
        <v>43277</v>
      </c>
      <c r="B4873" s="26" t="s">
        <v>14</v>
      </c>
      <c r="C4873" s="26" t="s">
        <v>2386</v>
      </c>
      <c r="D4873" s="8">
        <v>1000</v>
      </c>
      <c r="E4873" s="8"/>
      <c r="F4873" s="92">
        <f t="shared" si="66"/>
        <v>42804</v>
      </c>
    </row>
    <row r="4874" spans="1:6" x14ac:dyDescent="0.25">
      <c r="A4874" s="204">
        <v>43277</v>
      </c>
      <c r="B4874" s="26" t="s">
        <v>61</v>
      </c>
      <c r="C4874" s="26" t="s">
        <v>3830</v>
      </c>
      <c r="D4874" s="8">
        <v>3000</v>
      </c>
      <c r="E4874" s="8"/>
      <c r="F4874" s="92">
        <f t="shared" si="66"/>
        <v>39804</v>
      </c>
    </row>
    <row r="4875" spans="1:6" x14ac:dyDescent="0.25">
      <c r="A4875" s="204">
        <v>43278</v>
      </c>
      <c r="B4875" s="26" t="s">
        <v>59</v>
      </c>
      <c r="C4875" s="26" t="s">
        <v>2116</v>
      </c>
      <c r="D4875" s="8">
        <v>100</v>
      </c>
      <c r="E4875" s="8"/>
      <c r="F4875" s="92">
        <f t="shared" si="66"/>
        <v>39704</v>
      </c>
    </row>
    <row r="4876" spans="1:6" x14ac:dyDescent="0.25">
      <c r="A4876" s="204">
        <v>43278</v>
      </c>
      <c r="B4876" s="460" t="s">
        <v>3721</v>
      </c>
      <c r="C4876" s="460"/>
      <c r="D4876" s="71"/>
      <c r="E4876" s="58">
        <v>50000</v>
      </c>
      <c r="F4876" s="92">
        <f t="shared" si="66"/>
        <v>89704</v>
      </c>
    </row>
    <row r="4877" spans="1:6" x14ac:dyDescent="0.25">
      <c r="A4877" s="204">
        <v>43278</v>
      </c>
      <c r="B4877" s="26" t="s">
        <v>3141</v>
      </c>
      <c r="C4877" s="26" t="s">
        <v>3808</v>
      </c>
      <c r="D4877" s="8">
        <v>25503</v>
      </c>
      <c r="E4877" s="8"/>
      <c r="F4877" s="92">
        <f t="shared" ref="F4877:F4940" si="67">F4876-D4877+E4877</f>
        <v>64201</v>
      </c>
    </row>
    <row r="4878" spans="1:6" x14ac:dyDescent="0.25">
      <c r="A4878" s="204">
        <v>43278</v>
      </c>
      <c r="B4878" s="26" t="s">
        <v>3141</v>
      </c>
      <c r="C4878" s="26" t="s">
        <v>3808</v>
      </c>
      <c r="D4878" s="8">
        <v>10326</v>
      </c>
      <c r="E4878" s="8"/>
      <c r="F4878" s="92">
        <f t="shared" si="67"/>
        <v>53875</v>
      </c>
    </row>
    <row r="4879" spans="1:6" x14ac:dyDescent="0.25">
      <c r="A4879" s="204">
        <v>43278</v>
      </c>
      <c r="B4879" s="26" t="s">
        <v>3141</v>
      </c>
      <c r="C4879" s="26" t="s">
        <v>3809</v>
      </c>
      <c r="D4879" s="8">
        <v>1320</v>
      </c>
      <c r="E4879" s="8"/>
      <c r="F4879" s="92">
        <f t="shared" si="67"/>
        <v>52555</v>
      </c>
    </row>
    <row r="4880" spans="1:6" x14ac:dyDescent="0.25">
      <c r="A4880" s="204">
        <v>43278</v>
      </c>
      <c r="B4880" s="26" t="s">
        <v>3141</v>
      </c>
      <c r="C4880" s="26" t="s">
        <v>3809</v>
      </c>
      <c r="D4880" s="8">
        <v>2920</v>
      </c>
      <c r="E4880" s="8"/>
      <c r="F4880" s="92">
        <f t="shared" si="67"/>
        <v>49635</v>
      </c>
    </row>
    <row r="4881" spans="1:6" x14ac:dyDescent="0.25">
      <c r="A4881" s="204">
        <v>43278</v>
      </c>
      <c r="B4881" s="26" t="s">
        <v>3141</v>
      </c>
      <c r="C4881" s="26" t="s">
        <v>3810</v>
      </c>
      <c r="D4881" s="8">
        <v>589</v>
      </c>
      <c r="E4881" s="8"/>
      <c r="F4881" s="92">
        <f t="shared" si="67"/>
        <v>49046</v>
      </c>
    </row>
    <row r="4882" spans="1:6" x14ac:dyDescent="0.25">
      <c r="A4882" s="204">
        <v>43278</v>
      </c>
      <c r="B4882" s="26" t="s">
        <v>3141</v>
      </c>
      <c r="C4882" s="26" t="s">
        <v>3811</v>
      </c>
      <c r="D4882" s="8">
        <v>13457</v>
      </c>
      <c r="E4882" s="8"/>
      <c r="F4882" s="92">
        <f t="shared" si="67"/>
        <v>35589</v>
      </c>
    </row>
    <row r="4883" spans="1:6" x14ac:dyDescent="0.25">
      <c r="A4883" s="204">
        <v>43278</v>
      </c>
      <c r="B4883" s="26" t="s">
        <v>3141</v>
      </c>
      <c r="C4883" s="26" t="s">
        <v>3831</v>
      </c>
      <c r="D4883" s="8">
        <v>2580</v>
      </c>
      <c r="E4883" s="8"/>
      <c r="F4883" s="92">
        <f t="shared" si="67"/>
        <v>33009</v>
      </c>
    </row>
    <row r="4884" spans="1:6" ht="30" x14ac:dyDescent="0.25">
      <c r="A4884" s="204">
        <v>43278</v>
      </c>
      <c r="B4884" s="26" t="s">
        <v>2597</v>
      </c>
      <c r="C4884" s="87" t="s">
        <v>3812</v>
      </c>
      <c r="D4884" s="8">
        <v>100</v>
      </c>
      <c r="E4884" s="8"/>
      <c r="F4884" s="92">
        <f t="shared" si="67"/>
        <v>32909</v>
      </c>
    </row>
    <row r="4885" spans="1:6" x14ac:dyDescent="0.25">
      <c r="A4885" s="204">
        <v>43278</v>
      </c>
      <c r="B4885" s="26" t="s">
        <v>2597</v>
      </c>
      <c r="C4885" s="87" t="s">
        <v>3813</v>
      </c>
      <c r="D4885" s="8">
        <v>50</v>
      </c>
      <c r="E4885" s="8"/>
      <c r="F4885" s="92">
        <f t="shared" si="67"/>
        <v>32859</v>
      </c>
    </row>
    <row r="4886" spans="1:6" x14ac:dyDescent="0.25">
      <c r="A4886" s="204">
        <v>43278</v>
      </c>
      <c r="B4886" s="26" t="s">
        <v>59</v>
      </c>
      <c r="C4886" s="26" t="s">
        <v>3815</v>
      </c>
      <c r="D4886" s="8">
        <v>200</v>
      </c>
      <c r="E4886" s="8"/>
      <c r="F4886" s="92">
        <f t="shared" si="67"/>
        <v>32659</v>
      </c>
    </row>
    <row r="4887" spans="1:6" x14ac:dyDescent="0.25">
      <c r="A4887" s="204">
        <v>43278</v>
      </c>
      <c r="B4887" s="26" t="s">
        <v>3412</v>
      </c>
      <c r="C4887" s="26" t="s">
        <v>3816</v>
      </c>
      <c r="D4887" s="8">
        <v>180</v>
      </c>
      <c r="E4887" s="8"/>
      <c r="F4887" s="92">
        <f t="shared" si="67"/>
        <v>32479</v>
      </c>
    </row>
    <row r="4888" spans="1:6" x14ac:dyDescent="0.25">
      <c r="A4888" s="204">
        <v>43278</v>
      </c>
      <c r="B4888" s="26" t="s">
        <v>59</v>
      </c>
      <c r="C4888" s="26" t="s">
        <v>3825</v>
      </c>
      <c r="D4888" s="8">
        <f>11520-130-130-20</f>
        <v>11240</v>
      </c>
      <c r="E4888" s="8"/>
      <c r="F4888" s="92">
        <f t="shared" si="67"/>
        <v>21239</v>
      </c>
    </row>
    <row r="4889" spans="1:6" x14ac:dyDescent="0.25">
      <c r="A4889" s="204">
        <v>43278</v>
      </c>
      <c r="B4889" s="26" t="s">
        <v>59</v>
      </c>
      <c r="C4889" s="26" t="s">
        <v>3832</v>
      </c>
      <c r="D4889" s="8">
        <f>11520-D4888</f>
        <v>280</v>
      </c>
      <c r="E4889" s="8"/>
      <c r="F4889" s="92">
        <f t="shared" si="67"/>
        <v>20959</v>
      </c>
    </row>
    <row r="4890" spans="1:6" x14ac:dyDescent="0.25">
      <c r="A4890" s="204">
        <v>43278</v>
      </c>
      <c r="B4890" s="26" t="s">
        <v>85</v>
      </c>
      <c r="C4890" s="26" t="s">
        <v>3817</v>
      </c>
      <c r="D4890" s="8">
        <v>2000</v>
      </c>
      <c r="E4890" s="8"/>
      <c r="F4890" s="92">
        <f t="shared" si="67"/>
        <v>18959</v>
      </c>
    </row>
    <row r="4891" spans="1:6" x14ac:dyDescent="0.25">
      <c r="A4891" s="204">
        <v>43278</v>
      </c>
      <c r="B4891" s="26" t="s">
        <v>17</v>
      </c>
      <c r="C4891" s="26" t="s">
        <v>3616</v>
      </c>
      <c r="D4891" s="8">
        <v>10250</v>
      </c>
      <c r="E4891" s="8"/>
      <c r="F4891" s="92">
        <f t="shared" si="67"/>
        <v>8709</v>
      </c>
    </row>
    <row r="4892" spans="1:6" x14ac:dyDescent="0.25">
      <c r="A4892" s="204">
        <v>43278</v>
      </c>
      <c r="B4892" s="26" t="s">
        <v>3818</v>
      </c>
      <c r="C4892" s="26" t="s">
        <v>3779</v>
      </c>
      <c r="D4892" s="8">
        <v>340</v>
      </c>
      <c r="E4892" s="8"/>
      <c r="F4892" s="92">
        <f t="shared" si="67"/>
        <v>8369</v>
      </c>
    </row>
    <row r="4893" spans="1:6" x14ac:dyDescent="0.25">
      <c r="A4893" s="204">
        <v>43278</v>
      </c>
      <c r="B4893" s="26" t="s">
        <v>3818</v>
      </c>
      <c r="C4893" s="26" t="s">
        <v>3819</v>
      </c>
      <c r="D4893" s="8">
        <v>100</v>
      </c>
      <c r="E4893" s="8"/>
      <c r="F4893" s="92">
        <f t="shared" si="67"/>
        <v>8269</v>
      </c>
    </row>
    <row r="4894" spans="1:6" x14ac:dyDescent="0.25">
      <c r="A4894" s="204">
        <v>43278</v>
      </c>
      <c r="B4894" s="26" t="s">
        <v>29</v>
      </c>
      <c r="C4894" s="26" t="s">
        <v>3820</v>
      </c>
      <c r="D4894" s="8">
        <v>1000</v>
      </c>
      <c r="E4894" s="8"/>
      <c r="F4894" s="92">
        <f t="shared" si="67"/>
        <v>7269</v>
      </c>
    </row>
    <row r="4895" spans="1:6" x14ac:dyDescent="0.25">
      <c r="A4895" s="204">
        <v>43278</v>
      </c>
      <c r="B4895" s="26" t="s">
        <v>3412</v>
      </c>
      <c r="C4895" s="26" t="s">
        <v>3828</v>
      </c>
      <c r="D4895" s="8">
        <v>50</v>
      </c>
      <c r="E4895" s="8"/>
      <c r="F4895" s="92">
        <f t="shared" si="67"/>
        <v>7219</v>
      </c>
    </row>
    <row r="4896" spans="1:6" x14ac:dyDescent="0.25">
      <c r="A4896" s="204">
        <v>43278</v>
      </c>
      <c r="B4896" s="26" t="s">
        <v>3821</v>
      </c>
      <c r="C4896" s="26" t="s">
        <v>3827</v>
      </c>
      <c r="D4896" s="8">
        <v>1500</v>
      </c>
      <c r="E4896" s="8"/>
      <c r="F4896" s="92">
        <f t="shared" si="67"/>
        <v>5719</v>
      </c>
    </row>
    <row r="4897" spans="1:7" x14ac:dyDescent="0.25">
      <c r="A4897" s="204">
        <v>43278</v>
      </c>
      <c r="B4897" s="26" t="s">
        <v>1840</v>
      </c>
      <c r="C4897" s="26" t="s">
        <v>3509</v>
      </c>
      <c r="D4897" s="8">
        <v>2000</v>
      </c>
      <c r="E4897" s="8"/>
      <c r="F4897" s="92">
        <f t="shared" si="67"/>
        <v>3719</v>
      </c>
    </row>
    <row r="4898" spans="1:7" x14ac:dyDescent="0.25">
      <c r="A4898" s="204">
        <v>43278</v>
      </c>
      <c r="B4898" s="26" t="s">
        <v>28</v>
      </c>
      <c r="C4898" s="26" t="s">
        <v>3822</v>
      </c>
      <c r="D4898" s="8">
        <v>150</v>
      </c>
      <c r="E4898" s="8"/>
      <c r="F4898" s="92">
        <f t="shared" si="67"/>
        <v>3569</v>
      </c>
    </row>
    <row r="4899" spans="1:7" x14ac:dyDescent="0.25">
      <c r="A4899" s="204">
        <v>43279</v>
      </c>
      <c r="B4899" s="26" t="s">
        <v>28</v>
      </c>
      <c r="C4899" s="26" t="s">
        <v>3509</v>
      </c>
      <c r="D4899" s="8">
        <v>800</v>
      </c>
      <c r="E4899" s="8"/>
      <c r="F4899" s="92">
        <f t="shared" si="67"/>
        <v>2769</v>
      </c>
    </row>
    <row r="4900" spans="1:7" x14ac:dyDescent="0.25">
      <c r="A4900" s="204">
        <v>43279</v>
      </c>
      <c r="B4900" s="26" t="s">
        <v>26</v>
      </c>
      <c r="C4900" s="26" t="s">
        <v>3823</v>
      </c>
      <c r="D4900" s="8">
        <f>400+600+30+80+220+150+35+48+210</f>
        <v>1773</v>
      </c>
      <c r="E4900" s="8"/>
      <c r="F4900" s="92">
        <f t="shared" si="67"/>
        <v>996</v>
      </c>
    </row>
    <row r="4901" spans="1:7" x14ac:dyDescent="0.25">
      <c r="A4901" s="204">
        <v>43279</v>
      </c>
      <c r="B4901" s="26" t="s">
        <v>28</v>
      </c>
      <c r="C4901" s="26" t="s">
        <v>3824</v>
      </c>
      <c r="D4901" s="8">
        <v>80</v>
      </c>
      <c r="E4901" s="8"/>
      <c r="F4901" s="92">
        <f t="shared" si="67"/>
        <v>916</v>
      </c>
    </row>
    <row r="4902" spans="1:7" x14ac:dyDescent="0.25">
      <c r="A4902" s="204">
        <v>43279</v>
      </c>
      <c r="B4902" s="26" t="s">
        <v>3659</v>
      </c>
      <c r="C4902" s="26" t="s">
        <v>3221</v>
      </c>
      <c r="D4902" s="8">
        <v>150</v>
      </c>
      <c r="E4902" s="8"/>
      <c r="F4902" s="92">
        <f t="shared" si="67"/>
        <v>766</v>
      </c>
    </row>
    <row r="4903" spans="1:7" x14ac:dyDescent="0.25">
      <c r="A4903" s="204">
        <v>43279</v>
      </c>
      <c r="B4903" s="26" t="s">
        <v>59</v>
      </c>
      <c r="C4903" s="26" t="s">
        <v>3815</v>
      </c>
      <c r="D4903" s="8">
        <v>480</v>
      </c>
      <c r="E4903" s="8"/>
      <c r="F4903" s="92">
        <f t="shared" si="67"/>
        <v>286</v>
      </c>
    </row>
    <row r="4904" spans="1:7" x14ac:dyDescent="0.25">
      <c r="A4904" s="204">
        <v>43280</v>
      </c>
      <c r="B4904" s="26" t="s">
        <v>1461</v>
      </c>
      <c r="C4904" s="26" t="s">
        <v>3826</v>
      </c>
      <c r="D4904" s="8">
        <v>80</v>
      </c>
      <c r="E4904" s="8"/>
      <c r="F4904" s="92">
        <f t="shared" si="67"/>
        <v>206</v>
      </c>
    </row>
    <row r="4905" spans="1:7" x14ac:dyDescent="0.25">
      <c r="A4905" s="204">
        <v>43280</v>
      </c>
      <c r="B4905" s="460" t="s">
        <v>3721</v>
      </c>
      <c r="C4905" s="460"/>
      <c r="D4905" s="71"/>
      <c r="E4905" s="58">
        <v>50000</v>
      </c>
      <c r="F4905" s="92">
        <f t="shared" si="67"/>
        <v>50206</v>
      </c>
    </row>
    <row r="4906" spans="1:7" x14ac:dyDescent="0.25">
      <c r="A4906" s="204">
        <v>43280</v>
      </c>
      <c r="B4906" s="26" t="s">
        <v>3821</v>
      </c>
      <c r="C4906" s="26" t="s">
        <v>3833</v>
      </c>
      <c r="D4906" s="8">
        <v>1800</v>
      </c>
      <c r="E4906" s="8"/>
      <c r="F4906" s="92">
        <f t="shared" si="67"/>
        <v>48406</v>
      </c>
    </row>
    <row r="4907" spans="1:7" x14ac:dyDescent="0.25">
      <c r="A4907" s="204">
        <v>43280</v>
      </c>
      <c r="B4907" s="26" t="s">
        <v>2099</v>
      </c>
      <c r="C4907" s="26" t="s">
        <v>3842</v>
      </c>
      <c r="D4907" s="8">
        <v>45000</v>
      </c>
      <c r="E4907" s="8"/>
      <c r="F4907" s="92">
        <f t="shared" si="67"/>
        <v>3406</v>
      </c>
    </row>
    <row r="4908" spans="1:7" x14ac:dyDescent="0.25">
      <c r="A4908" s="204">
        <v>43280</v>
      </c>
      <c r="B4908" s="26" t="s">
        <v>59</v>
      </c>
      <c r="C4908" s="26" t="s">
        <v>3839</v>
      </c>
      <c r="D4908" s="8">
        <v>1450</v>
      </c>
      <c r="E4908" s="8"/>
      <c r="F4908" s="92">
        <f t="shared" si="67"/>
        <v>1956</v>
      </c>
    </row>
    <row r="4909" spans="1:7" x14ac:dyDescent="0.25">
      <c r="A4909" s="204">
        <v>43280</v>
      </c>
      <c r="B4909" s="26" t="s">
        <v>59</v>
      </c>
      <c r="C4909" s="26" t="s">
        <v>3840</v>
      </c>
      <c r="D4909" s="8">
        <v>120</v>
      </c>
      <c r="E4909" s="8"/>
      <c r="F4909" s="92">
        <f t="shared" si="67"/>
        <v>1836</v>
      </c>
    </row>
    <row r="4910" spans="1:7" x14ac:dyDescent="0.25">
      <c r="A4910" s="204">
        <v>43280</v>
      </c>
      <c r="B4910" s="26" t="s">
        <v>59</v>
      </c>
      <c r="C4910" s="26" t="s">
        <v>3841</v>
      </c>
      <c r="D4910" s="8">
        <v>80</v>
      </c>
      <c r="E4910" s="8"/>
      <c r="F4910" s="92">
        <f t="shared" si="67"/>
        <v>1756</v>
      </c>
    </row>
    <row r="4911" spans="1:7" x14ac:dyDescent="0.25">
      <c r="A4911" s="204">
        <v>43280</v>
      </c>
      <c r="B4911" s="26" t="s">
        <v>2597</v>
      </c>
      <c r="C4911" s="26" t="s">
        <v>3834</v>
      </c>
      <c r="D4911" s="8">
        <v>100</v>
      </c>
      <c r="E4911" s="8"/>
      <c r="F4911" s="92">
        <f t="shared" si="67"/>
        <v>1656</v>
      </c>
      <c r="G4911" s="25"/>
    </row>
    <row r="4912" spans="1:7" x14ac:dyDescent="0.25">
      <c r="A4912" s="204">
        <v>43281</v>
      </c>
      <c r="B4912" s="26" t="s">
        <v>14</v>
      </c>
      <c r="C4912" s="26" t="s">
        <v>295</v>
      </c>
      <c r="D4912" s="8">
        <v>500</v>
      </c>
      <c r="E4912" s="8"/>
      <c r="F4912" s="92">
        <f t="shared" si="67"/>
        <v>1156</v>
      </c>
    </row>
    <row r="4913" spans="1:6" x14ac:dyDescent="0.25">
      <c r="A4913" s="204">
        <v>43281</v>
      </c>
      <c r="B4913" s="26" t="s">
        <v>1461</v>
      </c>
      <c r="C4913" s="26" t="s">
        <v>3835</v>
      </c>
      <c r="D4913" s="8">
        <v>300</v>
      </c>
      <c r="E4913" s="8"/>
      <c r="F4913" s="92">
        <f t="shared" si="67"/>
        <v>856</v>
      </c>
    </row>
    <row r="4914" spans="1:6" x14ac:dyDescent="0.25">
      <c r="A4914" s="204">
        <v>43281</v>
      </c>
      <c r="B4914" s="26" t="s">
        <v>26</v>
      </c>
      <c r="C4914" s="26" t="s">
        <v>3836</v>
      </c>
      <c r="D4914" s="8">
        <v>240</v>
      </c>
      <c r="E4914" s="8"/>
      <c r="F4914" s="92">
        <f t="shared" si="67"/>
        <v>616</v>
      </c>
    </row>
    <row r="4915" spans="1:6" x14ac:dyDescent="0.25">
      <c r="A4915" s="204">
        <v>43281</v>
      </c>
      <c r="B4915" s="26" t="s">
        <v>3818</v>
      </c>
      <c r="C4915" s="26" t="s">
        <v>2016</v>
      </c>
      <c r="D4915" s="8">
        <v>70</v>
      </c>
      <c r="E4915" s="8"/>
      <c r="F4915" s="92">
        <f t="shared" si="67"/>
        <v>546</v>
      </c>
    </row>
    <row r="4916" spans="1:6" x14ac:dyDescent="0.25">
      <c r="A4916" s="204">
        <v>43281</v>
      </c>
      <c r="B4916" s="26" t="s">
        <v>28</v>
      </c>
      <c r="C4916" s="26" t="s">
        <v>3837</v>
      </c>
      <c r="D4916" s="8">
        <v>20</v>
      </c>
      <c r="E4916" s="8"/>
      <c r="F4916" s="92">
        <f t="shared" si="67"/>
        <v>526</v>
      </c>
    </row>
    <row r="4917" spans="1:6" x14ac:dyDescent="0.25">
      <c r="A4917" s="204">
        <v>43281</v>
      </c>
      <c r="B4917" s="26" t="s">
        <v>3818</v>
      </c>
      <c r="C4917" s="26" t="s">
        <v>3838</v>
      </c>
      <c r="D4917" s="8">
        <v>130</v>
      </c>
      <c r="E4917" s="8"/>
      <c r="F4917" s="92">
        <f t="shared" si="67"/>
        <v>396</v>
      </c>
    </row>
    <row r="4918" spans="1:6" x14ac:dyDescent="0.25">
      <c r="A4918" s="204">
        <v>43281</v>
      </c>
      <c r="B4918" s="26" t="s">
        <v>59</v>
      </c>
      <c r="C4918" s="26" t="s">
        <v>3284</v>
      </c>
      <c r="D4918" s="8">
        <v>350</v>
      </c>
      <c r="E4918" s="8"/>
      <c r="F4918" s="92">
        <f t="shared" si="67"/>
        <v>46</v>
      </c>
    </row>
    <row r="4919" spans="1:6" x14ac:dyDescent="0.25">
      <c r="A4919" s="204">
        <v>43281</v>
      </c>
      <c r="B4919" s="460" t="s">
        <v>2913</v>
      </c>
      <c r="C4919" s="460"/>
      <c r="D4919" s="71"/>
      <c r="E4919" s="58">
        <v>4000</v>
      </c>
      <c r="F4919" s="92">
        <f t="shared" si="67"/>
        <v>4046</v>
      </c>
    </row>
    <row r="4920" spans="1:6" x14ac:dyDescent="0.25">
      <c r="A4920" s="204">
        <v>43281</v>
      </c>
      <c r="B4920" s="26" t="s">
        <v>3412</v>
      </c>
      <c r="C4920" s="26" t="s">
        <v>3843</v>
      </c>
      <c r="D4920" s="8">
        <v>40</v>
      </c>
      <c r="E4920" s="8"/>
      <c r="F4920" s="92">
        <f t="shared" si="67"/>
        <v>4006</v>
      </c>
    </row>
    <row r="4921" spans="1:6" x14ac:dyDescent="0.25">
      <c r="A4921" s="204">
        <v>43281</v>
      </c>
      <c r="B4921" s="26" t="s">
        <v>3412</v>
      </c>
      <c r="C4921" s="26" t="s">
        <v>3844</v>
      </c>
      <c r="D4921" s="8">
        <v>300</v>
      </c>
      <c r="E4921" s="8"/>
      <c r="F4921" s="92">
        <f t="shared" si="67"/>
        <v>3706</v>
      </c>
    </row>
    <row r="4922" spans="1:6" x14ac:dyDescent="0.25">
      <c r="A4922" s="204">
        <v>43281</v>
      </c>
      <c r="B4922" s="26" t="s">
        <v>3412</v>
      </c>
      <c r="C4922" s="26" t="s">
        <v>3845</v>
      </c>
      <c r="D4922" s="8">
        <v>710</v>
      </c>
      <c r="E4922" s="8"/>
      <c r="F4922" s="92">
        <f t="shared" si="67"/>
        <v>2996</v>
      </c>
    </row>
    <row r="4923" spans="1:6" x14ac:dyDescent="0.25">
      <c r="A4923" s="204">
        <v>43281</v>
      </c>
      <c r="B4923" s="26" t="s">
        <v>3738</v>
      </c>
      <c r="C4923" s="26" t="s">
        <v>3846</v>
      </c>
      <c r="D4923" s="8">
        <v>1000</v>
      </c>
      <c r="E4923" s="8"/>
      <c r="F4923" s="92">
        <f t="shared" si="67"/>
        <v>1996</v>
      </c>
    </row>
    <row r="4924" spans="1:6" x14ac:dyDescent="0.25">
      <c r="A4924" s="204">
        <v>43281</v>
      </c>
      <c r="B4924" s="460" t="s">
        <v>1984</v>
      </c>
      <c r="C4924" s="460"/>
      <c r="D4924" s="71"/>
      <c r="E4924" s="58">
        <v>1500</v>
      </c>
      <c r="F4924" s="92">
        <f t="shared" si="67"/>
        <v>3496</v>
      </c>
    </row>
    <row r="4925" spans="1:6" x14ac:dyDescent="0.25">
      <c r="A4925" s="204">
        <v>43281</v>
      </c>
      <c r="B4925" s="26" t="s">
        <v>1619</v>
      </c>
      <c r="C4925" s="26" t="s">
        <v>3414</v>
      </c>
      <c r="D4925" s="8">
        <v>520</v>
      </c>
      <c r="E4925" s="8"/>
      <c r="F4925" s="92">
        <f t="shared" si="67"/>
        <v>2976</v>
      </c>
    </row>
    <row r="4926" spans="1:6" x14ac:dyDescent="0.25">
      <c r="A4926" s="204">
        <v>43281</v>
      </c>
      <c r="B4926" s="26" t="s">
        <v>1619</v>
      </c>
      <c r="C4926" s="26" t="s">
        <v>3707</v>
      </c>
      <c r="D4926" s="8">
        <v>1000</v>
      </c>
      <c r="E4926" s="8"/>
      <c r="F4926" s="92">
        <f t="shared" si="67"/>
        <v>1976</v>
      </c>
    </row>
    <row r="4927" spans="1:6" x14ac:dyDescent="0.25">
      <c r="A4927" s="204">
        <v>43281</v>
      </c>
      <c r="B4927" s="26" t="s">
        <v>28</v>
      </c>
      <c r="C4927" s="26" t="s">
        <v>3878</v>
      </c>
      <c r="D4927" s="8">
        <v>230</v>
      </c>
      <c r="E4927" s="8"/>
      <c r="F4927" s="92">
        <f t="shared" si="67"/>
        <v>1746</v>
      </c>
    </row>
    <row r="4928" spans="1:6" x14ac:dyDescent="0.25">
      <c r="A4928" s="204">
        <v>43281</v>
      </c>
      <c r="B4928" s="26" t="s">
        <v>85</v>
      </c>
      <c r="C4928" s="26" t="s">
        <v>3847</v>
      </c>
      <c r="D4928" s="8">
        <v>1000</v>
      </c>
      <c r="E4928" s="8"/>
      <c r="F4928" s="92">
        <f t="shared" si="67"/>
        <v>746</v>
      </c>
    </row>
    <row r="4929" spans="1:6" x14ac:dyDescent="0.25">
      <c r="A4929" s="204">
        <v>43281</v>
      </c>
      <c r="B4929" s="26" t="s">
        <v>3848</v>
      </c>
      <c r="C4929" s="26" t="s">
        <v>3849</v>
      </c>
      <c r="D4929" s="8">
        <v>100</v>
      </c>
      <c r="E4929" s="8"/>
      <c r="F4929" s="92">
        <f t="shared" si="67"/>
        <v>646</v>
      </c>
    </row>
    <row r="4930" spans="1:6" x14ac:dyDescent="0.25">
      <c r="A4930" s="204">
        <v>43281</v>
      </c>
      <c r="B4930" s="460" t="s">
        <v>3721</v>
      </c>
      <c r="C4930" s="460"/>
      <c r="D4930" s="71"/>
      <c r="E4930" s="58">
        <v>30000</v>
      </c>
      <c r="F4930" s="92">
        <f t="shared" si="67"/>
        <v>30646</v>
      </c>
    </row>
    <row r="4931" spans="1:6" x14ac:dyDescent="0.25">
      <c r="A4931" s="204">
        <v>43284</v>
      </c>
      <c r="B4931" s="26" t="s">
        <v>59</v>
      </c>
      <c r="C4931" s="26" t="s">
        <v>3850</v>
      </c>
      <c r="D4931" s="8">
        <v>7800</v>
      </c>
      <c r="E4931" s="8"/>
      <c r="F4931" s="92">
        <f t="shared" si="67"/>
        <v>22846</v>
      </c>
    </row>
    <row r="4932" spans="1:6" x14ac:dyDescent="0.25">
      <c r="A4932" s="204">
        <v>43284</v>
      </c>
      <c r="B4932" s="26" t="s">
        <v>59</v>
      </c>
      <c r="C4932" s="26" t="s">
        <v>3851</v>
      </c>
      <c r="D4932" s="8">
        <v>300</v>
      </c>
      <c r="E4932" s="8"/>
      <c r="F4932" s="92">
        <f t="shared" si="67"/>
        <v>22546</v>
      </c>
    </row>
    <row r="4933" spans="1:6" x14ac:dyDescent="0.25">
      <c r="A4933" s="204">
        <v>43284</v>
      </c>
      <c r="B4933" s="26" t="s">
        <v>59</v>
      </c>
      <c r="C4933" s="26" t="s">
        <v>1255</v>
      </c>
      <c r="D4933" s="8">
        <v>500</v>
      </c>
      <c r="E4933" s="8"/>
      <c r="F4933" s="92">
        <f t="shared" si="67"/>
        <v>22046</v>
      </c>
    </row>
    <row r="4934" spans="1:6" ht="30" x14ac:dyDescent="0.25">
      <c r="A4934" s="204">
        <v>43284</v>
      </c>
      <c r="B4934" s="26" t="s">
        <v>59</v>
      </c>
      <c r="C4934" s="87" t="s">
        <v>3852</v>
      </c>
      <c r="D4934" s="8">
        <v>250</v>
      </c>
      <c r="E4934" s="8"/>
      <c r="F4934" s="92">
        <f t="shared" si="67"/>
        <v>21796</v>
      </c>
    </row>
    <row r="4935" spans="1:6" x14ac:dyDescent="0.25">
      <c r="A4935" s="204">
        <v>43284</v>
      </c>
      <c r="B4935" s="26" t="s">
        <v>59</v>
      </c>
      <c r="C4935" s="26" t="s">
        <v>3853</v>
      </c>
      <c r="D4935" s="8">
        <v>50</v>
      </c>
      <c r="E4935" s="8"/>
      <c r="F4935" s="92">
        <f t="shared" si="67"/>
        <v>21746</v>
      </c>
    </row>
    <row r="4936" spans="1:6" ht="30" x14ac:dyDescent="0.25">
      <c r="A4936" s="204">
        <v>43284</v>
      </c>
      <c r="B4936" s="26" t="s">
        <v>2597</v>
      </c>
      <c r="C4936" s="87" t="s">
        <v>3854</v>
      </c>
      <c r="D4936" s="8">
        <v>100</v>
      </c>
      <c r="E4936" s="8"/>
      <c r="F4936" s="92">
        <f t="shared" si="67"/>
        <v>21646</v>
      </c>
    </row>
    <row r="4937" spans="1:6" x14ac:dyDescent="0.25">
      <c r="A4937" s="204">
        <v>43284</v>
      </c>
      <c r="B4937" s="26" t="s">
        <v>2597</v>
      </c>
      <c r="C4937" s="26" t="s">
        <v>3855</v>
      </c>
      <c r="D4937" s="8">
        <v>150</v>
      </c>
      <c r="E4937" s="8"/>
      <c r="F4937" s="92">
        <f t="shared" si="67"/>
        <v>21496</v>
      </c>
    </row>
    <row r="4938" spans="1:6" x14ac:dyDescent="0.25">
      <c r="A4938" s="204">
        <v>43284</v>
      </c>
      <c r="B4938" s="26" t="s">
        <v>2597</v>
      </c>
      <c r="C4938" s="26" t="s">
        <v>3856</v>
      </c>
      <c r="D4938" s="8">
        <v>300</v>
      </c>
      <c r="E4938" s="8"/>
      <c r="F4938" s="92">
        <f t="shared" si="67"/>
        <v>21196</v>
      </c>
    </row>
    <row r="4939" spans="1:6" x14ac:dyDescent="0.25">
      <c r="A4939" s="204">
        <v>43284</v>
      </c>
      <c r="B4939" s="26" t="s">
        <v>2597</v>
      </c>
      <c r="C4939" s="26" t="s">
        <v>3857</v>
      </c>
      <c r="D4939" s="8">
        <v>300</v>
      </c>
      <c r="E4939" s="8"/>
      <c r="F4939" s="92">
        <f t="shared" si="67"/>
        <v>20896</v>
      </c>
    </row>
    <row r="4940" spans="1:6" x14ac:dyDescent="0.25">
      <c r="A4940" s="204">
        <v>43284</v>
      </c>
      <c r="B4940" s="26" t="s">
        <v>26</v>
      </c>
      <c r="C4940" s="26" t="s">
        <v>3858</v>
      </c>
      <c r="D4940" s="8">
        <v>100</v>
      </c>
      <c r="E4940" s="8"/>
      <c r="F4940" s="92">
        <f t="shared" si="67"/>
        <v>20796</v>
      </c>
    </row>
    <row r="4941" spans="1:6" x14ac:dyDescent="0.25">
      <c r="A4941" s="204">
        <v>43284</v>
      </c>
      <c r="B4941" s="26" t="s">
        <v>2573</v>
      </c>
      <c r="C4941" s="26" t="s">
        <v>3572</v>
      </c>
      <c r="D4941" s="8">
        <v>300</v>
      </c>
      <c r="E4941" s="8"/>
      <c r="F4941" s="92">
        <f t="shared" ref="F4941:F4978" si="68">F4940-D4941+E4941</f>
        <v>20496</v>
      </c>
    </row>
    <row r="4942" spans="1:6" x14ac:dyDescent="0.25">
      <c r="A4942" s="204">
        <v>43284</v>
      </c>
      <c r="B4942" s="26" t="s">
        <v>28</v>
      </c>
      <c r="C4942" s="26" t="s">
        <v>3859</v>
      </c>
      <c r="D4942" s="8">
        <v>2500</v>
      </c>
      <c r="E4942" s="8"/>
      <c r="F4942" s="92">
        <f t="shared" si="68"/>
        <v>17996</v>
      </c>
    </row>
    <row r="4943" spans="1:6" x14ac:dyDescent="0.25">
      <c r="A4943" s="204">
        <v>43284</v>
      </c>
      <c r="B4943" s="26" t="s">
        <v>0</v>
      </c>
      <c r="C4943" s="26" t="s">
        <v>3860</v>
      </c>
      <c r="D4943" s="8">
        <v>2000</v>
      </c>
      <c r="E4943" s="8"/>
      <c r="F4943" s="92">
        <f t="shared" si="68"/>
        <v>15996</v>
      </c>
    </row>
    <row r="4944" spans="1:6" x14ac:dyDescent="0.25">
      <c r="A4944" s="204">
        <v>43284</v>
      </c>
      <c r="B4944" s="26" t="s">
        <v>1461</v>
      </c>
      <c r="C4944" s="26" t="s">
        <v>3861</v>
      </c>
      <c r="D4944" s="8">
        <v>1000</v>
      </c>
      <c r="E4944" s="8"/>
      <c r="F4944" s="92">
        <f t="shared" si="68"/>
        <v>14996</v>
      </c>
    </row>
    <row r="4945" spans="1:7" x14ac:dyDescent="0.25">
      <c r="A4945" s="204">
        <v>43284</v>
      </c>
      <c r="B4945" s="26" t="s">
        <v>1461</v>
      </c>
      <c r="C4945" s="26" t="s">
        <v>3900</v>
      </c>
      <c r="D4945" s="8">
        <v>1700</v>
      </c>
      <c r="E4945" s="8"/>
      <c r="F4945" s="92">
        <f t="shared" si="68"/>
        <v>13296</v>
      </c>
    </row>
    <row r="4946" spans="1:7" x14ac:dyDescent="0.25">
      <c r="A4946" s="204">
        <v>43285</v>
      </c>
      <c r="B4946" s="26" t="s">
        <v>14</v>
      </c>
      <c r="C4946" s="26" t="s">
        <v>295</v>
      </c>
      <c r="D4946" s="8">
        <v>3000</v>
      </c>
      <c r="E4946" s="8"/>
      <c r="F4946" s="92">
        <f t="shared" si="68"/>
        <v>10296</v>
      </c>
    </row>
    <row r="4947" spans="1:7" x14ac:dyDescent="0.25">
      <c r="A4947" s="204">
        <v>43285</v>
      </c>
      <c r="B4947" s="26" t="s">
        <v>3818</v>
      </c>
      <c r="C4947" s="26" t="s">
        <v>3862</v>
      </c>
      <c r="D4947" s="8">
        <v>500</v>
      </c>
      <c r="E4947" s="8"/>
      <c r="F4947" s="92">
        <f t="shared" si="68"/>
        <v>9796</v>
      </c>
    </row>
    <row r="4948" spans="1:7" x14ac:dyDescent="0.25">
      <c r="A4948" s="204">
        <v>43285</v>
      </c>
      <c r="B4948" s="26" t="s">
        <v>59</v>
      </c>
      <c r="C4948" s="26" t="s">
        <v>3901</v>
      </c>
      <c r="D4948" s="8">
        <v>100</v>
      </c>
      <c r="E4948" s="8"/>
      <c r="F4948" s="92">
        <f t="shared" si="68"/>
        <v>9696</v>
      </c>
    </row>
    <row r="4949" spans="1:7" x14ac:dyDescent="0.25">
      <c r="A4949" s="204">
        <v>43285</v>
      </c>
      <c r="B4949" s="26" t="s">
        <v>59</v>
      </c>
      <c r="C4949" s="87" t="s">
        <v>3887</v>
      </c>
      <c r="D4949" s="8">
        <f>7090-150</f>
        <v>6940</v>
      </c>
      <c r="E4949" s="8"/>
      <c r="F4949" s="92">
        <f t="shared" si="68"/>
        <v>2756</v>
      </c>
    </row>
    <row r="4950" spans="1:7" x14ac:dyDescent="0.25">
      <c r="A4950" s="204">
        <v>43285</v>
      </c>
      <c r="B4950" s="26" t="s">
        <v>59</v>
      </c>
      <c r="C4950" s="26" t="s">
        <v>3886</v>
      </c>
      <c r="D4950" s="8">
        <v>150</v>
      </c>
      <c r="E4950" s="8"/>
      <c r="F4950" s="92">
        <f t="shared" si="68"/>
        <v>2606</v>
      </c>
      <c r="G4950" s="25"/>
    </row>
    <row r="4951" spans="1:7" x14ac:dyDescent="0.25">
      <c r="A4951" s="204">
        <v>43281</v>
      </c>
      <c r="B4951" s="460" t="s">
        <v>3721</v>
      </c>
      <c r="C4951" s="460"/>
      <c r="D4951" s="71"/>
      <c r="E4951" s="58">
        <v>100000</v>
      </c>
      <c r="F4951" s="92">
        <f t="shared" si="68"/>
        <v>102606</v>
      </c>
    </row>
    <row r="4952" spans="1:7" x14ac:dyDescent="0.25">
      <c r="A4952" s="204">
        <v>43285</v>
      </c>
      <c r="B4952" s="26" t="s">
        <v>3864</v>
      </c>
      <c r="C4952" s="26" t="s">
        <v>3865</v>
      </c>
      <c r="D4952" s="8">
        <v>1500</v>
      </c>
      <c r="E4952" s="8"/>
      <c r="F4952" s="92">
        <f t="shared" si="68"/>
        <v>101106</v>
      </c>
    </row>
    <row r="4953" spans="1:7" x14ac:dyDescent="0.25">
      <c r="A4953" s="204">
        <v>43285</v>
      </c>
      <c r="B4953" s="26" t="s">
        <v>59</v>
      </c>
      <c r="C4953" s="26" t="s">
        <v>3867</v>
      </c>
      <c r="D4953" s="8">
        <v>78500</v>
      </c>
      <c r="E4953" s="8"/>
      <c r="F4953" s="92">
        <f t="shared" si="68"/>
        <v>22606</v>
      </c>
    </row>
    <row r="4954" spans="1:7" x14ac:dyDescent="0.25">
      <c r="A4954" s="204">
        <v>43285</v>
      </c>
      <c r="B4954" s="26" t="s">
        <v>2573</v>
      </c>
      <c r="C4954" s="26" t="s">
        <v>3866</v>
      </c>
      <c r="D4954" s="8">
        <v>200</v>
      </c>
      <c r="E4954" s="8"/>
      <c r="F4954" s="92">
        <f t="shared" si="68"/>
        <v>22406</v>
      </c>
    </row>
    <row r="4955" spans="1:7" x14ac:dyDescent="0.25">
      <c r="A4955" s="204">
        <v>43285</v>
      </c>
      <c r="B4955" s="460" t="s">
        <v>3420</v>
      </c>
      <c r="C4955" s="460"/>
      <c r="D4955" s="71"/>
      <c r="E4955" s="58">
        <v>42534</v>
      </c>
      <c r="F4955" s="92">
        <f t="shared" si="68"/>
        <v>64940</v>
      </c>
    </row>
    <row r="4956" spans="1:7" x14ac:dyDescent="0.25">
      <c r="A4956" s="204">
        <v>43285</v>
      </c>
      <c r="B4956" s="26" t="s">
        <v>2597</v>
      </c>
      <c r="C4956" s="26" t="s">
        <v>3863</v>
      </c>
      <c r="D4956" s="8">
        <v>6000</v>
      </c>
      <c r="E4956" s="8"/>
      <c r="F4956" s="92">
        <f t="shared" si="68"/>
        <v>58940</v>
      </c>
    </row>
    <row r="4957" spans="1:7" x14ac:dyDescent="0.25">
      <c r="A4957" s="204">
        <v>43285</v>
      </c>
      <c r="B4957" s="26" t="s">
        <v>14</v>
      </c>
      <c r="C4957" s="26" t="s">
        <v>3869</v>
      </c>
      <c r="D4957" s="161">
        <v>4750</v>
      </c>
      <c r="E4957" s="8"/>
      <c r="F4957" s="92">
        <f t="shared" si="68"/>
        <v>54190</v>
      </c>
    </row>
    <row r="4958" spans="1:7" x14ac:dyDescent="0.25">
      <c r="A4958" s="204">
        <v>43286</v>
      </c>
      <c r="B4958" s="26" t="s">
        <v>14</v>
      </c>
      <c r="C4958" s="26" t="s">
        <v>3870</v>
      </c>
      <c r="D4958" s="161">
        <v>9550</v>
      </c>
      <c r="E4958" s="8"/>
      <c r="F4958" s="92">
        <f t="shared" si="68"/>
        <v>44640</v>
      </c>
    </row>
    <row r="4959" spans="1:7" x14ac:dyDescent="0.25">
      <c r="A4959" s="204">
        <v>43286</v>
      </c>
      <c r="B4959" s="26" t="s">
        <v>3829</v>
      </c>
      <c r="C4959" s="26" t="s">
        <v>3868</v>
      </c>
      <c r="D4959" s="8">
        <v>1140</v>
      </c>
      <c r="E4959" s="8"/>
      <c r="F4959" s="92">
        <f t="shared" si="68"/>
        <v>43500</v>
      </c>
    </row>
    <row r="4960" spans="1:7" x14ac:dyDescent="0.25">
      <c r="A4960" s="204">
        <v>43286</v>
      </c>
      <c r="B4960" s="26" t="s">
        <v>55</v>
      </c>
      <c r="C4960" s="26" t="s">
        <v>3871</v>
      </c>
      <c r="D4960" s="8">
        <v>2000</v>
      </c>
      <c r="E4960" s="8"/>
      <c r="F4960" s="92">
        <f t="shared" si="68"/>
        <v>41500</v>
      </c>
    </row>
    <row r="4961" spans="1:7" x14ac:dyDescent="0.25">
      <c r="A4961" s="204">
        <v>43286</v>
      </c>
      <c r="B4961" s="26" t="s">
        <v>55</v>
      </c>
      <c r="C4961" s="26" t="s">
        <v>3872</v>
      </c>
      <c r="D4961" s="8">
        <v>2000</v>
      </c>
      <c r="E4961" s="8"/>
      <c r="F4961" s="92">
        <f t="shared" si="68"/>
        <v>39500</v>
      </c>
    </row>
    <row r="4962" spans="1:7" ht="30" x14ac:dyDescent="0.25">
      <c r="A4962" s="204">
        <v>43286</v>
      </c>
      <c r="B4962" s="26" t="s">
        <v>3412</v>
      </c>
      <c r="C4962" s="87" t="s">
        <v>3873</v>
      </c>
      <c r="D4962" s="8">
        <v>150</v>
      </c>
      <c r="E4962" s="8"/>
      <c r="F4962" s="92">
        <f t="shared" si="68"/>
        <v>39350</v>
      </c>
    </row>
    <row r="4963" spans="1:7" x14ac:dyDescent="0.25">
      <c r="A4963" s="204">
        <v>43286</v>
      </c>
      <c r="B4963" s="26" t="s">
        <v>3429</v>
      </c>
      <c r="C4963" s="26" t="s">
        <v>3874</v>
      </c>
      <c r="D4963" s="8">
        <v>800</v>
      </c>
      <c r="E4963" s="8"/>
      <c r="F4963" s="92">
        <f t="shared" si="68"/>
        <v>38550</v>
      </c>
    </row>
    <row r="4964" spans="1:7" x14ac:dyDescent="0.25">
      <c r="A4964" s="204">
        <v>43286</v>
      </c>
      <c r="B4964" s="26" t="s">
        <v>3628</v>
      </c>
      <c r="C4964" s="26" t="s">
        <v>3875</v>
      </c>
      <c r="D4964" s="8">
        <v>450</v>
      </c>
      <c r="E4964" s="8"/>
      <c r="F4964" s="92">
        <f t="shared" si="68"/>
        <v>38100</v>
      </c>
    </row>
    <row r="4965" spans="1:7" x14ac:dyDescent="0.25">
      <c r="A4965" s="204">
        <v>43286</v>
      </c>
      <c r="B4965" s="26" t="s">
        <v>3818</v>
      </c>
      <c r="C4965" s="26" t="s">
        <v>3876</v>
      </c>
      <c r="D4965" s="8">
        <v>330</v>
      </c>
      <c r="E4965" s="8"/>
      <c r="F4965" s="92">
        <f t="shared" si="68"/>
        <v>37770</v>
      </c>
    </row>
    <row r="4966" spans="1:7" x14ac:dyDescent="0.25">
      <c r="A4966" s="204">
        <v>43286</v>
      </c>
      <c r="B4966" s="26" t="s">
        <v>3818</v>
      </c>
      <c r="C4966" s="26" t="s">
        <v>2814</v>
      </c>
      <c r="D4966" s="8">
        <v>680</v>
      </c>
      <c r="E4966" s="8"/>
      <c r="F4966" s="92">
        <f t="shared" si="68"/>
        <v>37090</v>
      </c>
    </row>
    <row r="4967" spans="1:7" ht="30" x14ac:dyDescent="0.25">
      <c r="A4967" s="204">
        <v>43286</v>
      </c>
      <c r="B4967" s="26" t="s">
        <v>26</v>
      </c>
      <c r="C4967" s="87" t="s">
        <v>3877</v>
      </c>
      <c r="D4967" s="8">
        <f>350+80+60+100</f>
        <v>590</v>
      </c>
      <c r="E4967" s="8"/>
      <c r="F4967" s="92">
        <f t="shared" si="68"/>
        <v>36500</v>
      </c>
    </row>
    <row r="4968" spans="1:7" x14ac:dyDescent="0.25">
      <c r="A4968" s="204">
        <v>43287</v>
      </c>
      <c r="B4968" s="26" t="s">
        <v>11</v>
      </c>
      <c r="C4968" s="26" t="s">
        <v>3879</v>
      </c>
      <c r="D4968" s="8">
        <v>1000</v>
      </c>
      <c r="E4968" s="8"/>
      <c r="F4968" s="92">
        <f t="shared" si="68"/>
        <v>35500</v>
      </c>
    </row>
    <row r="4969" spans="1:7" x14ac:dyDescent="0.25">
      <c r="A4969" s="204">
        <v>43287</v>
      </c>
      <c r="B4969" s="26" t="s">
        <v>101</v>
      </c>
      <c r="C4969" s="26" t="s">
        <v>3880</v>
      </c>
      <c r="D4969" s="8">
        <v>100</v>
      </c>
      <c r="E4969" s="8"/>
      <c r="F4969" s="92">
        <f t="shared" si="68"/>
        <v>35400</v>
      </c>
    </row>
    <row r="4970" spans="1:7" x14ac:dyDescent="0.25">
      <c r="A4970" s="204">
        <v>43287</v>
      </c>
      <c r="B4970" s="26" t="s">
        <v>3211</v>
      </c>
      <c r="C4970" s="26" t="s">
        <v>3212</v>
      </c>
      <c r="D4970" s="8">
        <v>4000</v>
      </c>
      <c r="E4970" s="8"/>
      <c r="F4970" s="92">
        <f t="shared" si="68"/>
        <v>31400</v>
      </c>
    </row>
    <row r="4971" spans="1:7" x14ac:dyDescent="0.25">
      <c r="A4971" s="204">
        <v>43287</v>
      </c>
      <c r="B4971" s="26" t="s">
        <v>59</v>
      </c>
      <c r="C4971" s="26" t="s">
        <v>3883</v>
      </c>
      <c r="D4971" s="8">
        <v>5115</v>
      </c>
      <c r="E4971" s="8"/>
      <c r="F4971" s="92">
        <f t="shared" si="68"/>
        <v>26285</v>
      </c>
    </row>
    <row r="4972" spans="1:7" x14ac:dyDescent="0.25">
      <c r="A4972" s="204">
        <v>43287</v>
      </c>
      <c r="B4972" s="26" t="s">
        <v>59</v>
      </c>
      <c r="C4972" s="26" t="s">
        <v>3884</v>
      </c>
      <c r="D4972" s="8">
        <v>250</v>
      </c>
      <c r="E4972" s="8"/>
      <c r="F4972" s="92">
        <f t="shared" si="68"/>
        <v>26035</v>
      </c>
    </row>
    <row r="4973" spans="1:7" x14ac:dyDescent="0.25">
      <c r="A4973" s="204">
        <v>43287</v>
      </c>
      <c r="B4973" s="26" t="s">
        <v>59</v>
      </c>
      <c r="C4973" s="26" t="s">
        <v>3885</v>
      </c>
      <c r="D4973" s="8">
        <v>400</v>
      </c>
      <c r="E4973" s="8"/>
      <c r="F4973" s="92">
        <f t="shared" si="68"/>
        <v>25635</v>
      </c>
      <c r="G4973" s="25"/>
    </row>
    <row r="4974" spans="1:7" x14ac:dyDescent="0.25">
      <c r="A4974" s="204">
        <v>43287</v>
      </c>
      <c r="B4974" s="26" t="s">
        <v>59</v>
      </c>
      <c r="C4974" s="26" t="s">
        <v>3886</v>
      </c>
      <c r="D4974" s="8">
        <v>150</v>
      </c>
      <c r="E4974" s="8"/>
      <c r="F4974" s="92">
        <f t="shared" si="68"/>
        <v>25485</v>
      </c>
      <c r="G4974" s="25"/>
    </row>
    <row r="4975" spans="1:7" x14ac:dyDescent="0.25">
      <c r="A4975" s="204">
        <v>43287</v>
      </c>
      <c r="B4975" s="26" t="s">
        <v>542</v>
      </c>
      <c r="C4975" s="26" t="s">
        <v>3881</v>
      </c>
      <c r="D4975" s="8">
        <v>20000</v>
      </c>
      <c r="E4975" s="8"/>
      <c r="F4975" s="92">
        <f t="shared" si="68"/>
        <v>5485</v>
      </c>
    </row>
    <row r="4976" spans="1:7" x14ac:dyDescent="0.25">
      <c r="A4976" s="204">
        <v>43288</v>
      </c>
      <c r="B4976" s="26" t="s">
        <v>3412</v>
      </c>
      <c r="C4976" s="26" t="s">
        <v>2314</v>
      </c>
      <c r="D4976" s="8">
        <v>1500</v>
      </c>
      <c r="E4976" s="8"/>
      <c r="F4976" s="92">
        <f t="shared" si="68"/>
        <v>3985</v>
      </c>
    </row>
    <row r="4977" spans="1:6" x14ac:dyDescent="0.25">
      <c r="A4977" s="204">
        <v>43290</v>
      </c>
      <c r="B4977" s="26" t="s">
        <v>3738</v>
      </c>
      <c r="C4977" s="26" t="s">
        <v>3882</v>
      </c>
      <c r="D4977" s="8">
        <v>1110</v>
      </c>
      <c r="E4977" s="8"/>
      <c r="F4977" s="92">
        <f t="shared" si="68"/>
        <v>2875</v>
      </c>
    </row>
    <row r="4978" spans="1:6" x14ac:dyDescent="0.25">
      <c r="A4978" s="204">
        <v>43290</v>
      </c>
      <c r="B4978" s="26" t="s">
        <v>17</v>
      </c>
      <c r="C4978" s="26" t="s">
        <v>3888</v>
      </c>
      <c r="D4978" s="8">
        <v>1000</v>
      </c>
      <c r="E4978" s="8"/>
      <c r="F4978" s="92">
        <f t="shared" si="68"/>
        <v>1875</v>
      </c>
    </row>
    <row r="4979" spans="1:6" x14ac:dyDescent="0.25">
      <c r="A4979" s="204">
        <v>43290</v>
      </c>
      <c r="B4979" s="460" t="s">
        <v>3721</v>
      </c>
      <c r="C4979" s="460"/>
      <c r="D4979" s="71"/>
      <c r="E4979" s="58">
        <v>50000</v>
      </c>
      <c r="F4979" s="92">
        <f t="shared" ref="F4979:F5000" si="69">F4978-D4979+E4979</f>
        <v>51875</v>
      </c>
    </row>
    <row r="4980" spans="1:6" x14ac:dyDescent="0.25">
      <c r="A4980" s="204">
        <v>43290</v>
      </c>
      <c r="B4980" s="26" t="s">
        <v>59</v>
      </c>
      <c r="C4980" s="26" t="s">
        <v>3146</v>
      </c>
      <c r="D4980" s="8">
        <v>5000</v>
      </c>
      <c r="E4980" s="8"/>
      <c r="F4980" s="92">
        <f t="shared" si="69"/>
        <v>46875</v>
      </c>
    </row>
    <row r="4981" spans="1:6" x14ac:dyDescent="0.25">
      <c r="A4981" s="204">
        <v>43290</v>
      </c>
      <c r="B4981" s="26" t="s">
        <v>55</v>
      </c>
      <c r="C4981" s="26" t="s">
        <v>3889</v>
      </c>
      <c r="D4981" s="8">
        <v>4200</v>
      </c>
      <c r="E4981" s="8"/>
      <c r="F4981" s="92">
        <f t="shared" si="69"/>
        <v>42675</v>
      </c>
    </row>
    <row r="4982" spans="1:6" x14ac:dyDescent="0.25">
      <c r="A4982" s="204">
        <v>43290</v>
      </c>
      <c r="B4982" s="26" t="s">
        <v>55</v>
      </c>
      <c r="C4982" s="26" t="s">
        <v>3890</v>
      </c>
      <c r="D4982" s="8">
        <v>18000</v>
      </c>
      <c r="E4982" s="8"/>
      <c r="F4982" s="92">
        <f t="shared" si="69"/>
        <v>24675</v>
      </c>
    </row>
    <row r="4983" spans="1:6" x14ac:dyDescent="0.25">
      <c r="A4983" s="204">
        <v>43290</v>
      </c>
      <c r="B4983" s="26" t="s">
        <v>55</v>
      </c>
      <c r="C4983" s="26" t="s">
        <v>3891</v>
      </c>
      <c r="D4983" s="8">
        <v>12200</v>
      </c>
      <c r="E4983" s="8"/>
      <c r="F4983" s="92">
        <f t="shared" si="69"/>
        <v>12475</v>
      </c>
    </row>
    <row r="4984" spans="1:6" x14ac:dyDescent="0.25">
      <c r="A4984" s="204">
        <v>43290</v>
      </c>
      <c r="B4984" s="26" t="s">
        <v>85</v>
      </c>
      <c r="C4984" s="26" t="s">
        <v>3892</v>
      </c>
      <c r="D4984" s="8">
        <v>7500</v>
      </c>
      <c r="E4984" s="8"/>
      <c r="F4984" s="92">
        <f t="shared" si="69"/>
        <v>4975</v>
      </c>
    </row>
    <row r="4985" spans="1:6" x14ac:dyDescent="0.25">
      <c r="A4985" s="204">
        <v>43290</v>
      </c>
      <c r="B4985" s="26" t="s">
        <v>11</v>
      </c>
      <c r="C4985" s="26" t="s">
        <v>3893</v>
      </c>
      <c r="D4985" s="8">
        <v>2650</v>
      </c>
      <c r="E4985" s="8"/>
      <c r="F4985" s="92">
        <f t="shared" si="69"/>
        <v>2325</v>
      </c>
    </row>
    <row r="4986" spans="1:6" x14ac:dyDescent="0.25">
      <c r="A4986" s="204">
        <v>43290</v>
      </c>
      <c r="B4986" s="26" t="s">
        <v>2597</v>
      </c>
      <c r="C4986" s="26" t="s">
        <v>3894</v>
      </c>
      <c r="D4986" s="8">
        <v>550</v>
      </c>
      <c r="E4986" s="8"/>
      <c r="F4986" s="92">
        <f t="shared" si="69"/>
        <v>1775</v>
      </c>
    </row>
    <row r="4987" spans="1:6" x14ac:dyDescent="0.25">
      <c r="A4987" s="204">
        <v>43290</v>
      </c>
      <c r="B4987" s="26" t="s">
        <v>1790</v>
      </c>
      <c r="C4987" s="26" t="s">
        <v>3895</v>
      </c>
      <c r="D4987" s="8">
        <v>1200</v>
      </c>
      <c r="E4987" s="8"/>
      <c r="F4987" s="92">
        <f t="shared" si="69"/>
        <v>575</v>
      </c>
    </row>
    <row r="4988" spans="1:6" x14ac:dyDescent="0.25">
      <c r="A4988" s="204">
        <v>43291</v>
      </c>
      <c r="B4988" s="26" t="s">
        <v>109</v>
      </c>
      <c r="C4988" s="26" t="s">
        <v>3896</v>
      </c>
      <c r="D4988" s="8">
        <v>150</v>
      </c>
      <c r="E4988" s="8"/>
      <c r="F4988" s="92">
        <f t="shared" si="69"/>
        <v>425</v>
      </c>
    </row>
    <row r="4989" spans="1:6" x14ac:dyDescent="0.25">
      <c r="A4989" s="204">
        <v>43291</v>
      </c>
      <c r="B4989" s="26" t="s">
        <v>3818</v>
      </c>
      <c r="C4989" s="26" t="s">
        <v>3899</v>
      </c>
      <c r="D4989" s="8">
        <v>390</v>
      </c>
      <c r="E4989" s="8"/>
      <c r="F4989" s="92">
        <f t="shared" si="69"/>
        <v>35</v>
      </c>
    </row>
    <row r="4990" spans="1:6" x14ac:dyDescent="0.25">
      <c r="A4990" s="204">
        <v>43290</v>
      </c>
      <c r="B4990" s="460" t="s">
        <v>3952</v>
      </c>
      <c r="C4990" s="460"/>
      <c r="D4990" s="71"/>
      <c r="E4990" s="58">
        <v>300000</v>
      </c>
      <c r="F4990" s="92">
        <f t="shared" si="69"/>
        <v>300035</v>
      </c>
    </row>
    <row r="4991" spans="1:6" x14ac:dyDescent="0.25">
      <c r="A4991" s="204">
        <v>43291</v>
      </c>
      <c r="B4991" s="26" t="s">
        <v>3563</v>
      </c>
      <c r="C4991" s="26" t="s">
        <v>3953</v>
      </c>
      <c r="D4991" s="8">
        <v>95000</v>
      </c>
      <c r="E4991" s="8"/>
      <c r="F4991" s="92">
        <f t="shared" si="69"/>
        <v>205035</v>
      </c>
    </row>
    <row r="4992" spans="1:6" x14ac:dyDescent="0.25">
      <c r="A4992" s="204">
        <v>43291</v>
      </c>
      <c r="B4992" s="26" t="s">
        <v>3954</v>
      </c>
      <c r="C4992" s="26" t="s">
        <v>3955</v>
      </c>
      <c r="D4992" s="8">
        <v>67000</v>
      </c>
      <c r="E4992" s="8"/>
      <c r="F4992" s="92">
        <f t="shared" si="69"/>
        <v>138035</v>
      </c>
    </row>
    <row r="4993" spans="1:6" ht="30" x14ac:dyDescent="0.25">
      <c r="A4993" s="204">
        <v>43295</v>
      </c>
      <c r="B4993" s="26" t="s">
        <v>3770</v>
      </c>
      <c r="C4993" s="87" t="s">
        <v>3916</v>
      </c>
      <c r="D4993" s="8">
        <v>59824</v>
      </c>
      <c r="E4993" s="8"/>
      <c r="F4993" s="92">
        <f t="shared" si="69"/>
        <v>78211</v>
      </c>
    </row>
    <row r="4994" spans="1:6" ht="45" x14ac:dyDescent="0.25">
      <c r="A4994" s="204">
        <v>43294</v>
      </c>
      <c r="B4994" s="26" t="s">
        <v>59</v>
      </c>
      <c r="C4994" s="87" t="s">
        <v>3957</v>
      </c>
      <c r="D4994" s="8">
        <f>51230-300</f>
        <v>50930</v>
      </c>
      <c r="E4994" s="8"/>
      <c r="F4994" s="92">
        <f t="shared" si="69"/>
        <v>27281</v>
      </c>
    </row>
    <row r="4995" spans="1:6" x14ac:dyDescent="0.25">
      <c r="A4995" s="204">
        <v>43294</v>
      </c>
      <c r="B4995" s="26" t="s">
        <v>17</v>
      </c>
      <c r="C4995" s="87" t="s">
        <v>3958</v>
      </c>
      <c r="D4995" s="8">
        <v>15240</v>
      </c>
      <c r="E4995" s="8"/>
      <c r="F4995" s="92">
        <f t="shared" si="69"/>
        <v>12041</v>
      </c>
    </row>
    <row r="4996" spans="1:6" x14ac:dyDescent="0.25">
      <c r="A4996" s="204">
        <v>43294</v>
      </c>
      <c r="B4996" s="460" t="s">
        <v>3913</v>
      </c>
      <c r="C4996" s="460"/>
      <c r="D4996" s="71"/>
      <c r="E4996" s="58">
        <v>378000</v>
      </c>
      <c r="F4996" s="92">
        <f t="shared" si="69"/>
        <v>390041</v>
      </c>
    </row>
    <row r="4997" spans="1:6" x14ac:dyDescent="0.25">
      <c r="A4997" s="204">
        <v>43292</v>
      </c>
      <c r="B4997" s="26" t="s">
        <v>19</v>
      </c>
      <c r="C4997" s="87" t="s">
        <v>41</v>
      </c>
      <c r="D4997" s="8">
        <v>6000</v>
      </c>
      <c r="E4997" s="8"/>
      <c r="F4997" s="92">
        <f>F4996-D4997+E4997</f>
        <v>384041</v>
      </c>
    </row>
    <row r="4998" spans="1:6" ht="45" x14ac:dyDescent="0.25">
      <c r="A4998" s="204">
        <v>43292</v>
      </c>
      <c r="B4998" s="26" t="s">
        <v>59</v>
      </c>
      <c r="C4998" s="87" t="s">
        <v>3927</v>
      </c>
      <c r="D4998" s="8">
        <f>33458-150</f>
        <v>33308</v>
      </c>
      <c r="E4998" s="8"/>
      <c r="F4998" s="92">
        <f>F4997-D4998+E4998</f>
        <v>350733</v>
      </c>
    </row>
    <row r="4999" spans="1:6" x14ac:dyDescent="0.25">
      <c r="A4999" s="204">
        <v>43292</v>
      </c>
      <c r="B4999" s="26" t="s">
        <v>59</v>
      </c>
      <c r="C4999" s="87" t="s">
        <v>3928</v>
      </c>
      <c r="D4999" s="8">
        <v>150</v>
      </c>
      <c r="E4999" s="8"/>
      <c r="F4999" s="92">
        <f t="shared" si="69"/>
        <v>350583</v>
      </c>
    </row>
    <row r="5000" spans="1:6" x14ac:dyDescent="0.25">
      <c r="A5000" s="204">
        <v>43298</v>
      </c>
      <c r="B5000" s="26" t="s">
        <v>3933</v>
      </c>
      <c r="C5000" s="26" t="s">
        <v>3934</v>
      </c>
      <c r="D5000" s="8">
        <v>50000</v>
      </c>
      <c r="E5000" s="8"/>
      <c r="F5000" s="92">
        <f t="shared" si="69"/>
        <v>300583</v>
      </c>
    </row>
    <row r="5001" spans="1:6" ht="45" x14ac:dyDescent="0.25">
      <c r="A5001" s="204">
        <v>43294</v>
      </c>
      <c r="B5001" s="26" t="s">
        <v>59</v>
      </c>
      <c r="C5001" s="87" t="s">
        <v>3932</v>
      </c>
      <c r="D5001" s="8">
        <v>27569</v>
      </c>
      <c r="E5001" s="8"/>
      <c r="F5001" s="92">
        <f t="shared" ref="F5001:F5078" si="70">F5000-D5001+E5001</f>
        <v>273014</v>
      </c>
    </row>
    <row r="5002" spans="1:6" x14ac:dyDescent="0.25">
      <c r="A5002" s="204">
        <v>43297</v>
      </c>
      <c r="B5002" s="26" t="s">
        <v>3917</v>
      </c>
      <c r="C5002" s="26" t="s">
        <v>3918</v>
      </c>
      <c r="D5002" s="8">
        <v>10000</v>
      </c>
      <c r="E5002" s="8"/>
      <c r="F5002" s="92">
        <f t="shared" si="70"/>
        <v>263014</v>
      </c>
    </row>
    <row r="5003" spans="1:6" x14ac:dyDescent="0.25">
      <c r="A5003" s="204">
        <v>43297</v>
      </c>
      <c r="B5003" s="26" t="s">
        <v>14</v>
      </c>
      <c r="C5003" s="26" t="s">
        <v>3944</v>
      </c>
      <c r="D5003" s="8">
        <v>18000</v>
      </c>
      <c r="E5003" s="8"/>
      <c r="F5003" s="92">
        <f t="shared" si="70"/>
        <v>245014</v>
      </c>
    </row>
    <row r="5004" spans="1:6" x14ac:dyDescent="0.25">
      <c r="A5004" s="204">
        <v>43298</v>
      </c>
      <c r="B5004" s="26" t="s">
        <v>59</v>
      </c>
      <c r="C5004" s="26" t="s">
        <v>3947</v>
      </c>
      <c r="D5004" s="8">
        <v>19900</v>
      </c>
      <c r="E5004" s="8"/>
      <c r="F5004" s="92">
        <f t="shared" si="70"/>
        <v>225114</v>
      </c>
    </row>
    <row r="5005" spans="1:6" x14ac:dyDescent="0.25">
      <c r="A5005" s="204">
        <v>43299</v>
      </c>
      <c r="B5005" s="26" t="s">
        <v>14</v>
      </c>
      <c r="C5005" s="26" t="s">
        <v>3937</v>
      </c>
      <c r="D5005" s="8">
        <v>26000</v>
      </c>
      <c r="E5005" s="8"/>
      <c r="F5005" s="92">
        <f t="shared" si="70"/>
        <v>199114</v>
      </c>
    </row>
    <row r="5006" spans="1:6" x14ac:dyDescent="0.25">
      <c r="A5006" s="204">
        <v>43294</v>
      </c>
      <c r="B5006" s="26" t="s">
        <v>17</v>
      </c>
      <c r="C5006" s="87" t="s">
        <v>3958</v>
      </c>
      <c r="D5006" s="8">
        <v>36100</v>
      </c>
      <c r="E5006" s="8"/>
      <c r="F5006" s="92">
        <f t="shared" si="70"/>
        <v>163014</v>
      </c>
    </row>
    <row r="5007" spans="1:6" ht="45" x14ac:dyDescent="0.25">
      <c r="A5007" s="204">
        <v>43291</v>
      </c>
      <c r="B5007" s="26" t="s">
        <v>26</v>
      </c>
      <c r="C5007" s="87" t="s">
        <v>3897</v>
      </c>
      <c r="D5007" s="8">
        <f>30+60+300+100+30+250+120+80</f>
        <v>970</v>
      </c>
      <c r="E5007" s="8"/>
      <c r="F5007" s="92">
        <f t="shared" si="70"/>
        <v>162044</v>
      </c>
    </row>
    <row r="5008" spans="1:6" x14ac:dyDescent="0.25">
      <c r="A5008" s="204">
        <v>43291</v>
      </c>
      <c r="B5008" s="26" t="s">
        <v>3628</v>
      </c>
      <c r="C5008" s="26" t="s">
        <v>3898</v>
      </c>
      <c r="D5008" s="8">
        <v>300</v>
      </c>
      <c r="E5008" s="8"/>
      <c r="F5008" s="92">
        <f t="shared" si="70"/>
        <v>161744</v>
      </c>
    </row>
    <row r="5009" spans="1:6" x14ac:dyDescent="0.25">
      <c r="A5009" s="204">
        <v>43291</v>
      </c>
      <c r="B5009" s="26" t="s">
        <v>2951</v>
      </c>
      <c r="C5009" s="26" t="s">
        <v>2952</v>
      </c>
      <c r="D5009" s="8">
        <v>90</v>
      </c>
      <c r="E5009" s="8"/>
      <c r="F5009" s="92">
        <f t="shared" si="70"/>
        <v>161654</v>
      </c>
    </row>
    <row r="5010" spans="1:6" x14ac:dyDescent="0.25">
      <c r="A5010" s="204">
        <v>43291</v>
      </c>
      <c r="B5010" s="26" t="s">
        <v>26</v>
      </c>
      <c r="C5010" s="26" t="s">
        <v>3902</v>
      </c>
      <c r="D5010" s="8">
        <f>80+240+60</f>
        <v>380</v>
      </c>
      <c r="E5010" s="8"/>
      <c r="F5010" s="92">
        <f t="shared" si="70"/>
        <v>161274</v>
      </c>
    </row>
    <row r="5011" spans="1:6" x14ac:dyDescent="0.25">
      <c r="A5011" s="204">
        <v>43292</v>
      </c>
      <c r="B5011" s="26" t="s">
        <v>57</v>
      </c>
      <c r="C5011" s="26" t="s">
        <v>3991</v>
      </c>
      <c r="D5011" s="8">
        <v>500</v>
      </c>
      <c r="E5011" s="8"/>
      <c r="F5011" s="92">
        <f t="shared" si="70"/>
        <v>160774</v>
      </c>
    </row>
    <row r="5012" spans="1:6" x14ac:dyDescent="0.25">
      <c r="A5012" s="204">
        <v>43292</v>
      </c>
      <c r="B5012" s="26" t="s">
        <v>542</v>
      </c>
      <c r="C5012" s="26" t="s">
        <v>3903</v>
      </c>
      <c r="D5012" s="8">
        <v>1000</v>
      </c>
      <c r="E5012" s="8"/>
      <c r="F5012" s="92">
        <f t="shared" si="70"/>
        <v>159774</v>
      </c>
    </row>
    <row r="5013" spans="1:6" x14ac:dyDescent="0.25">
      <c r="A5013" s="204">
        <v>43292</v>
      </c>
      <c r="B5013" s="26" t="s">
        <v>323</v>
      </c>
      <c r="C5013" s="26" t="s">
        <v>3904</v>
      </c>
      <c r="D5013" s="8">
        <v>7500</v>
      </c>
      <c r="E5013" s="8"/>
      <c r="F5013" s="92">
        <f t="shared" si="70"/>
        <v>152274</v>
      </c>
    </row>
    <row r="5014" spans="1:6" x14ac:dyDescent="0.25">
      <c r="A5014" s="204">
        <v>43292</v>
      </c>
      <c r="B5014" s="26" t="s">
        <v>59</v>
      </c>
      <c r="C5014" s="26" t="s">
        <v>3905</v>
      </c>
      <c r="D5014" s="8">
        <v>3450</v>
      </c>
      <c r="E5014" s="8"/>
      <c r="F5014" s="92">
        <f t="shared" si="70"/>
        <v>148824</v>
      </c>
    </row>
    <row r="5015" spans="1:6" x14ac:dyDescent="0.25">
      <c r="A5015" s="204">
        <v>43293</v>
      </c>
      <c r="B5015" s="26" t="s">
        <v>0</v>
      </c>
      <c r="C5015" s="26" t="s">
        <v>295</v>
      </c>
      <c r="D5015" s="8">
        <v>2000</v>
      </c>
      <c r="E5015" s="8"/>
      <c r="F5015" s="92">
        <f t="shared" si="70"/>
        <v>146824</v>
      </c>
    </row>
    <row r="5016" spans="1:6" x14ac:dyDescent="0.25">
      <c r="A5016" s="204">
        <v>43293</v>
      </c>
      <c r="B5016" s="26" t="s">
        <v>94</v>
      </c>
      <c r="C5016" s="26" t="s">
        <v>3906</v>
      </c>
      <c r="D5016" s="8">
        <v>1000</v>
      </c>
      <c r="E5016" s="8"/>
      <c r="F5016" s="92">
        <f t="shared" si="70"/>
        <v>145824</v>
      </c>
    </row>
    <row r="5017" spans="1:6" x14ac:dyDescent="0.25">
      <c r="A5017" s="204">
        <v>43293</v>
      </c>
      <c r="B5017" s="26" t="s">
        <v>1515</v>
      </c>
      <c r="C5017" s="26" t="s">
        <v>3907</v>
      </c>
      <c r="D5017" s="8">
        <v>7500</v>
      </c>
      <c r="E5017" s="8"/>
      <c r="F5017" s="92">
        <f t="shared" si="70"/>
        <v>138324</v>
      </c>
    </row>
    <row r="5018" spans="1:6" x14ac:dyDescent="0.25">
      <c r="A5018" s="204">
        <v>43293</v>
      </c>
      <c r="B5018" s="26" t="s">
        <v>2099</v>
      </c>
      <c r="C5018" s="26" t="s">
        <v>295</v>
      </c>
      <c r="D5018" s="8">
        <v>8000</v>
      </c>
      <c r="E5018" s="8"/>
      <c r="F5018" s="92">
        <f t="shared" si="70"/>
        <v>130324</v>
      </c>
    </row>
    <row r="5019" spans="1:6" x14ac:dyDescent="0.25">
      <c r="A5019" s="204">
        <v>43293</v>
      </c>
      <c r="B5019" s="26" t="s">
        <v>17</v>
      </c>
      <c r="C5019" s="26" t="s">
        <v>295</v>
      </c>
      <c r="D5019" s="8">
        <v>5000</v>
      </c>
      <c r="E5019" s="8"/>
      <c r="F5019" s="92">
        <f t="shared" si="70"/>
        <v>125324</v>
      </c>
    </row>
    <row r="5020" spans="1:6" x14ac:dyDescent="0.25">
      <c r="A5020" s="204">
        <v>43293</v>
      </c>
      <c r="B5020" s="26" t="s">
        <v>14</v>
      </c>
      <c r="C5020" s="26" t="s">
        <v>3908</v>
      </c>
      <c r="D5020" s="8">
        <v>1000</v>
      </c>
      <c r="E5020" s="8"/>
      <c r="F5020" s="92">
        <f t="shared" si="70"/>
        <v>124324</v>
      </c>
    </row>
    <row r="5021" spans="1:6" x14ac:dyDescent="0.25">
      <c r="A5021" s="204">
        <v>43293</v>
      </c>
      <c r="B5021" s="26" t="s">
        <v>58</v>
      </c>
      <c r="C5021" s="26" t="s">
        <v>3909</v>
      </c>
      <c r="D5021" s="8">
        <v>9000</v>
      </c>
      <c r="E5021" s="8"/>
      <c r="F5021" s="92">
        <f t="shared" si="70"/>
        <v>115324</v>
      </c>
    </row>
    <row r="5022" spans="1:6" x14ac:dyDescent="0.25">
      <c r="A5022" s="204">
        <v>43293</v>
      </c>
      <c r="B5022" s="26" t="s">
        <v>59</v>
      </c>
      <c r="C5022" s="26" t="s">
        <v>3929</v>
      </c>
      <c r="D5022" s="8">
        <v>350</v>
      </c>
      <c r="E5022" s="8"/>
      <c r="F5022" s="92">
        <f t="shared" si="70"/>
        <v>114974</v>
      </c>
    </row>
    <row r="5023" spans="1:6" x14ac:dyDescent="0.25">
      <c r="A5023" s="204">
        <v>43293</v>
      </c>
      <c r="B5023" s="26" t="s">
        <v>59</v>
      </c>
      <c r="C5023" s="26" t="s">
        <v>3930</v>
      </c>
      <c r="D5023" s="8">
        <v>150</v>
      </c>
      <c r="E5023" s="8"/>
      <c r="F5023" s="92">
        <f t="shared" si="70"/>
        <v>114824</v>
      </c>
    </row>
    <row r="5024" spans="1:6" x14ac:dyDescent="0.25">
      <c r="A5024" s="204">
        <v>43293</v>
      </c>
      <c r="B5024" s="26" t="s">
        <v>55</v>
      </c>
      <c r="C5024" s="26" t="s">
        <v>3910</v>
      </c>
      <c r="D5024" s="8">
        <v>4000</v>
      </c>
      <c r="E5024" s="8"/>
      <c r="F5024" s="92">
        <f t="shared" si="70"/>
        <v>110824</v>
      </c>
    </row>
    <row r="5025" spans="1:6" x14ac:dyDescent="0.25">
      <c r="A5025" s="204">
        <v>43293</v>
      </c>
      <c r="B5025" s="26" t="s">
        <v>2597</v>
      </c>
      <c r="C5025" s="26" t="s">
        <v>2016</v>
      </c>
      <c r="D5025" s="8">
        <v>100</v>
      </c>
      <c r="E5025" s="8"/>
      <c r="F5025" s="92">
        <f t="shared" si="70"/>
        <v>110724</v>
      </c>
    </row>
    <row r="5026" spans="1:6" x14ac:dyDescent="0.25">
      <c r="A5026" s="204">
        <v>43293</v>
      </c>
      <c r="B5026" s="26" t="s">
        <v>3818</v>
      </c>
      <c r="C5026" s="26" t="s">
        <v>2016</v>
      </c>
      <c r="D5026" s="8">
        <v>100</v>
      </c>
      <c r="E5026" s="8"/>
      <c r="F5026" s="92">
        <f t="shared" si="70"/>
        <v>110624</v>
      </c>
    </row>
    <row r="5027" spans="1:6" ht="30" x14ac:dyDescent="0.25">
      <c r="A5027" s="204">
        <v>43294</v>
      </c>
      <c r="B5027" s="26" t="s">
        <v>59</v>
      </c>
      <c r="C5027" s="87" t="s">
        <v>3956</v>
      </c>
      <c r="D5027" s="8">
        <v>300</v>
      </c>
      <c r="E5027" s="8"/>
      <c r="F5027" s="92">
        <f t="shared" si="70"/>
        <v>110324</v>
      </c>
    </row>
    <row r="5028" spans="1:6" x14ac:dyDescent="0.25">
      <c r="A5028" s="204">
        <v>43293</v>
      </c>
      <c r="B5028" s="26" t="s">
        <v>19</v>
      </c>
      <c r="C5028" s="26" t="s">
        <v>3914</v>
      </c>
      <c r="D5028" s="8">
        <v>5000</v>
      </c>
      <c r="E5028" s="8"/>
      <c r="F5028" s="92">
        <f t="shared" si="70"/>
        <v>105324</v>
      </c>
    </row>
    <row r="5029" spans="1:6" x14ac:dyDescent="0.25">
      <c r="A5029" s="204">
        <v>43294</v>
      </c>
      <c r="B5029" s="26" t="s">
        <v>14</v>
      </c>
      <c r="C5029" s="26" t="s">
        <v>295</v>
      </c>
      <c r="D5029" s="8">
        <v>1000</v>
      </c>
      <c r="E5029" s="8"/>
      <c r="F5029" s="92">
        <f t="shared" si="70"/>
        <v>104324</v>
      </c>
    </row>
    <row r="5030" spans="1:6" x14ac:dyDescent="0.25">
      <c r="A5030" s="204">
        <v>43294</v>
      </c>
      <c r="B5030" s="26" t="s">
        <v>59</v>
      </c>
      <c r="C5030" s="26" t="s">
        <v>3931</v>
      </c>
      <c r="D5030" s="8">
        <v>3600</v>
      </c>
      <c r="E5030" s="8"/>
      <c r="F5030" s="92">
        <f t="shared" si="70"/>
        <v>100724</v>
      </c>
    </row>
    <row r="5031" spans="1:6" x14ac:dyDescent="0.25">
      <c r="A5031" s="204">
        <v>43294</v>
      </c>
      <c r="B5031" s="26" t="s">
        <v>17</v>
      </c>
      <c r="C5031" s="26" t="s">
        <v>2678</v>
      </c>
      <c r="D5031" s="8">
        <v>250</v>
      </c>
      <c r="E5031" s="8"/>
      <c r="F5031" s="92">
        <f t="shared" si="70"/>
        <v>100474</v>
      </c>
    </row>
    <row r="5032" spans="1:6" x14ac:dyDescent="0.25">
      <c r="A5032" s="204">
        <v>43294</v>
      </c>
      <c r="B5032" s="26" t="s">
        <v>3818</v>
      </c>
      <c r="C5032" s="26" t="s">
        <v>3911</v>
      </c>
      <c r="D5032" s="8">
        <v>50</v>
      </c>
      <c r="E5032" s="8"/>
      <c r="F5032" s="92">
        <f t="shared" si="70"/>
        <v>100424</v>
      </c>
    </row>
    <row r="5033" spans="1:6" x14ac:dyDescent="0.25">
      <c r="A5033" s="204">
        <v>43294</v>
      </c>
      <c r="B5033" s="26" t="s">
        <v>3628</v>
      </c>
      <c r="C5033" s="26" t="s">
        <v>3911</v>
      </c>
      <c r="D5033" s="8">
        <v>300</v>
      </c>
      <c r="E5033" s="8"/>
      <c r="F5033" s="92">
        <f t="shared" si="70"/>
        <v>100124</v>
      </c>
    </row>
    <row r="5034" spans="1:6" x14ac:dyDescent="0.25">
      <c r="A5034" s="204">
        <v>43294</v>
      </c>
      <c r="B5034" s="26" t="s">
        <v>26</v>
      </c>
      <c r="C5034" s="26" t="s">
        <v>3912</v>
      </c>
      <c r="D5034" s="8">
        <v>1430</v>
      </c>
      <c r="E5034" s="8"/>
      <c r="F5034" s="92">
        <f t="shared" si="70"/>
        <v>98694</v>
      </c>
    </row>
    <row r="5035" spans="1:6" x14ac:dyDescent="0.25">
      <c r="A5035" s="204">
        <v>43294</v>
      </c>
      <c r="B5035" s="26" t="s">
        <v>3728</v>
      </c>
      <c r="C5035" s="26" t="s">
        <v>3915</v>
      </c>
      <c r="D5035" s="8">
        <v>4130</v>
      </c>
      <c r="E5035" s="8"/>
      <c r="F5035" s="92">
        <f t="shared" si="70"/>
        <v>94564</v>
      </c>
    </row>
    <row r="5036" spans="1:6" x14ac:dyDescent="0.25">
      <c r="A5036" s="204">
        <v>43294</v>
      </c>
      <c r="B5036" s="26" t="s">
        <v>2333</v>
      </c>
      <c r="C5036" s="26" t="s">
        <v>2334</v>
      </c>
      <c r="D5036" s="8">
        <v>2000</v>
      </c>
      <c r="E5036" s="8"/>
      <c r="F5036" s="92">
        <f t="shared" si="70"/>
        <v>92564</v>
      </c>
    </row>
    <row r="5037" spans="1:6" x14ac:dyDescent="0.25">
      <c r="A5037" s="204">
        <v>43295</v>
      </c>
      <c r="B5037" s="26" t="s">
        <v>3829</v>
      </c>
      <c r="C5037" s="26" t="s">
        <v>2314</v>
      </c>
      <c r="D5037" s="8">
        <v>3900</v>
      </c>
      <c r="E5037" s="8"/>
      <c r="F5037" s="92">
        <f t="shared" si="70"/>
        <v>88664</v>
      </c>
    </row>
    <row r="5038" spans="1:6" x14ac:dyDescent="0.25">
      <c r="A5038" s="204">
        <v>43297</v>
      </c>
      <c r="B5038" s="26" t="s">
        <v>17</v>
      </c>
      <c r="C5038" s="26" t="s">
        <v>295</v>
      </c>
      <c r="D5038" s="8">
        <v>5000</v>
      </c>
      <c r="E5038" s="8"/>
      <c r="F5038" s="92">
        <f t="shared" si="70"/>
        <v>83664</v>
      </c>
    </row>
    <row r="5039" spans="1:6" x14ac:dyDescent="0.25">
      <c r="A5039" s="204">
        <v>43297</v>
      </c>
      <c r="B5039" s="26" t="s">
        <v>26</v>
      </c>
      <c r="C5039" s="26" t="s">
        <v>3919</v>
      </c>
      <c r="D5039" s="8">
        <v>105</v>
      </c>
      <c r="E5039" s="8"/>
      <c r="F5039" s="92">
        <f t="shared" si="70"/>
        <v>83559</v>
      </c>
    </row>
    <row r="5040" spans="1:6" x14ac:dyDescent="0.25">
      <c r="A5040" s="204">
        <v>43297</v>
      </c>
      <c r="B5040" s="26" t="s">
        <v>3628</v>
      </c>
      <c r="C5040" s="26" t="s">
        <v>3920</v>
      </c>
      <c r="D5040" s="8">
        <v>160</v>
      </c>
      <c r="E5040" s="8"/>
      <c r="F5040" s="92">
        <f t="shared" si="70"/>
        <v>83399</v>
      </c>
    </row>
    <row r="5041" spans="1:6" x14ac:dyDescent="0.25">
      <c r="A5041" s="204">
        <v>43297</v>
      </c>
      <c r="B5041" s="26" t="s">
        <v>3628</v>
      </c>
      <c r="C5041" s="26" t="s">
        <v>3921</v>
      </c>
      <c r="D5041" s="8">
        <v>80</v>
      </c>
      <c r="E5041" s="8"/>
      <c r="F5041" s="92">
        <f t="shared" si="70"/>
        <v>83319</v>
      </c>
    </row>
    <row r="5042" spans="1:6" x14ac:dyDescent="0.25">
      <c r="A5042" s="204">
        <v>43297</v>
      </c>
      <c r="B5042" s="26" t="s">
        <v>1461</v>
      </c>
      <c r="C5042" s="26" t="s">
        <v>3922</v>
      </c>
      <c r="D5042" s="8">
        <f>126+246</f>
        <v>372</v>
      </c>
      <c r="E5042" s="8"/>
      <c r="F5042" s="92">
        <f t="shared" si="70"/>
        <v>82947</v>
      </c>
    </row>
    <row r="5043" spans="1:6" x14ac:dyDescent="0.25">
      <c r="A5043" s="204">
        <v>43297</v>
      </c>
      <c r="B5043" s="26" t="s">
        <v>2351</v>
      </c>
      <c r="C5043" s="26" t="s">
        <v>3923</v>
      </c>
      <c r="D5043" s="8">
        <v>160</v>
      </c>
      <c r="E5043" s="8"/>
      <c r="F5043" s="92">
        <f t="shared" si="70"/>
        <v>82787</v>
      </c>
    </row>
    <row r="5044" spans="1:6" x14ac:dyDescent="0.25">
      <c r="A5044" s="204">
        <v>43297</v>
      </c>
      <c r="B5044" s="26" t="s">
        <v>58</v>
      </c>
      <c r="C5044" s="26" t="s">
        <v>3925</v>
      </c>
      <c r="D5044" s="8">
        <v>600</v>
      </c>
      <c r="E5044" s="8"/>
      <c r="F5044" s="92">
        <f t="shared" si="70"/>
        <v>82187</v>
      </c>
    </row>
    <row r="5045" spans="1:6" ht="30" x14ac:dyDescent="0.25">
      <c r="A5045" s="204">
        <v>43298</v>
      </c>
      <c r="B5045" s="26" t="s">
        <v>59</v>
      </c>
      <c r="C5045" s="87" t="s">
        <v>3926</v>
      </c>
      <c r="D5045" s="8">
        <v>200</v>
      </c>
      <c r="E5045" s="8"/>
      <c r="F5045" s="92">
        <f t="shared" si="70"/>
        <v>81987</v>
      </c>
    </row>
    <row r="5046" spans="1:6" x14ac:dyDescent="0.25">
      <c r="A5046" s="204">
        <v>43298</v>
      </c>
      <c r="B5046" s="26" t="s">
        <v>2951</v>
      </c>
      <c r="C5046" s="26" t="s">
        <v>3638</v>
      </c>
      <c r="D5046" s="8">
        <v>2000</v>
      </c>
      <c r="E5046" s="8"/>
      <c r="F5046" s="92">
        <f t="shared" si="70"/>
        <v>79987</v>
      </c>
    </row>
    <row r="5047" spans="1:6" x14ac:dyDescent="0.25">
      <c r="A5047" s="204">
        <v>43298</v>
      </c>
      <c r="B5047" s="26" t="s">
        <v>85</v>
      </c>
      <c r="C5047" s="26" t="s">
        <v>3935</v>
      </c>
      <c r="D5047" s="8">
        <v>8000</v>
      </c>
      <c r="E5047" s="8"/>
      <c r="F5047" s="92">
        <f t="shared" si="70"/>
        <v>71987</v>
      </c>
    </row>
    <row r="5048" spans="1:6" x14ac:dyDescent="0.25">
      <c r="A5048" s="204">
        <v>43298</v>
      </c>
      <c r="B5048" s="26" t="s">
        <v>2597</v>
      </c>
      <c r="C5048" s="26" t="s">
        <v>3936</v>
      </c>
      <c r="D5048" s="8">
        <v>300</v>
      </c>
      <c r="E5048" s="8"/>
      <c r="F5048" s="92">
        <f t="shared" si="70"/>
        <v>71687</v>
      </c>
    </row>
    <row r="5049" spans="1:6" ht="30" x14ac:dyDescent="0.25">
      <c r="A5049" s="204">
        <v>43299</v>
      </c>
      <c r="B5049" s="26" t="s">
        <v>59</v>
      </c>
      <c r="C5049" s="87" t="s">
        <v>3946</v>
      </c>
      <c r="D5049" s="8">
        <v>8550</v>
      </c>
      <c r="E5049" s="8"/>
      <c r="F5049" s="92">
        <f t="shared" si="70"/>
        <v>63137</v>
      </c>
    </row>
    <row r="5050" spans="1:6" x14ac:dyDescent="0.25">
      <c r="A5050" s="204">
        <v>43299</v>
      </c>
      <c r="B5050" s="26" t="s">
        <v>26</v>
      </c>
      <c r="C5050" s="26" t="s">
        <v>3631</v>
      </c>
      <c r="D5050" s="8">
        <v>1600</v>
      </c>
      <c r="E5050" s="8"/>
      <c r="F5050" s="92">
        <f t="shared" si="70"/>
        <v>61537</v>
      </c>
    </row>
    <row r="5051" spans="1:6" x14ac:dyDescent="0.25">
      <c r="A5051" s="204">
        <v>43299</v>
      </c>
      <c r="B5051" s="26" t="s">
        <v>28</v>
      </c>
      <c r="C5051" s="26" t="s">
        <v>3939</v>
      </c>
      <c r="D5051" s="8">
        <v>3000</v>
      </c>
      <c r="E5051" s="8"/>
      <c r="F5051" s="92">
        <f t="shared" si="70"/>
        <v>58537</v>
      </c>
    </row>
    <row r="5052" spans="1:6" x14ac:dyDescent="0.25">
      <c r="A5052" s="204">
        <v>43299</v>
      </c>
      <c r="B5052" s="26" t="s">
        <v>0</v>
      </c>
      <c r="C5052" s="26" t="s">
        <v>3940</v>
      </c>
      <c r="D5052" s="8">
        <v>2240</v>
      </c>
      <c r="E5052" s="8"/>
      <c r="F5052" s="92">
        <f t="shared" si="70"/>
        <v>56297</v>
      </c>
    </row>
    <row r="5053" spans="1:6" x14ac:dyDescent="0.25">
      <c r="A5053" s="204">
        <v>43299</v>
      </c>
      <c r="B5053" s="26" t="s">
        <v>3563</v>
      </c>
      <c r="C5053" s="26" t="s">
        <v>3446</v>
      </c>
      <c r="D5053" s="8">
        <v>500</v>
      </c>
      <c r="E5053" s="8"/>
      <c r="F5053" s="92">
        <f t="shared" si="70"/>
        <v>55797</v>
      </c>
    </row>
    <row r="5054" spans="1:6" x14ac:dyDescent="0.25">
      <c r="A5054" s="204">
        <v>43299</v>
      </c>
      <c r="B5054" s="26" t="s">
        <v>85</v>
      </c>
      <c r="C5054" s="26" t="s">
        <v>3951</v>
      </c>
      <c r="D5054" s="8">
        <v>1000</v>
      </c>
      <c r="E5054" s="8"/>
      <c r="F5054" s="92">
        <f t="shared" si="70"/>
        <v>54797</v>
      </c>
    </row>
    <row r="5055" spans="1:6" x14ac:dyDescent="0.25">
      <c r="A5055" s="204">
        <v>43299</v>
      </c>
      <c r="B5055" s="26" t="s">
        <v>85</v>
      </c>
      <c r="C5055" s="26" t="s">
        <v>3941</v>
      </c>
      <c r="D5055" s="8">
        <v>3000</v>
      </c>
      <c r="E5055" s="8"/>
      <c r="F5055" s="92">
        <f t="shared" si="70"/>
        <v>51797</v>
      </c>
    </row>
    <row r="5056" spans="1:6" x14ac:dyDescent="0.25">
      <c r="A5056" s="204">
        <v>43300</v>
      </c>
      <c r="B5056" s="26" t="s">
        <v>11</v>
      </c>
      <c r="C5056" s="26" t="s">
        <v>3942</v>
      </c>
      <c r="D5056" s="8">
        <v>1000</v>
      </c>
      <c r="E5056" s="8"/>
      <c r="F5056" s="92">
        <f t="shared" si="70"/>
        <v>50797</v>
      </c>
    </row>
    <row r="5057" spans="1:10" x14ac:dyDescent="0.25">
      <c r="A5057" s="204">
        <v>43300</v>
      </c>
      <c r="B5057" s="26" t="s">
        <v>17</v>
      </c>
      <c r="C5057" s="26" t="s">
        <v>1255</v>
      </c>
      <c r="D5057" s="8">
        <v>600</v>
      </c>
      <c r="E5057" s="8"/>
      <c r="F5057" s="92">
        <f t="shared" si="70"/>
        <v>50197</v>
      </c>
    </row>
    <row r="5058" spans="1:10" x14ac:dyDescent="0.25">
      <c r="A5058" s="204">
        <v>43300</v>
      </c>
      <c r="B5058" s="26" t="s">
        <v>3412</v>
      </c>
      <c r="C5058" s="26" t="s">
        <v>2016</v>
      </c>
      <c r="D5058" s="8">
        <v>50</v>
      </c>
      <c r="E5058" s="8"/>
      <c r="F5058" s="92">
        <f t="shared" si="70"/>
        <v>50147</v>
      </c>
    </row>
    <row r="5059" spans="1:10" x14ac:dyDescent="0.25">
      <c r="A5059" s="204">
        <v>43300</v>
      </c>
      <c r="B5059" s="26" t="s">
        <v>85</v>
      </c>
      <c r="C5059" s="26" t="s">
        <v>3943</v>
      </c>
      <c r="D5059" s="8">
        <v>2000</v>
      </c>
      <c r="E5059" s="8"/>
      <c r="F5059" s="92">
        <f t="shared" si="70"/>
        <v>48147</v>
      </c>
    </row>
    <row r="5060" spans="1:10" x14ac:dyDescent="0.25">
      <c r="A5060" s="204">
        <v>43300</v>
      </c>
      <c r="B5060" s="26" t="s">
        <v>3829</v>
      </c>
      <c r="C5060" s="26" t="s">
        <v>3868</v>
      </c>
      <c r="D5060" s="8">
        <v>2836</v>
      </c>
      <c r="E5060" s="8"/>
      <c r="F5060" s="92">
        <f t="shared" si="70"/>
        <v>45311</v>
      </c>
    </row>
    <row r="5061" spans="1:10" x14ac:dyDescent="0.25">
      <c r="A5061" s="204">
        <v>43300</v>
      </c>
      <c r="B5061" s="26" t="s">
        <v>59</v>
      </c>
      <c r="C5061" s="26" t="s">
        <v>3284</v>
      </c>
      <c r="D5061" s="8">
        <v>1000</v>
      </c>
      <c r="E5061" s="8"/>
      <c r="F5061" s="92">
        <f t="shared" si="70"/>
        <v>44311</v>
      </c>
    </row>
    <row r="5062" spans="1:10" x14ac:dyDescent="0.25">
      <c r="A5062" s="204">
        <v>43300</v>
      </c>
      <c r="B5062" s="26" t="s">
        <v>2333</v>
      </c>
      <c r="C5062" s="26" t="s">
        <v>3945</v>
      </c>
      <c r="D5062" s="8">
        <v>10700</v>
      </c>
      <c r="E5062" s="8"/>
      <c r="F5062" s="92">
        <f t="shared" si="70"/>
        <v>33611</v>
      </c>
    </row>
    <row r="5063" spans="1:10" x14ac:dyDescent="0.25">
      <c r="A5063" s="204">
        <v>43300</v>
      </c>
      <c r="B5063" s="26" t="s">
        <v>3818</v>
      </c>
      <c r="C5063" s="26" t="s">
        <v>3948</v>
      </c>
      <c r="D5063" s="8">
        <f>925+350</f>
        <v>1275</v>
      </c>
      <c r="E5063" s="8"/>
      <c r="F5063" s="92">
        <f t="shared" si="70"/>
        <v>32336</v>
      </c>
    </row>
    <row r="5064" spans="1:10" x14ac:dyDescent="0.25">
      <c r="A5064" s="204">
        <v>43300</v>
      </c>
      <c r="B5064" s="26" t="s">
        <v>1461</v>
      </c>
      <c r="C5064" s="26" t="s">
        <v>3949</v>
      </c>
      <c r="D5064" s="8">
        <v>310</v>
      </c>
      <c r="E5064" s="8"/>
      <c r="F5064" s="92">
        <f t="shared" si="70"/>
        <v>32026</v>
      </c>
    </row>
    <row r="5065" spans="1:10" x14ac:dyDescent="0.25">
      <c r="A5065" s="204">
        <v>43300</v>
      </c>
      <c r="B5065" s="26" t="s">
        <v>17</v>
      </c>
      <c r="C5065" s="26" t="s">
        <v>3950</v>
      </c>
      <c r="D5065" s="8">
        <v>80</v>
      </c>
      <c r="E5065" s="8"/>
      <c r="F5065" s="92">
        <f t="shared" si="70"/>
        <v>31946</v>
      </c>
    </row>
    <row r="5066" spans="1:10" x14ac:dyDescent="0.25">
      <c r="A5066" s="204">
        <v>43300</v>
      </c>
      <c r="B5066" s="26" t="s">
        <v>17</v>
      </c>
      <c r="C5066" s="26" t="s">
        <v>295</v>
      </c>
      <c r="D5066" s="8">
        <v>660</v>
      </c>
      <c r="E5066" s="8"/>
      <c r="F5066" s="92">
        <f t="shared" si="70"/>
        <v>31286</v>
      </c>
    </row>
    <row r="5067" spans="1:10" x14ac:dyDescent="0.25">
      <c r="A5067" s="204">
        <v>43300</v>
      </c>
      <c r="B5067" s="26" t="s">
        <v>2597</v>
      </c>
      <c r="C5067" s="26" t="s">
        <v>3961</v>
      </c>
      <c r="D5067" s="8">
        <v>4430</v>
      </c>
      <c r="E5067" s="8"/>
      <c r="F5067" s="92">
        <f t="shared" si="70"/>
        <v>26856</v>
      </c>
    </row>
    <row r="5068" spans="1:10" x14ac:dyDescent="0.25">
      <c r="A5068" s="204">
        <v>43300</v>
      </c>
      <c r="B5068" s="26" t="s">
        <v>542</v>
      </c>
      <c r="C5068" s="26" t="s">
        <v>3962</v>
      </c>
      <c r="D5068" s="8">
        <v>1500</v>
      </c>
      <c r="E5068" s="8"/>
      <c r="F5068" s="92">
        <f t="shared" si="70"/>
        <v>25356</v>
      </c>
      <c r="I5068" s="8"/>
    </row>
    <row r="5069" spans="1:10" x14ac:dyDescent="0.25">
      <c r="A5069" s="204">
        <v>43300</v>
      </c>
      <c r="B5069" s="26" t="s">
        <v>3959</v>
      </c>
      <c r="C5069" s="26" t="s">
        <v>3960</v>
      </c>
      <c r="D5069" s="8">
        <v>14000</v>
      </c>
      <c r="E5069" s="8"/>
      <c r="F5069" s="92">
        <f t="shared" si="70"/>
        <v>11356</v>
      </c>
      <c r="I5069" s="8"/>
    </row>
    <row r="5070" spans="1:10" x14ac:dyDescent="0.25">
      <c r="A5070" s="204">
        <v>43300</v>
      </c>
      <c r="B5070" s="460" t="s">
        <v>3964</v>
      </c>
      <c r="C5070" s="460"/>
      <c r="D5070" s="71"/>
      <c r="E5070" s="58">
        <v>300000</v>
      </c>
      <c r="F5070" s="92">
        <f t="shared" si="70"/>
        <v>311356</v>
      </c>
      <c r="I5070" s="8"/>
    </row>
    <row r="5071" spans="1:10" x14ac:dyDescent="0.25">
      <c r="A5071" s="204">
        <v>43300</v>
      </c>
      <c r="B5071" s="26" t="s">
        <v>3938</v>
      </c>
      <c r="C5071" s="26" t="s">
        <v>3909</v>
      </c>
      <c r="D5071" s="8">
        <v>102000</v>
      </c>
      <c r="E5071" s="8"/>
      <c r="F5071" s="92">
        <f t="shared" si="70"/>
        <v>209356</v>
      </c>
      <c r="I5071" s="57"/>
      <c r="J5071" s="22"/>
    </row>
    <row r="5072" spans="1:10" x14ac:dyDescent="0.25">
      <c r="A5072" s="204">
        <v>43300</v>
      </c>
      <c r="B5072" s="26" t="s">
        <v>3965</v>
      </c>
      <c r="C5072" s="26" t="s">
        <v>3966</v>
      </c>
      <c r="D5072" s="8">
        <v>86911</v>
      </c>
      <c r="E5072" s="8"/>
      <c r="F5072" s="92">
        <f t="shared" si="70"/>
        <v>122445</v>
      </c>
      <c r="J5072" s="22"/>
    </row>
    <row r="5073" spans="1:10" x14ac:dyDescent="0.25">
      <c r="A5073" s="204">
        <v>43300</v>
      </c>
      <c r="B5073" s="26" t="s">
        <v>3967</v>
      </c>
      <c r="C5073" s="26" t="s">
        <v>3970</v>
      </c>
      <c r="D5073" s="8">
        <v>30000</v>
      </c>
      <c r="E5073" s="8"/>
      <c r="F5073" s="92">
        <f t="shared" si="70"/>
        <v>92445</v>
      </c>
      <c r="J5073" s="22"/>
    </row>
    <row r="5074" spans="1:10" x14ac:dyDescent="0.25">
      <c r="A5074" s="204">
        <v>43300</v>
      </c>
      <c r="B5074" s="26" t="s">
        <v>3968</v>
      </c>
      <c r="C5074" s="26" t="s">
        <v>3969</v>
      </c>
      <c r="D5074" s="57">
        <v>20000</v>
      </c>
      <c r="E5074" s="8"/>
      <c r="F5074" s="92">
        <f t="shared" si="70"/>
        <v>72445</v>
      </c>
    </row>
    <row r="5075" spans="1:10" x14ac:dyDescent="0.25">
      <c r="A5075" s="204">
        <v>43300</v>
      </c>
      <c r="B5075" s="26" t="s">
        <v>2597</v>
      </c>
      <c r="C5075" s="26" t="s">
        <v>3972</v>
      </c>
      <c r="D5075" s="8">
        <v>23220</v>
      </c>
      <c r="E5075" s="8"/>
      <c r="F5075" s="92">
        <f t="shared" si="70"/>
        <v>49225</v>
      </c>
    </row>
    <row r="5076" spans="1:10" x14ac:dyDescent="0.25">
      <c r="A5076" s="204">
        <v>43301</v>
      </c>
      <c r="B5076" s="26" t="s">
        <v>85</v>
      </c>
      <c r="C5076" s="26" t="s">
        <v>3963</v>
      </c>
      <c r="D5076" s="8">
        <v>2000</v>
      </c>
      <c r="E5076" s="8"/>
      <c r="F5076" s="92">
        <f t="shared" si="70"/>
        <v>47225</v>
      </c>
    </row>
    <row r="5077" spans="1:10" x14ac:dyDescent="0.25">
      <c r="A5077" s="204">
        <v>43301</v>
      </c>
      <c r="B5077" s="26" t="s">
        <v>14</v>
      </c>
      <c r="C5077" s="26" t="s">
        <v>295</v>
      </c>
      <c r="D5077" s="8">
        <v>1000</v>
      </c>
      <c r="E5077" s="8"/>
      <c r="F5077" s="92">
        <f t="shared" si="70"/>
        <v>46225</v>
      </c>
    </row>
    <row r="5078" spans="1:10" x14ac:dyDescent="0.25">
      <c r="A5078" s="204">
        <v>43304</v>
      </c>
      <c r="B5078" s="26" t="s">
        <v>17</v>
      </c>
      <c r="C5078" s="26" t="s">
        <v>3971</v>
      </c>
      <c r="D5078" s="8">
        <v>24000</v>
      </c>
      <c r="E5078" s="8"/>
      <c r="F5078" s="92">
        <f t="shared" si="70"/>
        <v>22225</v>
      </c>
    </row>
    <row r="5079" spans="1:10" x14ac:dyDescent="0.25">
      <c r="A5079" s="204">
        <v>43304</v>
      </c>
      <c r="B5079" s="460" t="s">
        <v>3973</v>
      </c>
      <c r="C5079" s="460"/>
      <c r="D5079" s="71"/>
      <c r="E5079" s="58">
        <v>200000</v>
      </c>
      <c r="F5079" s="92">
        <f t="shared" ref="F5079:F5142" si="71">F5078-D5079+E5079</f>
        <v>222225</v>
      </c>
    </row>
    <row r="5080" spans="1:10" x14ac:dyDescent="0.25">
      <c r="A5080" s="204">
        <v>43304</v>
      </c>
      <c r="B5080" s="26" t="s">
        <v>3974</v>
      </c>
      <c r="C5080" s="26" t="s">
        <v>3975</v>
      </c>
      <c r="D5080" s="8">
        <v>25000</v>
      </c>
      <c r="E5080" s="8"/>
      <c r="F5080" s="92">
        <f t="shared" si="71"/>
        <v>197225</v>
      </c>
    </row>
    <row r="5081" spans="1:10" x14ac:dyDescent="0.25">
      <c r="A5081" s="204">
        <v>43304</v>
      </c>
      <c r="B5081" s="26" t="s">
        <v>58</v>
      </c>
      <c r="C5081" s="26" t="s">
        <v>3976</v>
      </c>
      <c r="D5081" s="8">
        <v>500</v>
      </c>
      <c r="E5081" s="8"/>
      <c r="F5081" s="92">
        <f t="shared" si="71"/>
        <v>196725</v>
      </c>
    </row>
    <row r="5082" spans="1:10" x14ac:dyDescent="0.25">
      <c r="A5082" s="204">
        <v>43305</v>
      </c>
      <c r="B5082" s="26" t="s">
        <v>85</v>
      </c>
      <c r="C5082" s="26" t="s">
        <v>3977</v>
      </c>
      <c r="D5082" s="8">
        <v>1000</v>
      </c>
      <c r="E5082" s="8"/>
      <c r="F5082" s="92">
        <f t="shared" si="71"/>
        <v>195725</v>
      </c>
    </row>
    <row r="5083" spans="1:10" x14ac:dyDescent="0.25">
      <c r="A5083" s="204">
        <v>43305</v>
      </c>
      <c r="B5083" s="26" t="s">
        <v>2597</v>
      </c>
      <c r="C5083" s="26" t="s">
        <v>4012</v>
      </c>
      <c r="D5083" s="8">
        <v>7170</v>
      </c>
      <c r="E5083" s="8"/>
      <c r="F5083" s="92">
        <f t="shared" si="71"/>
        <v>188555</v>
      </c>
    </row>
    <row r="5084" spans="1:10" x14ac:dyDescent="0.25">
      <c r="A5084" s="204">
        <v>43305</v>
      </c>
      <c r="B5084" s="26" t="s">
        <v>3978</v>
      </c>
      <c r="C5084" s="26" t="s">
        <v>3979</v>
      </c>
      <c r="D5084" s="8">
        <v>6000</v>
      </c>
      <c r="E5084" s="8"/>
      <c r="F5084" s="92">
        <f t="shared" si="71"/>
        <v>182555</v>
      </c>
    </row>
    <row r="5085" spans="1:10" x14ac:dyDescent="0.25">
      <c r="A5085" s="204">
        <v>43305</v>
      </c>
      <c r="B5085" s="26" t="s">
        <v>58</v>
      </c>
      <c r="C5085" s="26" t="s">
        <v>4019</v>
      </c>
      <c r="D5085" s="8">
        <v>1500</v>
      </c>
      <c r="E5085" s="8"/>
      <c r="F5085" s="92">
        <f t="shared" si="71"/>
        <v>181055</v>
      </c>
    </row>
    <row r="5086" spans="1:10" x14ac:dyDescent="0.25">
      <c r="A5086" s="204">
        <v>43305</v>
      </c>
      <c r="B5086" s="26" t="s">
        <v>2597</v>
      </c>
      <c r="C5086" s="26" t="s">
        <v>4009</v>
      </c>
      <c r="D5086" s="8">
        <v>26167</v>
      </c>
      <c r="E5086" s="8"/>
      <c r="F5086" s="92">
        <f t="shared" si="71"/>
        <v>154888</v>
      </c>
      <c r="I5086" s="239"/>
    </row>
    <row r="5087" spans="1:10" x14ac:dyDescent="0.25">
      <c r="A5087" s="204">
        <v>43305</v>
      </c>
      <c r="B5087" s="460" t="s">
        <v>3721</v>
      </c>
      <c r="C5087" s="460"/>
      <c r="D5087" s="71"/>
      <c r="E5087" s="58">
        <v>100000</v>
      </c>
      <c r="F5087" s="92">
        <f t="shared" si="71"/>
        <v>254888</v>
      </c>
      <c r="I5087" s="239"/>
    </row>
    <row r="5088" spans="1:10" x14ac:dyDescent="0.25">
      <c r="A5088" s="204">
        <v>43305</v>
      </c>
      <c r="B5088" s="26" t="s">
        <v>3917</v>
      </c>
      <c r="C5088" s="26" t="s">
        <v>3980</v>
      </c>
      <c r="D5088" s="8">
        <v>10000</v>
      </c>
      <c r="E5088" s="8"/>
      <c r="F5088" s="92">
        <f t="shared" si="71"/>
        <v>244888</v>
      </c>
    </row>
    <row r="5089" spans="1:6" x14ac:dyDescent="0.25">
      <c r="A5089" s="204">
        <v>43305</v>
      </c>
      <c r="B5089" s="26" t="s">
        <v>59</v>
      </c>
      <c r="C5089" s="26" t="s">
        <v>3146</v>
      </c>
      <c r="D5089" s="8">
        <v>27946</v>
      </c>
      <c r="E5089" s="8"/>
      <c r="F5089" s="92">
        <f t="shared" si="71"/>
        <v>216942</v>
      </c>
    </row>
    <row r="5090" spans="1:6" x14ac:dyDescent="0.25">
      <c r="A5090" s="204">
        <v>43305</v>
      </c>
      <c r="B5090" s="26" t="s">
        <v>14</v>
      </c>
      <c r="C5090" s="26" t="s">
        <v>295</v>
      </c>
      <c r="D5090" s="8">
        <v>5000</v>
      </c>
      <c r="E5090" s="8"/>
      <c r="F5090" s="92">
        <f t="shared" si="71"/>
        <v>211942</v>
      </c>
    </row>
    <row r="5091" spans="1:6" x14ac:dyDescent="0.25">
      <c r="A5091" s="204">
        <v>43305</v>
      </c>
      <c r="B5091" s="26" t="s">
        <v>2597</v>
      </c>
      <c r="C5091" s="26" t="s">
        <v>3983</v>
      </c>
      <c r="D5091" s="8">
        <v>15810</v>
      </c>
      <c r="E5091" s="8"/>
      <c r="F5091" s="92">
        <f t="shared" si="71"/>
        <v>196132</v>
      </c>
    </row>
    <row r="5092" spans="1:6" x14ac:dyDescent="0.25">
      <c r="A5092" s="204">
        <v>43305</v>
      </c>
      <c r="B5092" s="26" t="s">
        <v>2597</v>
      </c>
      <c r="C5092" s="26" t="s">
        <v>3982</v>
      </c>
      <c r="D5092" s="8">
        <v>9900</v>
      </c>
      <c r="E5092" s="8"/>
      <c r="F5092" s="92">
        <f t="shared" si="71"/>
        <v>186232</v>
      </c>
    </row>
    <row r="5093" spans="1:6" x14ac:dyDescent="0.25">
      <c r="A5093" s="204">
        <v>43305</v>
      </c>
      <c r="B5093" s="26" t="s">
        <v>2089</v>
      </c>
      <c r="C5093" s="26" t="s">
        <v>3984</v>
      </c>
      <c r="D5093" s="8">
        <v>1100</v>
      </c>
      <c r="E5093" s="8"/>
      <c r="F5093" s="92">
        <f t="shared" si="71"/>
        <v>185132</v>
      </c>
    </row>
    <row r="5094" spans="1:6" x14ac:dyDescent="0.25">
      <c r="A5094" s="204">
        <v>43305</v>
      </c>
      <c r="B5094" s="26" t="s">
        <v>3818</v>
      </c>
      <c r="C5094" s="26" t="s">
        <v>3981</v>
      </c>
      <c r="D5094" s="8">
        <v>210</v>
      </c>
      <c r="E5094" s="8"/>
      <c r="F5094" s="92">
        <f t="shared" si="71"/>
        <v>184922</v>
      </c>
    </row>
    <row r="5095" spans="1:6" x14ac:dyDescent="0.25">
      <c r="A5095" s="204">
        <v>43305</v>
      </c>
      <c r="B5095" s="26" t="s">
        <v>85</v>
      </c>
      <c r="C5095" s="26" t="s">
        <v>3995</v>
      </c>
      <c r="D5095" s="8">
        <v>5000</v>
      </c>
      <c r="E5095" s="8"/>
      <c r="F5095" s="92">
        <f t="shared" si="71"/>
        <v>179922</v>
      </c>
    </row>
    <row r="5096" spans="1:6" x14ac:dyDescent="0.25">
      <c r="A5096" s="204">
        <v>43305</v>
      </c>
      <c r="B5096" s="26" t="s">
        <v>85</v>
      </c>
      <c r="C5096" s="26" t="s">
        <v>3996</v>
      </c>
      <c r="D5096" s="8">
        <v>3000</v>
      </c>
      <c r="E5096" s="8"/>
      <c r="F5096" s="92">
        <f t="shared" si="71"/>
        <v>176922</v>
      </c>
    </row>
    <row r="5097" spans="1:6" x14ac:dyDescent="0.25">
      <c r="A5097" s="204">
        <v>43305</v>
      </c>
      <c r="B5097" s="26" t="s">
        <v>85</v>
      </c>
      <c r="C5097" s="26" t="s">
        <v>3997</v>
      </c>
      <c r="D5097" s="8">
        <v>5000</v>
      </c>
      <c r="E5097" s="8"/>
      <c r="F5097" s="92">
        <f t="shared" si="71"/>
        <v>171922</v>
      </c>
    </row>
    <row r="5098" spans="1:6" x14ac:dyDescent="0.25">
      <c r="A5098" s="204">
        <v>43305</v>
      </c>
      <c r="B5098" s="26" t="s">
        <v>0</v>
      </c>
      <c r="C5098" s="26" t="s">
        <v>295</v>
      </c>
      <c r="D5098" s="8">
        <v>1000</v>
      </c>
      <c r="E5098" s="8"/>
      <c r="F5098" s="92">
        <f t="shared" si="71"/>
        <v>170922</v>
      </c>
    </row>
    <row r="5099" spans="1:6" x14ac:dyDescent="0.25">
      <c r="A5099" s="204">
        <v>43305</v>
      </c>
      <c r="B5099" s="26" t="s">
        <v>14</v>
      </c>
      <c r="C5099" s="26" t="s">
        <v>295</v>
      </c>
      <c r="D5099" s="8">
        <v>10000</v>
      </c>
      <c r="E5099" s="8"/>
      <c r="F5099" s="92">
        <f t="shared" si="71"/>
        <v>160922</v>
      </c>
    </row>
    <row r="5100" spans="1:6" x14ac:dyDescent="0.25">
      <c r="A5100" s="204">
        <v>43306</v>
      </c>
      <c r="B5100" s="26" t="s">
        <v>119</v>
      </c>
      <c r="C5100" s="26" t="s">
        <v>3999</v>
      </c>
      <c r="D5100" s="8">
        <f>50+60+50+420+380+140+20+110+60+50</f>
        <v>1340</v>
      </c>
      <c r="E5100" s="8"/>
      <c r="F5100" s="92">
        <f t="shared" si="71"/>
        <v>159582</v>
      </c>
    </row>
    <row r="5101" spans="1:6" x14ac:dyDescent="0.25">
      <c r="A5101" s="204">
        <v>43306</v>
      </c>
      <c r="B5101" s="26" t="s">
        <v>111</v>
      </c>
      <c r="C5101" s="26" t="s">
        <v>4000</v>
      </c>
      <c r="D5101" s="8">
        <f>190+100</f>
        <v>290</v>
      </c>
      <c r="E5101" s="8"/>
      <c r="F5101" s="92">
        <f t="shared" si="71"/>
        <v>159292</v>
      </c>
    </row>
    <row r="5102" spans="1:6" x14ac:dyDescent="0.25">
      <c r="A5102" s="204">
        <v>43306</v>
      </c>
      <c r="B5102" s="26" t="s">
        <v>542</v>
      </c>
      <c r="C5102" s="26" t="s">
        <v>3796</v>
      </c>
      <c r="D5102" s="8">
        <v>60</v>
      </c>
      <c r="E5102" s="8"/>
      <c r="F5102" s="92">
        <f t="shared" si="71"/>
        <v>159232</v>
      </c>
    </row>
    <row r="5103" spans="1:6" x14ac:dyDescent="0.25">
      <c r="A5103" s="204">
        <v>43306</v>
      </c>
      <c r="B5103" s="26" t="s">
        <v>90</v>
      </c>
      <c r="C5103" s="26" t="s">
        <v>3796</v>
      </c>
      <c r="D5103" s="8">
        <v>60</v>
      </c>
      <c r="E5103" s="8"/>
      <c r="F5103" s="92">
        <f t="shared" si="71"/>
        <v>159172</v>
      </c>
    </row>
    <row r="5104" spans="1:6" x14ac:dyDescent="0.25">
      <c r="A5104" s="204">
        <v>43306</v>
      </c>
      <c r="B5104" s="26" t="s">
        <v>90</v>
      </c>
      <c r="C5104" s="26" t="s">
        <v>4001</v>
      </c>
      <c r="D5104" s="8">
        <v>100</v>
      </c>
      <c r="E5104" s="8"/>
      <c r="F5104" s="92">
        <f t="shared" si="71"/>
        <v>159072</v>
      </c>
    </row>
    <row r="5105" spans="1:6" x14ac:dyDescent="0.25">
      <c r="A5105" s="204">
        <v>43306</v>
      </c>
      <c r="B5105" s="26" t="s">
        <v>119</v>
      </c>
      <c r="C5105" s="26" t="s">
        <v>4002</v>
      </c>
      <c r="D5105" s="8">
        <v>120</v>
      </c>
      <c r="E5105" s="8"/>
      <c r="F5105" s="92">
        <f t="shared" si="71"/>
        <v>158952</v>
      </c>
    </row>
    <row r="5106" spans="1:6" x14ac:dyDescent="0.25">
      <c r="A5106" s="204">
        <v>43306</v>
      </c>
      <c r="B5106" s="26" t="s">
        <v>542</v>
      </c>
      <c r="C5106" s="26" t="s">
        <v>4003</v>
      </c>
      <c r="D5106" s="8">
        <v>300</v>
      </c>
      <c r="E5106" s="8"/>
      <c r="F5106" s="92">
        <f t="shared" si="71"/>
        <v>158652</v>
      </c>
    </row>
    <row r="5107" spans="1:6" x14ac:dyDescent="0.25">
      <c r="A5107" s="204">
        <v>43306</v>
      </c>
      <c r="B5107" s="26" t="s">
        <v>248</v>
      </c>
      <c r="C5107" s="26" t="s">
        <v>3981</v>
      </c>
      <c r="D5107" s="8">
        <v>100</v>
      </c>
      <c r="E5107" s="8"/>
      <c r="F5107" s="92">
        <f t="shared" si="71"/>
        <v>158552</v>
      </c>
    </row>
    <row r="5108" spans="1:6" x14ac:dyDescent="0.25">
      <c r="A5108" s="204">
        <v>43307</v>
      </c>
      <c r="B5108" s="26" t="s">
        <v>542</v>
      </c>
      <c r="C5108" s="26" t="s">
        <v>4005</v>
      </c>
      <c r="D5108" s="8">
        <v>430</v>
      </c>
      <c r="E5108" s="8"/>
      <c r="F5108" s="92">
        <f t="shared" si="71"/>
        <v>158122</v>
      </c>
    </row>
    <row r="5109" spans="1:6" x14ac:dyDescent="0.25">
      <c r="A5109" s="204">
        <v>43307</v>
      </c>
      <c r="B5109" s="26" t="s">
        <v>119</v>
      </c>
      <c r="C5109" s="26" t="s">
        <v>4006</v>
      </c>
      <c r="D5109" s="8">
        <v>80</v>
      </c>
      <c r="E5109" s="8"/>
      <c r="F5109" s="92">
        <f t="shared" si="71"/>
        <v>158042</v>
      </c>
    </row>
    <row r="5110" spans="1:6" x14ac:dyDescent="0.25">
      <c r="A5110" s="204">
        <v>43307</v>
      </c>
      <c r="B5110" s="26" t="s">
        <v>542</v>
      </c>
      <c r="C5110" s="26" t="s">
        <v>4007</v>
      </c>
      <c r="D5110" s="8">
        <v>128</v>
      </c>
      <c r="E5110" s="8"/>
      <c r="F5110" s="92">
        <f t="shared" si="71"/>
        <v>157914</v>
      </c>
    </row>
    <row r="5111" spans="1:6" ht="30" x14ac:dyDescent="0.25">
      <c r="A5111" s="204">
        <v>43308</v>
      </c>
      <c r="B5111" s="26" t="s">
        <v>26</v>
      </c>
      <c r="C5111" s="87" t="s">
        <v>4004</v>
      </c>
      <c r="D5111" s="8">
        <f>520+90+48+60</f>
        <v>718</v>
      </c>
      <c r="E5111" s="8"/>
      <c r="F5111" s="92">
        <f t="shared" si="71"/>
        <v>157196</v>
      </c>
    </row>
    <row r="5112" spans="1:6" x14ac:dyDescent="0.25">
      <c r="A5112" s="204">
        <v>43308</v>
      </c>
      <c r="B5112" s="26" t="s">
        <v>26</v>
      </c>
      <c r="C5112" s="87" t="s">
        <v>4008</v>
      </c>
      <c r="D5112" s="8">
        <v>238</v>
      </c>
      <c r="E5112" s="8"/>
      <c r="F5112" s="92">
        <f t="shared" si="71"/>
        <v>156958</v>
      </c>
    </row>
    <row r="5113" spans="1:6" x14ac:dyDescent="0.25">
      <c r="A5113" s="204">
        <v>43307</v>
      </c>
      <c r="B5113" s="26" t="s">
        <v>85</v>
      </c>
      <c r="C5113" s="26" t="s">
        <v>3985</v>
      </c>
      <c r="D5113" s="8">
        <v>1000</v>
      </c>
      <c r="E5113" s="8"/>
      <c r="F5113" s="92">
        <f t="shared" si="71"/>
        <v>155958</v>
      </c>
    </row>
    <row r="5114" spans="1:6" x14ac:dyDescent="0.25">
      <c r="A5114" s="204">
        <v>43307</v>
      </c>
      <c r="B5114" s="26" t="s">
        <v>3986</v>
      </c>
      <c r="C5114" s="26" t="s">
        <v>3987</v>
      </c>
      <c r="D5114" s="8">
        <v>300</v>
      </c>
      <c r="E5114" s="8"/>
      <c r="F5114" s="92">
        <f t="shared" si="71"/>
        <v>155658</v>
      </c>
    </row>
    <row r="5115" spans="1:6" x14ac:dyDescent="0.25">
      <c r="A5115" s="204">
        <v>43307</v>
      </c>
      <c r="B5115" s="26" t="s">
        <v>3141</v>
      </c>
      <c r="C5115" s="26" t="s">
        <v>3988</v>
      </c>
      <c r="D5115" s="8">
        <f>7960+10782+26806</f>
        <v>45548</v>
      </c>
      <c r="E5115" s="8"/>
      <c r="F5115" s="92">
        <f t="shared" si="71"/>
        <v>110110</v>
      </c>
    </row>
    <row r="5116" spans="1:6" x14ac:dyDescent="0.25">
      <c r="A5116" s="204">
        <v>43307</v>
      </c>
      <c r="B5116" s="26" t="s">
        <v>3989</v>
      </c>
      <c r="C5116" s="26" t="s">
        <v>3990</v>
      </c>
      <c r="D5116" s="8">
        <v>10000</v>
      </c>
      <c r="E5116" s="8"/>
      <c r="F5116" s="92">
        <f t="shared" si="71"/>
        <v>100110</v>
      </c>
    </row>
    <row r="5117" spans="1:6" x14ac:dyDescent="0.25">
      <c r="A5117" s="204">
        <v>43307</v>
      </c>
      <c r="B5117" s="26" t="s">
        <v>57</v>
      </c>
      <c r="C5117" s="26" t="s">
        <v>3992</v>
      </c>
      <c r="D5117" s="8">
        <v>1500</v>
      </c>
      <c r="E5117" s="8"/>
      <c r="F5117" s="92">
        <f t="shared" si="71"/>
        <v>98610</v>
      </c>
    </row>
    <row r="5118" spans="1:6" x14ac:dyDescent="0.25">
      <c r="A5118" s="204">
        <v>43307</v>
      </c>
      <c r="B5118" s="26" t="s">
        <v>3989</v>
      </c>
      <c r="C5118" s="26" t="s">
        <v>3993</v>
      </c>
      <c r="D5118" s="8">
        <v>5360</v>
      </c>
      <c r="E5118" s="8"/>
      <c r="F5118" s="92">
        <f t="shared" si="71"/>
        <v>93250</v>
      </c>
    </row>
    <row r="5119" spans="1:6" x14ac:dyDescent="0.25">
      <c r="A5119" s="204">
        <v>43308</v>
      </c>
      <c r="B5119" s="26" t="s">
        <v>2597</v>
      </c>
      <c r="C5119" s="26" t="s">
        <v>4010</v>
      </c>
      <c r="D5119" s="8">
        <v>10200</v>
      </c>
      <c r="E5119" s="8"/>
      <c r="F5119" s="92">
        <f t="shared" si="71"/>
        <v>83050</v>
      </c>
    </row>
    <row r="5120" spans="1:6" x14ac:dyDescent="0.25">
      <c r="A5120" s="204">
        <v>43308</v>
      </c>
      <c r="B5120" s="26" t="s">
        <v>2597</v>
      </c>
      <c r="C5120" s="26" t="s">
        <v>4011</v>
      </c>
      <c r="D5120" s="8">
        <v>5940</v>
      </c>
      <c r="E5120" s="8"/>
      <c r="F5120" s="92">
        <f t="shared" si="71"/>
        <v>77110</v>
      </c>
    </row>
    <row r="5121" spans="1:6" x14ac:dyDescent="0.25">
      <c r="A5121" s="204">
        <v>43308</v>
      </c>
      <c r="B5121" s="26" t="s">
        <v>3818</v>
      </c>
      <c r="C5121" s="26" t="s">
        <v>3998</v>
      </c>
      <c r="D5121" s="8">
        <v>80</v>
      </c>
      <c r="E5121" s="8"/>
      <c r="F5121" s="92">
        <f t="shared" si="71"/>
        <v>77030</v>
      </c>
    </row>
    <row r="5122" spans="1:6" x14ac:dyDescent="0.25">
      <c r="A5122" s="204">
        <v>43308</v>
      </c>
      <c r="B5122" s="26" t="s">
        <v>2597</v>
      </c>
      <c r="C5122" s="26" t="s">
        <v>4013</v>
      </c>
      <c r="D5122" s="8">
        <v>800</v>
      </c>
      <c r="E5122" s="8"/>
      <c r="F5122" s="92">
        <f t="shared" si="71"/>
        <v>76230</v>
      </c>
    </row>
    <row r="5123" spans="1:6" x14ac:dyDescent="0.25">
      <c r="A5123" s="204">
        <v>43308</v>
      </c>
      <c r="B5123" s="26" t="s">
        <v>2597</v>
      </c>
      <c r="C5123" s="26" t="s">
        <v>4014</v>
      </c>
      <c r="D5123" s="8">
        <v>900</v>
      </c>
      <c r="E5123" s="8"/>
      <c r="F5123" s="92">
        <f t="shared" si="71"/>
        <v>75330</v>
      </c>
    </row>
    <row r="5124" spans="1:6" x14ac:dyDescent="0.25">
      <c r="A5124" s="204">
        <v>43308</v>
      </c>
      <c r="B5124" s="26" t="s">
        <v>59</v>
      </c>
      <c r="C5124" s="26" t="s">
        <v>4079</v>
      </c>
      <c r="D5124" s="8">
        <v>12780</v>
      </c>
      <c r="E5124" s="8"/>
      <c r="F5124" s="92">
        <f t="shared" si="71"/>
        <v>62550</v>
      </c>
    </row>
    <row r="5125" spans="1:6" x14ac:dyDescent="0.25">
      <c r="A5125" s="204">
        <v>43308</v>
      </c>
      <c r="B5125" s="26" t="s">
        <v>4015</v>
      </c>
      <c r="C5125" s="26" t="s">
        <v>4016</v>
      </c>
      <c r="D5125" s="8">
        <v>550</v>
      </c>
      <c r="E5125" s="8"/>
      <c r="F5125" s="92">
        <f t="shared" si="71"/>
        <v>62000</v>
      </c>
    </row>
    <row r="5126" spans="1:6" x14ac:dyDescent="0.25">
      <c r="A5126" s="204">
        <v>43308</v>
      </c>
      <c r="B5126" s="26" t="s">
        <v>59</v>
      </c>
      <c r="C5126" s="26" t="s">
        <v>4017</v>
      </c>
      <c r="D5126" s="8">
        <v>100</v>
      </c>
      <c r="E5126" s="8"/>
      <c r="F5126" s="92">
        <f t="shared" si="71"/>
        <v>61900</v>
      </c>
    </row>
    <row r="5127" spans="1:6" x14ac:dyDescent="0.25">
      <c r="A5127" s="204">
        <v>43308</v>
      </c>
      <c r="B5127" s="26" t="s">
        <v>542</v>
      </c>
      <c r="C5127" s="26" t="s">
        <v>4018</v>
      </c>
      <c r="D5127" s="8">
        <f>540+90</f>
        <v>630</v>
      </c>
      <c r="E5127" s="8"/>
      <c r="F5127" s="92">
        <f t="shared" si="71"/>
        <v>61270</v>
      </c>
    </row>
    <row r="5128" spans="1:6" x14ac:dyDescent="0.25">
      <c r="A5128" s="204">
        <v>43308</v>
      </c>
      <c r="B5128" s="26" t="s">
        <v>542</v>
      </c>
      <c r="C5128" s="26" t="s">
        <v>2438</v>
      </c>
      <c r="D5128" s="8">
        <v>600</v>
      </c>
      <c r="E5128" s="8"/>
      <c r="F5128" s="92">
        <f t="shared" si="71"/>
        <v>60670</v>
      </c>
    </row>
    <row r="5129" spans="1:6" x14ac:dyDescent="0.25">
      <c r="A5129" s="204">
        <v>43309</v>
      </c>
      <c r="B5129" s="26" t="s">
        <v>26</v>
      </c>
      <c r="C5129" s="26" t="s">
        <v>4020</v>
      </c>
      <c r="D5129" s="8">
        <v>1000</v>
      </c>
      <c r="E5129" s="8"/>
      <c r="F5129" s="92">
        <f t="shared" si="71"/>
        <v>59670</v>
      </c>
    </row>
    <row r="5130" spans="1:6" x14ac:dyDescent="0.25">
      <c r="A5130" s="204">
        <v>43311</v>
      </c>
      <c r="B5130" s="26" t="s">
        <v>3141</v>
      </c>
      <c r="C5130" s="26" t="s">
        <v>4021</v>
      </c>
      <c r="D5130" s="8">
        <f>17190+669</f>
        <v>17859</v>
      </c>
      <c r="E5130" s="8"/>
      <c r="F5130" s="92">
        <f t="shared" si="71"/>
        <v>41811</v>
      </c>
    </row>
    <row r="5131" spans="1:6" x14ac:dyDescent="0.25">
      <c r="A5131" s="204">
        <v>43311</v>
      </c>
      <c r="B5131" s="26" t="s">
        <v>14</v>
      </c>
      <c r="C5131" s="26" t="s">
        <v>4022</v>
      </c>
      <c r="D5131" s="8">
        <v>2000</v>
      </c>
      <c r="E5131" s="8"/>
      <c r="F5131" s="92">
        <f t="shared" si="71"/>
        <v>39811</v>
      </c>
    </row>
    <row r="5132" spans="1:6" ht="30" x14ac:dyDescent="0.25">
      <c r="A5132" s="204">
        <v>43311</v>
      </c>
      <c r="B5132" s="26" t="s">
        <v>58</v>
      </c>
      <c r="C5132" s="87" t="s">
        <v>4027</v>
      </c>
      <c r="D5132" s="8">
        <v>1000</v>
      </c>
      <c r="E5132" s="8"/>
      <c r="F5132" s="92">
        <f t="shared" si="71"/>
        <v>38811</v>
      </c>
    </row>
    <row r="5133" spans="1:6" x14ac:dyDescent="0.25">
      <c r="A5133" s="204">
        <v>43311</v>
      </c>
      <c r="B5133" s="26" t="s">
        <v>58</v>
      </c>
      <c r="C5133" s="26" t="s">
        <v>3146</v>
      </c>
      <c r="D5133" s="8">
        <v>18000</v>
      </c>
      <c r="E5133" s="8"/>
      <c r="F5133" s="92">
        <f t="shared" si="71"/>
        <v>20811</v>
      </c>
    </row>
    <row r="5134" spans="1:6" x14ac:dyDescent="0.25">
      <c r="A5134" s="204">
        <v>43311</v>
      </c>
      <c r="B5134" s="26" t="s">
        <v>59</v>
      </c>
      <c r="C5134" s="26" t="s">
        <v>4099</v>
      </c>
      <c r="D5134" s="8">
        <v>800</v>
      </c>
      <c r="E5134" s="8"/>
      <c r="F5134" s="92">
        <f t="shared" si="71"/>
        <v>20011</v>
      </c>
    </row>
    <row r="5135" spans="1:6" x14ac:dyDescent="0.25">
      <c r="A5135" s="204">
        <v>43311</v>
      </c>
      <c r="B5135" s="26" t="s">
        <v>3388</v>
      </c>
      <c r="C5135" s="26" t="s">
        <v>4023</v>
      </c>
      <c r="D5135" s="8">
        <v>2680</v>
      </c>
      <c r="E5135" s="8"/>
      <c r="F5135" s="92">
        <f t="shared" si="71"/>
        <v>17331</v>
      </c>
    </row>
    <row r="5136" spans="1:6" x14ac:dyDescent="0.25">
      <c r="A5136" s="204">
        <v>43311</v>
      </c>
      <c r="B5136" s="26" t="s">
        <v>3388</v>
      </c>
      <c r="C5136" s="26" t="s">
        <v>4024</v>
      </c>
      <c r="D5136" s="8">
        <v>100</v>
      </c>
      <c r="E5136" s="8"/>
      <c r="F5136" s="92">
        <f t="shared" si="71"/>
        <v>17231</v>
      </c>
    </row>
    <row r="5137" spans="1:9" x14ac:dyDescent="0.25">
      <c r="A5137" s="204">
        <v>43311</v>
      </c>
      <c r="B5137" s="26" t="s">
        <v>3388</v>
      </c>
      <c r="C5137" s="26" t="s">
        <v>4025</v>
      </c>
      <c r="D5137" s="8">
        <v>120</v>
      </c>
      <c r="E5137" s="8"/>
      <c r="F5137" s="92">
        <f t="shared" si="71"/>
        <v>17111</v>
      </c>
    </row>
    <row r="5138" spans="1:9" x14ac:dyDescent="0.25">
      <c r="A5138" s="204">
        <v>43311</v>
      </c>
      <c r="B5138" s="26" t="s">
        <v>3818</v>
      </c>
      <c r="C5138" s="26" t="s">
        <v>4026</v>
      </c>
      <c r="D5138" s="8">
        <v>6000</v>
      </c>
      <c r="E5138" s="8"/>
      <c r="F5138" s="92">
        <f t="shared" si="71"/>
        <v>11111</v>
      </c>
    </row>
    <row r="5139" spans="1:9" x14ac:dyDescent="0.25">
      <c r="A5139" s="204">
        <v>43311</v>
      </c>
      <c r="B5139" s="26" t="s">
        <v>85</v>
      </c>
      <c r="C5139" s="26" t="s">
        <v>4028</v>
      </c>
      <c r="D5139" s="8">
        <v>2000</v>
      </c>
      <c r="E5139" s="8"/>
      <c r="F5139" s="92">
        <f t="shared" si="71"/>
        <v>9111</v>
      </c>
    </row>
    <row r="5140" spans="1:9" x14ac:dyDescent="0.25">
      <c r="A5140" s="204">
        <v>43311</v>
      </c>
      <c r="B5140" s="26" t="s">
        <v>57</v>
      </c>
      <c r="C5140" s="26" t="s">
        <v>4029</v>
      </c>
      <c r="D5140" s="8">
        <v>3000</v>
      </c>
      <c r="E5140" s="8"/>
      <c r="F5140" s="92">
        <f t="shared" si="71"/>
        <v>6111</v>
      </c>
    </row>
    <row r="5141" spans="1:9" x14ac:dyDescent="0.25">
      <c r="A5141" s="204">
        <v>43311</v>
      </c>
      <c r="B5141" s="26" t="s">
        <v>85</v>
      </c>
      <c r="C5141" s="26" t="s">
        <v>4030</v>
      </c>
      <c r="D5141" s="8">
        <v>5000</v>
      </c>
      <c r="E5141" s="8"/>
      <c r="F5141" s="92">
        <f t="shared" si="71"/>
        <v>1111</v>
      </c>
    </row>
    <row r="5142" spans="1:9" x14ac:dyDescent="0.25">
      <c r="A5142" s="204">
        <v>43311</v>
      </c>
      <c r="B5142" s="460" t="s">
        <v>3721</v>
      </c>
      <c r="C5142" s="460"/>
      <c r="D5142" s="71"/>
      <c r="E5142" s="58">
        <v>50000</v>
      </c>
      <c r="F5142" s="92">
        <f t="shared" si="71"/>
        <v>51111</v>
      </c>
      <c r="I5142" s="239"/>
    </row>
    <row r="5143" spans="1:9" x14ac:dyDescent="0.25">
      <c r="A5143" s="204">
        <v>43311</v>
      </c>
      <c r="B5143" s="26" t="s">
        <v>14</v>
      </c>
      <c r="C5143" s="26" t="s">
        <v>295</v>
      </c>
      <c r="D5143" s="8">
        <v>15000</v>
      </c>
      <c r="E5143" s="8"/>
      <c r="F5143" s="92">
        <f t="shared" ref="F5143:F5220" si="72">F5142-D5143+E5143</f>
        <v>36111</v>
      </c>
    </row>
    <row r="5144" spans="1:9" x14ac:dyDescent="0.25">
      <c r="A5144" s="204">
        <v>43312</v>
      </c>
      <c r="B5144" s="26" t="s">
        <v>2597</v>
      </c>
      <c r="C5144" s="26" t="s">
        <v>4047</v>
      </c>
      <c r="D5144" s="8">
        <f>20000+6450</f>
        <v>26450</v>
      </c>
      <c r="E5144" s="8"/>
      <c r="F5144" s="92">
        <f t="shared" si="72"/>
        <v>9661</v>
      </c>
    </row>
    <row r="5145" spans="1:9" x14ac:dyDescent="0.25">
      <c r="A5145" s="204">
        <v>43312</v>
      </c>
      <c r="B5145" s="26" t="s">
        <v>3829</v>
      </c>
      <c r="C5145" s="26" t="s">
        <v>4031</v>
      </c>
      <c r="D5145" s="8">
        <v>2000</v>
      </c>
      <c r="E5145" s="8"/>
      <c r="F5145" s="92">
        <f t="shared" si="72"/>
        <v>7661</v>
      </c>
    </row>
    <row r="5146" spans="1:9" x14ac:dyDescent="0.25">
      <c r="A5146" s="204">
        <v>43312</v>
      </c>
      <c r="B5146" s="26" t="s">
        <v>2573</v>
      </c>
      <c r="C5146" s="26" t="s">
        <v>4032</v>
      </c>
      <c r="D5146" s="8">
        <v>200</v>
      </c>
      <c r="E5146" s="8"/>
      <c r="F5146" s="92">
        <f t="shared" si="72"/>
        <v>7461</v>
      </c>
    </row>
    <row r="5147" spans="1:9" x14ac:dyDescent="0.25">
      <c r="A5147" s="204">
        <v>43312</v>
      </c>
      <c r="B5147" s="26" t="s">
        <v>14</v>
      </c>
      <c r="C5147" s="26" t="s">
        <v>4033</v>
      </c>
      <c r="D5147" s="8">
        <v>1000</v>
      </c>
      <c r="E5147" s="8"/>
      <c r="F5147" s="92">
        <f t="shared" si="72"/>
        <v>6461</v>
      </c>
    </row>
    <row r="5148" spans="1:9" x14ac:dyDescent="0.25">
      <c r="A5148" s="204">
        <v>43312</v>
      </c>
      <c r="B5148" s="26" t="s">
        <v>1619</v>
      </c>
      <c r="C5148" s="26" t="s">
        <v>4034</v>
      </c>
      <c r="D5148" s="8">
        <v>520</v>
      </c>
      <c r="E5148" s="8"/>
      <c r="F5148" s="92">
        <f t="shared" si="72"/>
        <v>5941</v>
      </c>
    </row>
    <row r="5149" spans="1:9" x14ac:dyDescent="0.25">
      <c r="A5149" s="204">
        <v>43312</v>
      </c>
      <c r="B5149" s="26" t="s">
        <v>19</v>
      </c>
      <c r="C5149" s="26" t="s">
        <v>4035</v>
      </c>
      <c r="D5149" s="8">
        <v>3000</v>
      </c>
      <c r="E5149" s="8"/>
      <c r="F5149" s="92">
        <f t="shared" si="72"/>
        <v>2941</v>
      </c>
    </row>
    <row r="5150" spans="1:9" x14ac:dyDescent="0.25">
      <c r="A5150" s="204">
        <v>43312</v>
      </c>
      <c r="B5150" s="26" t="s">
        <v>85</v>
      </c>
      <c r="C5150" s="26" t="s">
        <v>4036</v>
      </c>
      <c r="D5150" s="8">
        <v>1000</v>
      </c>
      <c r="E5150" s="8"/>
      <c r="F5150" s="92">
        <f t="shared" si="72"/>
        <v>1941</v>
      </c>
    </row>
    <row r="5151" spans="1:9" x14ac:dyDescent="0.25">
      <c r="A5151" s="204">
        <v>43312</v>
      </c>
      <c r="B5151" s="26" t="s">
        <v>4037</v>
      </c>
      <c r="C5151" s="26" t="s">
        <v>2016</v>
      </c>
      <c r="D5151" s="8">
        <v>50</v>
      </c>
      <c r="E5151" s="8"/>
      <c r="F5151" s="92">
        <f t="shared" si="72"/>
        <v>1891</v>
      </c>
    </row>
    <row r="5152" spans="1:9" x14ac:dyDescent="0.25">
      <c r="A5152" s="204">
        <v>43312</v>
      </c>
      <c r="B5152" s="26" t="s">
        <v>2597</v>
      </c>
      <c r="C5152" s="26" t="s">
        <v>4038</v>
      </c>
      <c r="D5152" s="8">
        <v>500</v>
      </c>
      <c r="E5152" s="8"/>
      <c r="F5152" s="92">
        <f t="shared" si="72"/>
        <v>1391</v>
      </c>
    </row>
    <row r="5153" spans="1:9" x14ac:dyDescent="0.25">
      <c r="A5153" s="204">
        <v>43312</v>
      </c>
      <c r="B5153" s="26" t="s">
        <v>2597</v>
      </c>
      <c r="C5153" s="26" t="s">
        <v>4039</v>
      </c>
      <c r="D5153" s="8">
        <v>450</v>
      </c>
      <c r="E5153" s="8"/>
      <c r="F5153" s="92">
        <f t="shared" si="72"/>
        <v>941</v>
      </c>
    </row>
    <row r="5154" spans="1:9" x14ac:dyDescent="0.25">
      <c r="A5154" s="204">
        <v>43312</v>
      </c>
      <c r="B5154" s="26" t="s">
        <v>119</v>
      </c>
      <c r="C5154" s="26" t="s">
        <v>4041</v>
      </c>
      <c r="D5154" s="8">
        <f>170+100+100+320</f>
        <v>690</v>
      </c>
      <c r="E5154" s="8"/>
      <c r="F5154" s="92">
        <f t="shared" si="72"/>
        <v>251</v>
      </c>
    </row>
    <row r="5155" spans="1:9" x14ac:dyDescent="0.25">
      <c r="A5155" s="204">
        <v>43313</v>
      </c>
      <c r="B5155" s="460" t="s">
        <v>4067</v>
      </c>
      <c r="C5155" s="460"/>
      <c r="D5155" s="71"/>
      <c r="E5155" s="58">
        <v>100000</v>
      </c>
      <c r="F5155" s="92">
        <f t="shared" si="72"/>
        <v>100251</v>
      </c>
      <c r="I5155" s="239"/>
    </row>
    <row r="5156" spans="1:9" x14ac:dyDescent="0.25">
      <c r="A5156" s="204">
        <v>43313</v>
      </c>
      <c r="B5156" s="26" t="s">
        <v>59</v>
      </c>
      <c r="C5156" s="26" t="s">
        <v>3146</v>
      </c>
      <c r="D5156" s="8">
        <v>70106</v>
      </c>
      <c r="E5156" s="8"/>
      <c r="F5156" s="92">
        <f t="shared" si="72"/>
        <v>30145</v>
      </c>
    </row>
    <row r="5157" spans="1:9" x14ac:dyDescent="0.25">
      <c r="A5157" s="204">
        <v>43313</v>
      </c>
      <c r="B5157" s="26" t="s">
        <v>4059</v>
      </c>
      <c r="C5157" s="26" t="s">
        <v>4076</v>
      </c>
      <c r="D5157" s="8">
        <v>2000</v>
      </c>
      <c r="E5157" s="8"/>
      <c r="F5157" s="92">
        <f t="shared" si="72"/>
        <v>28145</v>
      </c>
    </row>
    <row r="5158" spans="1:9" x14ac:dyDescent="0.25">
      <c r="A5158" s="204">
        <v>43313</v>
      </c>
      <c r="B5158" s="26" t="s">
        <v>119</v>
      </c>
      <c r="C5158" s="26" t="s">
        <v>4042</v>
      </c>
      <c r="D5158" s="8">
        <f>30+30+100+220+110</f>
        <v>490</v>
      </c>
      <c r="E5158" s="8"/>
      <c r="F5158" s="92">
        <f t="shared" si="72"/>
        <v>27655</v>
      </c>
    </row>
    <row r="5159" spans="1:9" x14ac:dyDescent="0.25">
      <c r="A5159" s="204">
        <v>43313</v>
      </c>
      <c r="B5159" s="26" t="s">
        <v>4043</v>
      </c>
      <c r="C5159" s="26" t="s">
        <v>2878</v>
      </c>
      <c r="D5159" s="8">
        <v>150</v>
      </c>
      <c r="E5159" s="8"/>
      <c r="F5159" s="92">
        <f t="shared" si="72"/>
        <v>27505</v>
      </c>
    </row>
    <row r="5160" spans="1:9" x14ac:dyDescent="0.25">
      <c r="A5160" s="204">
        <v>43313</v>
      </c>
      <c r="B5160" s="26" t="s">
        <v>26</v>
      </c>
      <c r="C5160" s="26" t="s">
        <v>4044</v>
      </c>
      <c r="D5160" s="8">
        <v>160</v>
      </c>
      <c r="E5160" s="8"/>
      <c r="F5160" s="92">
        <f t="shared" si="72"/>
        <v>27345</v>
      </c>
    </row>
    <row r="5161" spans="1:9" x14ac:dyDescent="0.25">
      <c r="A5161" s="204">
        <v>43313</v>
      </c>
      <c r="B5161" s="26" t="s">
        <v>26</v>
      </c>
      <c r="C5161" s="26" t="s">
        <v>4045</v>
      </c>
      <c r="D5161" s="8">
        <v>160</v>
      </c>
      <c r="E5161" s="8"/>
      <c r="F5161" s="92">
        <f t="shared" si="72"/>
        <v>27185</v>
      </c>
    </row>
    <row r="5162" spans="1:9" x14ac:dyDescent="0.25">
      <c r="A5162" s="204">
        <v>43313</v>
      </c>
      <c r="B5162" s="26" t="s">
        <v>2597</v>
      </c>
      <c r="C5162" s="26" t="s">
        <v>4046</v>
      </c>
      <c r="D5162" s="8">
        <v>360</v>
      </c>
      <c r="E5162" s="8"/>
      <c r="F5162" s="92">
        <f t="shared" si="72"/>
        <v>26825</v>
      </c>
    </row>
    <row r="5163" spans="1:9" x14ac:dyDescent="0.25">
      <c r="A5163" s="204">
        <v>43313</v>
      </c>
      <c r="B5163" s="26" t="s">
        <v>3974</v>
      </c>
      <c r="C5163" s="26" t="s">
        <v>4048</v>
      </c>
      <c r="D5163" s="8">
        <v>3150</v>
      </c>
      <c r="E5163" s="8"/>
      <c r="F5163" s="92">
        <f t="shared" si="72"/>
        <v>23675</v>
      </c>
    </row>
    <row r="5164" spans="1:9" x14ac:dyDescent="0.25">
      <c r="A5164" s="204">
        <v>43313</v>
      </c>
      <c r="B5164" s="26" t="s">
        <v>85</v>
      </c>
      <c r="C5164" s="26" t="s">
        <v>4049</v>
      </c>
      <c r="D5164" s="8">
        <v>1000</v>
      </c>
      <c r="E5164" s="8"/>
      <c r="F5164" s="92">
        <f t="shared" si="72"/>
        <v>22675</v>
      </c>
    </row>
    <row r="5165" spans="1:9" x14ac:dyDescent="0.25">
      <c r="A5165" s="204">
        <v>43314</v>
      </c>
      <c r="B5165" s="26" t="s">
        <v>14</v>
      </c>
      <c r="C5165" s="26" t="s">
        <v>2547</v>
      </c>
      <c r="D5165" s="8">
        <v>5000</v>
      </c>
      <c r="E5165" s="8"/>
      <c r="F5165" s="92">
        <f t="shared" si="72"/>
        <v>17675</v>
      </c>
    </row>
    <row r="5166" spans="1:9" x14ac:dyDescent="0.25">
      <c r="A5166" s="204">
        <v>43314</v>
      </c>
      <c r="B5166" s="26" t="s">
        <v>14</v>
      </c>
      <c r="C5166" s="26" t="s">
        <v>4050</v>
      </c>
      <c r="D5166" s="161">
        <v>8020</v>
      </c>
      <c r="E5166" s="8"/>
      <c r="F5166" s="92">
        <f t="shared" si="72"/>
        <v>9655</v>
      </c>
    </row>
    <row r="5167" spans="1:9" x14ac:dyDescent="0.25">
      <c r="A5167" s="204">
        <v>43314</v>
      </c>
      <c r="B5167" s="26" t="s">
        <v>551</v>
      </c>
      <c r="C5167" s="26" t="s">
        <v>4051</v>
      </c>
      <c r="D5167" s="8">
        <v>5000</v>
      </c>
      <c r="E5167" s="8"/>
      <c r="F5167" s="92">
        <f t="shared" si="72"/>
        <v>4655</v>
      </c>
    </row>
    <row r="5168" spans="1:9" x14ac:dyDescent="0.25">
      <c r="A5168" s="204">
        <v>43313</v>
      </c>
      <c r="B5168" s="460" t="s">
        <v>4067</v>
      </c>
      <c r="C5168" s="460"/>
      <c r="D5168" s="71"/>
      <c r="E5168" s="58">
        <v>80000</v>
      </c>
      <c r="F5168" s="92">
        <f t="shared" si="72"/>
        <v>84655</v>
      </c>
      <c r="I5168" s="239"/>
    </row>
    <row r="5169" spans="1:9" x14ac:dyDescent="0.25">
      <c r="A5169" s="204">
        <v>43315</v>
      </c>
      <c r="B5169" s="26" t="s">
        <v>61</v>
      </c>
      <c r="C5169" s="26" t="s">
        <v>2809</v>
      </c>
      <c r="D5169" s="8">
        <v>500</v>
      </c>
      <c r="E5169" s="8"/>
      <c r="F5169" s="92">
        <f t="shared" si="72"/>
        <v>84155</v>
      </c>
    </row>
    <row r="5170" spans="1:9" x14ac:dyDescent="0.25">
      <c r="A5170" s="204">
        <v>43315</v>
      </c>
      <c r="B5170" s="26" t="s">
        <v>59</v>
      </c>
      <c r="C5170" s="26" t="s">
        <v>4056</v>
      </c>
      <c r="D5170" s="8">
        <v>11755</v>
      </c>
      <c r="E5170" s="8"/>
      <c r="F5170" s="92">
        <f t="shared" si="72"/>
        <v>72400</v>
      </c>
    </row>
    <row r="5171" spans="1:9" x14ac:dyDescent="0.25">
      <c r="A5171" s="204">
        <v>43315</v>
      </c>
      <c r="B5171" s="26" t="s">
        <v>61</v>
      </c>
      <c r="C5171" s="26" t="s">
        <v>4057</v>
      </c>
      <c r="D5171" s="8">
        <v>1500</v>
      </c>
      <c r="E5171" s="8"/>
      <c r="F5171" s="92">
        <f t="shared" si="72"/>
        <v>70900</v>
      </c>
    </row>
    <row r="5172" spans="1:9" x14ac:dyDescent="0.25">
      <c r="A5172" s="204">
        <v>43315</v>
      </c>
      <c r="B5172" s="26" t="s">
        <v>59</v>
      </c>
      <c r="C5172" s="26" t="s">
        <v>4052</v>
      </c>
      <c r="D5172" s="8">
        <v>18500</v>
      </c>
      <c r="E5172" s="8"/>
      <c r="F5172" s="92">
        <f t="shared" si="72"/>
        <v>52400</v>
      </c>
    </row>
    <row r="5173" spans="1:9" x14ac:dyDescent="0.25">
      <c r="A5173" s="204">
        <v>43315</v>
      </c>
      <c r="B5173" s="26" t="s">
        <v>57</v>
      </c>
      <c r="C5173" s="26" t="s">
        <v>4077</v>
      </c>
      <c r="D5173" s="8">
        <v>860</v>
      </c>
      <c r="E5173" s="8"/>
      <c r="F5173" s="92">
        <f t="shared" si="72"/>
        <v>51540</v>
      </c>
    </row>
    <row r="5174" spans="1:9" x14ac:dyDescent="0.25">
      <c r="A5174" s="204">
        <v>43315</v>
      </c>
      <c r="B5174" s="26" t="s">
        <v>111</v>
      </c>
      <c r="C5174" s="26" t="s">
        <v>4053</v>
      </c>
      <c r="D5174" s="8">
        <v>10034</v>
      </c>
      <c r="E5174" s="8"/>
      <c r="F5174" s="92">
        <f t="shared" si="72"/>
        <v>41506</v>
      </c>
    </row>
    <row r="5175" spans="1:9" x14ac:dyDescent="0.25">
      <c r="A5175" s="204">
        <v>43315</v>
      </c>
      <c r="B5175" s="26" t="s">
        <v>111</v>
      </c>
      <c r="C5175" s="26" t="s">
        <v>31</v>
      </c>
      <c r="D5175" s="8">
        <v>2870</v>
      </c>
      <c r="E5175" s="8"/>
      <c r="F5175" s="92">
        <f t="shared" si="72"/>
        <v>38636</v>
      </c>
    </row>
    <row r="5176" spans="1:9" x14ac:dyDescent="0.25">
      <c r="A5176" s="204">
        <v>43315</v>
      </c>
      <c r="B5176" s="26" t="s">
        <v>48</v>
      </c>
      <c r="C5176" s="26" t="s">
        <v>4054</v>
      </c>
      <c r="D5176" s="8">
        <v>1000</v>
      </c>
      <c r="E5176" s="8"/>
      <c r="F5176" s="92">
        <f t="shared" si="72"/>
        <v>37636</v>
      </c>
    </row>
    <row r="5177" spans="1:9" x14ac:dyDescent="0.25">
      <c r="A5177" s="204">
        <v>43315</v>
      </c>
      <c r="B5177" s="26" t="s">
        <v>94</v>
      </c>
      <c r="C5177" s="26" t="s">
        <v>4120</v>
      </c>
      <c r="D5177" s="8">
        <v>5000</v>
      </c>
      <c r="E5177" s="8"/>
      <c r="F5177" s="92">
        <f t="shared" si="72"/>
        <v>32636</v>
      </c>
    </row>
    <row r="5178" spans="1:9" x14ac:dyDescent="0.25">
      <c r="A5178" s="204">
        <v>43315</v>
      </c>
      <c r="B5178" s="26" t="s">
        <v>94</v>
      </c>
      <c r="C5178" s="26" t="s">
        <v>4055</v>
      </c>
      <c r="D5178" s="8">
        <v>5000</v>
      </c>
      <c r="E5178" s="8"/>
      <c r="F5178" s="92">
        <f t="shared" si="72"/>
        <v>27636</v>
      </c>
    </row>
    <row r="5179" spans="1:9" ht="13.9" customHeight="1" x14ac:dyDescent="0.25">
      <c r="A5179" s="204">
        <v>43318</v>
      </c>
      <c r="B5179" s="26" t="s">
        <v>59</v>
      </c>
      <c r="C5179" s="87" t="s">
        <v>4058</v>
      </c>
      <c r="D5179" s="8">
        <v>250</v>
      </c>
      <c r="E5179" s="8"/>
      <c r="F5179" s="92">
        <f t="shared" si="72"/>
        <v>27386</v>
      </c>
    </row>
    <row r="5180" spans="1:9" x14ac:dyDescent="0.25">
      <c r="A5180" s="204">
        <v>43318</v>
      </c>
      <c r="B5180" s="26" t="s">
        <v>85</v>
      </c>
      <c r="C5180" s="26" t="s">
        <v>4060</v>
      </c>
      <c r="D5180" s="8">
        <v>5000</v>
      </c>
      <c r="E5180" s="8"/>
      <c r="F5180" s="92">
        <f t="shared" si="72"/>
        <v>22386</v>
      </c>
    </row>
    <row r="5181" spans="1:9" x14ac:dyDescent="0.25">
      <c r="A5181" s="204">
        <v>43318</v>
      </c>
      <c r="B5181" s="26" t="s">
        <v>4061</v>
      </c>
      <c r="C5181" s="26" t="s">
        <v>4078</v>
      </c>
      <c r="D5181" s="8">
        <v>5000</v>
      </c>
      <c r="E5181" s="8"/>
      <c r="F5181" s="92">
        <f t="shared" si="72"/>
        <v>17386</v>
      </c>
    </row>
    <row r="5182" spans="1:9" x14ac:dyDescent="0.25">
      <c r="A5182" s="204">
        <v>43318</v>
      </c>
      <c r="B5182" s="460" t="s">
        <v>4068</v>
      </c>
      <c r="C5182" s="460"/>
      <c r="D5182" s="71"/>
      <c r="E5182" s="58">
        <v>256374</v>
      </c>
      <c r="F5182" s="92">
        <f t="shared" si="72"/>
        <v>273760</v>
      </c>
      <c r="I5182" s="239"/>
    </row>
    <row r="5183" spans="1:9" x14ac:dyDescent="0.25">
      <c r="A5183" s="204">
        <v>43318</v>
      </c>
      <c r="B5183" s="26" t="s">
        <v>4062</v>
      </c>
      <c r="C5183" s="26" t="s">
        <v>4063</v>
      </c>
      <c r="D5183" s="8">
        <v>15000</v>
      </c>
      <c r="E5183" s="8"/>
      <c r="F5183" s="92">
        <f t="shared" si="72"/>
        <v>258760</v>
      </c>
    </row>
    <row r="5184" spans="1:9" x14ac:dyDescent="0.25">
      <c r="A5184" s="204">
        <v>43318</v>
      </c>
      <c r="B5184" s="26" t="s">
        <v>4087</v>
      </c>
      <c r="C5184" s="26" t="s">
        <v>4088</v>
      </c>
      <c r="D5184" s="8">
        <v>100000</v>
      </c>
      <c r="E5184" s="8"/>
      <c r="F5184" s="92">
        <f t="shared" si="72"/>
        <v>158760</v>
      </c>
    </row>
    <row r="5185" spans="1:6" x14ac:dyDescent="0.25">
      <c r="A5185" s="204">
        <v>43318</v>
      </c>
      <c r="B5185" s="26" t="s">
        <v>4089</v>
      </c>
      <c r="C5185" s="26" t="s">
        <v>4090</v>
      </c>
      <c r="D5185" s="8">
        <v>50000</v>
      </c>
      <c r="E5185" s="8"/>
      <c r="F5185" s="92">
        <f t="shared" si="72"/>
        <v>108760</v>
      </c>
    </row>
    <row r="5186" spans="1:6" x14ac:dyDescent="0.25">
      <c r="A5186" s="204">
        <v>43318</v>
      </c>
      <c r="B5186" s="26" t="s">
        <v>2597</v>
      </c>
      <c r="C5186" s="26" t="s">
        <v>4082</v>
      </c>
      <c r="D5186" s="8">
        <f>4500+1000+300</f>
        <v>5800</v>
      </c>
      <c r="E5186" s="8"/>
      <c r="F5186" s="92">
        <f t="shared" si="72"/>
        <v>102960</v>
      </c>
    </row>
    <row r="5187" spans="1:6" x14ac:dyDescent="0.25">
      <c r="A5187" s="204">
        <v>43318</v>
      </c>
      <c r="B5187" s="26" t="s">
        <v>2597</v>
      </c>
      <c r="C5187" s="26" t="s">
        <v>4080</v>
      </c>
      <c r="D5187" s="8">
        <v>10750</v>
      </c>
      <c r="E5187" s="8"/>
      <c r="F5187" s="92">
        <f t="shared" si="72"/>
        <v>92210</v>
      </c>
    </row>
    <row r="5188" spans="1:6" ht="30" x14ac:dyDescent="0.25">
      <c r="A5188" s="204">
        <v>43318</v>
      </c>
      <c r="B5188" s="26" t="s">
        <v>2597</v>
      </c>
      <c r="C5188" s="87" t="s">
        <v>4064</v>
      </c>
      <c r="D5188" s="8">
        <v>450</v>
      </c>
      <c r="E5188" s="8"/>
      <c r="F5188" s="92">
        <f t="shared" si="72"/>
        <v>91760</v>
      </c>
    </row>
    <row r="5189" spans="1:6" x14ac:dyDescent="0.25">
      <c r="A5189" s="204">
        <v>43318</v>
      </c>
      <c r="B5189" s="26" t="s">
        <v>14</v>
      </c>
      <c r="C5189" s="26" t="s">
        <v>1627</v>
      </c>
      <c r="D5189" s="8">
        <v>1000</v>
      </c>
      <c r="E5189" s="8"/>
      <c r="F5189" s="92">
        <f t="shared" si="72"/>
        <v>90760</v>
      </c>
    </row>
    <row r="5190" spans="1:6" x14ac:dyDescent="0.25">
      <c r="A5190" s="204">
        <v>43318</v>
      </c>
      <c r="B5190" s="26" t="s">
        <v>4065</v>
      </c>
      <c r="C5190" s="26" t="s">
        <v>4066</v>
      </c>
      <c r="D5190" s="8">
        <v>1300</v>
      </c>
      <c r="E5190" s="8"/>
      <c r="F5190" s="92">
        <f t="shared" si="72"/>
        <v>89460</v>
      </c>
    </row>
    <row r="5191" spans="1:6" x14ac:dyDescent="0.25">
      <c r="A5191" s="204">
        <v>43319</v>
      </c>
      <c r="B5191" s="26" t="s">
        <v>3829</v>
      </c>
      <c r="C5191" s="26" t="s">
        <v>4069</v>
      </c>
      <c r="D5191" s="8">
        <v>4000</v>
      </c>
      <c r="E5191" s="8"/>
      <c r="F5191" s="92">
        <f t="shared" si="72"/>
        <v>85460</v>
      </c>
    </row>
    <row r="5192" spans="1:6" x14ac:dyDescent="0.25">
      <c r="A5192" s="204">
        <v>43319</v>
      </c>
      <c r="B5192" s="26" t="s">
        <v>0</v>
      </c>
      <c r="C5192" s="26" t="s">
        <v>4069</v>
      </c>
      <c r="D5192" s="8">
        <v>2000</v>
      </c>
      <c r="E5192" s="8"/>
      <c r="F5192" s="92">
        <f t="shared" si="72"/>
        <v>83460</v>
      </c>
    </row>
    <row r="5193" spans="1:6" x14ac:dyDescent="0.25">
      <c r="A5193" s="204">
        <v>43319</v>
      </c>
      <c r="B5193" s="26" t="s">
        <v>58</v>
      </c>
      <c r="C5193" s="26" t="s">
        <v>4069</v>
      </c>
      <c r="D5193" s="8">
        <v>1000</v>
      </c>
      <c r="E5193" s="8"/>
      <c r="F5193" s="92">
        <f t="shared" si="72"/>
        <v>82460</v>
      </c>
    </row>
    <row r="5194" spans="1:6" x14ac:dyDescent="0.25">
      <c r="A5194" s="204">
        <v>43319</v>
      </c>
      <c r="B5194" s="26" t="s">
        <v>14</v>
      </c>
      <c r="C5194" s="26" t="s">
        <v>3146</v>
      </c>
      <c r="D5194" s="8">
        <v>7000</v>
      </c>
      <c r="E5194" s="8"/>
      <c r="F5194" s="92">
        <f t="shared" si="72"/>
        <v>75460</v>
      </c>
    </row>
    <row r="5195" spans="1:6" x14ac:dyDescent="0.25">
      <c r="A5195" s="204">
        <v>43319</v>
      </c>
      <c r="B5195" s="26" t="s">
        <v>85</v>
      </c>
      <c r="C5195" s="26" t="s">
        <v>4070</v>
      </c>
      <c r="D5195" s="8">
        <v>5000</v>
      </c>
      <c r="E5195" s="8"/>
      <c r="F5195" s="92">
        <f t="shared" si="72"/>
        <v>70460</v>
      </c>
    </row>
    <row r="5196" spans="1:6" x14ac:dyDescent="0.25">
      <c r="A5196" s="204">
        <v>43319</v>
      </c>
      <c r="B5196" s="26" t="s">
        <v>2597</v>
      </c>
      <c r="C5196" s="26" t="s">
        <v>4081</v>
      </c>
      <c r="D5196" s="8">
        <v>16530</v>
      </c>
      <c r="E5196" s="8"/>
      <c r="F5196" s="92">
        <f t="shared" si="72"/>
        <v>53930</v>
      </c>
    </row>
    <row r="5197" spans="1:6" x14ac:dyDescent="0.25">
      <c r="A5197" s="204">
        <v>43319</v>
      </c>
      <c r="B5197" s="26" t="s">
        <v>59</v>
      </c>
      <c r="C5197" s="26" t="s">
        <v>4071</v>
      </c>
      <c r="D5197" s="8">
        <v>8700</v>
      </c>
      <c r="E5197" s="8"/>
      <c r="F5197" s="92">
        <f t="shared" si="72"/>
        <v>45230</v>
      </c>
    </row>
    <row r="5198" spans="1:6" x14ac:dyDescent="0.25">
      <c r="A5198" s="204">
        <v>43320</v>
      </c>
      <c r="B5198" s="26" t="s">
        <v>119</v>
      </c>
      <c r="C5198" s="26" t="s">
        <v>4072</v>
      </c>
      <c r="D5198" s="8">
        <v>240</v>
      </c>
      <c r="E5198" s="8"/>
      <c r="F5198" s="92">
        <f t="shared" si="72"/>
        <v>44990</v>
      </c>
    </row>
    <row r="5199" spans="1:6" x14ac:dyDescent="0.25">
      <c r="A5199" s="204">
        <v>43320</v>
      </c>
      <c r="B5199" s="26" t="s">
        <v>542</v>
      </c>
      <c r="C5199" s="26" t="s">
        <v>4073</v>
      </c>
      <c r="D5199" s="8">
        <v>510</v>
      </c>
      <c r="E5199" s="8"/>
      <c r="F5199" s="92">
        <f t="shared" si="72"/>
        <v>44480</v>
      </c>
    </row>
    <row r="5200" spans="1:6" x14ac:dyDescent="0.25">
      <c r="A5200" s="204">
        <v>43320</v>
      </c>
      <c r="B5200" s="26" t="s">
        <v>2677</v>
      </c>
      <c r="C5200" s="26" t="s">
        <v>3660</v>
      </c>
      <c r="D5200" s="8">
        <v>780</v>
      </c>
      <c r="E5200" s="8"/>
      <c r="F5200" s="92">
        <f t="shared" si="72"/>
        <v>43700</v>
      </c>
    </row>
    <row r="5201" spans="1:6" x14ac:dyDescent="0.25">
      <c r="A5201" s="204">
        <v>43320</v>
      </c>
      <c r="B5201" s="26" t="s">
        <v>248</v>
      </c>
      <c r="C5201" s="26" t="s">
        <v>3779</v>
      </c>
      <c r="D5201" s="8">
        <f>280+280</f>
        <v>560</v>
      </c>
      <c r="E5201" s="8"/>
      <c r="F5201" s="92">
        <f t="shared" si="72"/>
        <v>43140</v>
      </c>
    </row>
    <row r="5202" spans="1:6" ht="45" x14ac:dyDescent="0.25">
      <c r="A5202" s="204">
        <v>43320</v>
      </c>
      <c r="B5202" s="26" t="s">
        <v>119</v>
      </c>
      <c r="C5202" s="87" t="s">
        <v>4074</v>
      </c>
      <c r="D5202" s="8">
        <f>390+100+60+80+80+50+80+200+30+400+60+100+70+40+110+100+50+40+20+180+30+50+30</f>
        <v>2350</v>
      </c>
      <c r="E5202" s="8"/>
      <c r="F5202" s="92">
        <f t="shared" si="72"/>
        <v>40790</v>
      </c>
    </row>
    <row r="5203" spans="1:6" x14ac:dyDescent="0.25">
      <c r="A5203" s="204">
        <v>43320</v>
      </c>
      <c r="B5203" s="26" t="s">
        <v>3628</v>
      </c>
      <c r="C5203" s="26" t="s">
        <v>4075</v>
      </c>
      <c r="D5203" s="8">
        <v>270</v>
      </c>
      <c r="E5203" s="8"/>
      <c r="F5203" s="92">
        <f t="shared" si="72"/>
        <v>40520</v>
      </c>
    </row>
    <row r="5204" spans="1:6" x14ac:dyDescent="0.25">
      <c r="A5204" s="204">
        <v>43320</v>
      </c>
      <c r="B5204" s="26" t="s">
        <v>1619</v>
      </c>
      <c r="C5204" s="26" t="s">
        <v>3707</v>
      </c>
      <c r="D5204" s="8">
        <v>1500</v>
      </c>
      <c r="E5204" s="8"/>
      <c r="F5204" s="92">
        <f t="shared" si="72"/>
        <v>39020</v>
      </c>
    </row>
    <row r="5205" spans="1:6" x14ac:dyDescent="0.25">
      <c r="A5205" s="204">
        <v>43320</v>
      </c>
      <c r="B5205" s="26" t="s">
        <v>85</v>
      </c>
      <c r="C5205" s="26" t="s">
        <v>4083</v>
      </c>
      <c r="D5205" s="8">
        <v>500</v>
      </c>
      <c r="E5205" s="8"/>
      <c r="F5205" s="92">
        <f t="shared" si="72"/>
        <v>38520</v>
      </c>
    </row>
    <row r="5206" spans="1:6" x14ac:dyDescent="0.25">
      <c r="A5206" s="204">
        <v>43320</v>
      </c>
      <c r="B5206" s="26" t="s">
        <v>85</v>
      </c>
      <c r="C5206" s="26" t="s">
        <v>4084</v>
      </c>
      <c r="D5206" s="8">
        <v>600</v>
      </c>
      <c r="E5206" s="8"/>
      <c r="F5206" s="92">
        <f t="shared" si="72"/>
        <v>37920</v>
      </c>
    </row>
    <row r="5207" spans="1:6" x14ac:dyDescent="0.25">
      <c r="A5207" s="204">
        <v>43320</v>
      </c>
      <c r="B5207" s="26" t="s">
        <v>2349</v>
      </c>
      <c r="C5207" s="26" t="s">
        <v>4085</v>
      </c>
      <c r="D5207" s="8">
        <v>1500</v>
      </c>
      <c r="E5207" s="8"/>
      <c r="F5207" s="92">
        <f t="shared" si="72"/>
        <v>36420</v>
      </c>
    </row>
    <row r="5208" spans="1:6" x14ac:dyDescent="0.25">
      <c r="A5208" s="204">
        <v>43320</v>
      </c>
      <c r="B5208" s="26" t="s">
        <v>1196</v>
      </c>
      <c r="C5208" s="26" t="s">
        <v>4086</v>
      </c>
      <c r="D5208" s="8">
        <v>2000</v>
      </c>
      <c r="E5208" s="8"/>
      <c r="F5208" s="92">
        <f t="shared" si="72"/>
        <v>34420</v>
      </c>
    </row>
    <row r="5209" spans="1:6" x14ac:dyDescent="0.25">
      <c r="A5209" s="204">
        <v>43321</v>
      </c>
      <c r="B5209" s="26" t="s">
        <v>3770</v>
      </c>
      <c r="C5209" s="26" t="s">
        <v>41</v>
      </c>
      <c r="D5209" s="8">
        <v>2100</v>
      </c>
      <c r="E5209" s="8"/>
      <c r="F5209" s="92">
        <f t="shared" si="72"/>
        <v>32320</v>
      </c>
    </row>
    <row r="5210" spans="1:6" x14ac:dyDescent="0.25">
      <c r="A5210" s="204">
        <v>43321</v>
      </c>
      <c r="B5210" s="26" t="s">
        <v>2349</v>
      </c>
      <c r="C5210" s="26" t="s">
        <v>4091</v>
      </c>
      <c r="D5210" s="8">
        <v>1500</v>
      </c>
      <c r="E5210" s="8"/>
      <c r="F5210" s="92">
        <f t="shared" si="72"/>
        <v>30820</v>
      </c>
    </row>
    <row r="5211" spans="1:6" x14ac:dyDescent="0.25">
      <c r="A5211" s="204">
        <v>43321</v>
      </c>
      <c r="B5211" s="26" t="s">
        <v>85</v>
      </c>
      <c r="C5211" s="26" t="s">
        <v>4092</v>
      </c>
      <c r="D5211" s="8">
        <v>500</v>
      </c>
      <c r="E5211" s="8"/>
      <c r="F5211" s="92">
        <f t="shared" si="72"/>
        <v>30320</v>
      </c>
    </row>
    <row r="5212" spans="1:6" x14ac:dyDescent="0.25">
      <c r="A5212" s="204">
        <v>43321</v>
      </c>
      <c r="B5212" s="26" t="s">
        <v>3728</v>
      </c>
      <c r="C5212" s="26" t="s">
        <v>4093</v>
      </c>
      <c r="D5212" s="8">
        <v>4150</v>
      </c>
      <c r="E5212" s="8"/>
      <c r="F5212" s="92">
        <f t="shared" si="72"/>
        <v>26170</v>
      </c>
    </row>
    <row r="5213" spans="1:6" x14ac:dyDescent="0.25">
      <c r="A5213" s="204">
        <v>43321</v>
      </c>
      <c r="B5213" s="26" t="s">
        <v>2597</v>
      </c>
      <c r="C5213" s="26" t="s">
        <v>4095</v>
      </c>
      <c r="D5213" s="8">
        <v>500</v>
      </c>
      <c r="E5213" s="8"/>
      <c r="F5213" s="92">
        <f t="shared" si="72"/>
        <v>25670</v>
      </c>
    </row>
    <row r="5214" spans="1:6" x14ac:dyDescent="0.25">
      <c r="A5214" s="204">
        <v>43322</v>
      </c>
      <c r="B5214" s="26" t="s">
        <v>3563</v>
      </c>
      <c r="C5214" s="26" t="s">
        <v>4096</v>
      </c>
      <c r="D5214" s="8">
        <v>3800</v>
      </c>
      <c r="E5214" s="8"/>
      <c r="F5214" s="92">
        <f t="shared" si="72"/>
        <v>21870</v>
      </c>
    </row>
    <row r="5215" spans="1:6" x14ac:dyDescent="0.25">
      <c r="A5215" s="204">
        <v>43322</v>
      </c>
      <c r="B5215" s="26" t="s">
        <v>59</v>
      </c>
      <c r="C5215" s="26" t="s">
        <v>4122</v>
      </c>
      <c r="D5215" s="8">
        <v>650</v>
      </c>
      <c r="E5215" s="8"/>
      <c r="F5215" s="92">
        <f t="shared" si="72"/>
        <v>21220</v>
      </c>
    </row>
    <row r="5216" spans="1:6" x14ac:dyDescent="0.25">
      <c r="A5216" s="204">
        <v>43322</v>
      </c>
      <c r="B5216" s="26" t="s">
        <v>4097</v>
      </c>
      <c r="C5216" s="26" t="s">
        <v>4098</v>
      </c>
      <c r="D5216" s="8">
        <v>5000</v>
      </c>
      <c r="E5216" s="8"/>
      <c r="F5216" s="92">
        <f t="shared" si="72"/>
        <v>16220</v>
      </c>
    </row>
    <row r="5217" spans="1:9" x14ac:dyDescent="0.25">
      <c r="A5217" s="204">
        <v>43322</v>
      </c>
      <c r="B5217" s="26" t="s">
        <v>59</v>
      </c>
      <c r="C5217" s="26" t="s">
        <v>4121</v>
      </c>
      <c r="D5217" s="8">
        <v>9940</v>
      </c>
      <c r="E5217" s="8"/>
      <c r="F5217" s="92">
        <f t="shared" si="72"/>
        <v>6280</v>
      </c>
    </row>
    <row r="5218" spans="1:9" x14ac:dyDescent="0.25">
      <c r="A5218" s="204">
        <v>43322</v>
      </c>
      <c r="B5218" s="26" t="s">
        <v>57</v>
      </c>
      <c r="C5218" s="26" t="s">
        <v>4104</v>
      </c>
      <c r="D5218" s="8">
        <v>300</v>
      </c>
      <c r="E5218" s="8"/>
      <c r="F5218" s="92">
        <f t="shared" si="72"/>
        <v>5980</v>
      </c>
    </row>
    <row r="5219" spans="1:9" x14ac:dyDescent="0.25">
      <c r="A5219" s="204">
        <v>43322</v>
      </c>
      <c r="B5219" s="26" t="s">
        <v>4100</v>
      </c>
      <c r="C5219" s="26" t="s">
        <v>4101</v>
      </c>
      <c r="D5219" s="8">
        <v>150</v>
      </c>
      <c r="E5219" s="8"/>
      <c r="F5219" s="92">
        <f t="shared" si="72"/>
        <v>5830</v>
      </c>
    </row>
    <row r="5220" spans="1:9" x14ac:dyDescent="0.25">
      <c r="A5220" s="204">
        <v>43322</v>
      </c>
      <c r="B5220" s="26" t="s">
        <v>4100</v>
      </c>
      <c r="C5220" s="26" t="s">
        <v>4102</v>
      </c>
      <c r="D5220" s="8">
        <v>100</v>
      </c>
      <c r="E5220" s="8"/>
      <c r="F5220" s="92">
        <f t="shared" si="72"/>
        <v>5730</v>
      </c>
    </row>
    <row r="5221" spans="1:9" x14ac:dyDescent="0.25">
      <c r="A5221" s="204">
        <v>43323</v>
      </c>
      <c r="B5221" s="26" t="s">
        <v>1196</v>
      </c>
      <c r="C5221" s="26" t="s">
        <v>4103</v>
      </c>
      <c r="D5221" s="8">
        <v>750</v>
      </c>
      <c r="E5221" s="8"/>
      <c r="F5221" s="92">
        <f t="shared" ref="F5221:F5250" si="73">F5220-D5221+E5221</f>
        <v>4980</v>
      </c>
    </row>
    <row r="5222" spans="1:9" x14ac:dyDescent="0.25">
      <c r="A5222" s="204">
        <v>43323</v>
      </c>
      <c r="B5222" s="26" t="s">
        <v>3974</v>
      </c>
      <c r="C5222" s="26" t="s">
        <v>4106</v>
      </c>
      <c r="D5222" s="8">
        <v>2500</v>
      </c>
      <c r="E5222" s="8"/>
      <c r="F5222" s="92">
        <f t="shared" si="73"/>
        <v>2480</v>
      </c>
    </row>
    <row r="5223" spans="1:9" x14ac:dyDescent="0.25">
      <c r="A5223" s="204">
        <v>43323</v>
      </c>
      <c r="B5223" s="460" t="s">
        <v>4110</v>
      </c>
      <c r="C5223" s="460"/>
      <c r="D5223" s="71"/>
      <c r="E5223" s="58">
        <v>50000</v>
      </c>
      <c r="F5223" s="92">
        <f t="shared" si="73"/>
        <v>52480</v>
      </c>
      <c r="I5223" s="239"/>
    </row>
    <row r="5224" spans="1:9" x14ac:dyDescent="0.25">
      <c r="A5224" s="204">
        <v>43323</v>
      </c>
      <c r="B5224" s="26" t="s">
        <v>2266</v>
      </c>
      <c r="C5224" s="26" t="s">
        <v>4094</v>
      </c>
      <c r="D5224" s="8">
        <v>500</v>
      </c>
      <c r="E5224" s="8"/>
      <c r="F5224" s="92">
        <f t="shared" si="73"/>
        <v>51980</v>
      </c>
    </row>
    <row r="5225" spans="1:9" x14ac:dyDescent="0.25">
      <c r="A5225" s="204">
        <v>43323</v>
      </c>
      <c r="B5225" s="26" t="s">
        <v>1346</v>
      </c>
      <c r="C5225" s="26" t="s">
        <v>4107</v>
      </c>
      <c r="D5225" s="8">
        <v>2000</v>
      </c>
      <c r="E5225" s="8"/>
      <c r="F5225" s="92">
        <f t="shared" si="73"/>
        <v>49980</v>
      </c>
    </row>
    <row r="5226" spans="1:9" x14ac:dyDescent="0.25">
      <c r="A5226" s="204">
        <v>43323</v>
      </c>
      <c r="B5226" s="26" t="s">
        <v>2951</v>
      </c>
      <c r="C5226" s="26" t="s">
        <v>4108</v>
      </c>
      <c r="D5226" s="8">
        <v>4500</v>
      </c>
      <c r="E5226" s="8"/>
      <c r="F5226" s="92">
        <f t="shared" si="73"/>
        <v>45480</v>
      </c>
    </row>
    <row r="5227" spans="1:9" x14ac:dyDescent="0.25">
      <c r="A5227" s="204">
        <v>43323</v>
      </c>
      <c r="B5227" s="26" t="s">
        <v>11</v>
      </c>
      <c r="C5227" s="26" t="s">
        <v>4109</v>
      </c>
      <c r="D5227" s="8">
        <v>4780</v>
      </c>
      <c r="E5227" s="8"/>
      <c r="F5227" s="92">
        <f t="shared" si="73"/>
        <v>40700</v>
      </c>
    </row>
    <row r="5228" spans="1:9" x14ac:dyDescent="0.25">
      <c r="A5228" s="204">
        <v>43323</v>
      </c>
      <c r="B5228" s="26" t="s">
        <v>1461</v>
      </c>
      <c r="C5228" s="26" t="s">
        <v>4111</v>
      </c>
      <c r="D5228" s="8">
        <v>1700</v>
      </c>
      <c r="E5228" s="8"/>
      <c r="F5228" s="92">
        <f t="shared" si="73"/>
        <v>39000</v>
      </c>
    </row>
    <row r="5229" spans="1:9" x14ac:dyDescent="0.25">
      <c r="A5229" s="204">
        <v>43328</v>
      </c>
      <c r="B5229" s="26" t="s">
        <v>4116</v>
      </c>
      <c r="C5229" s="26" t="s">
        <v>2116</v>
      </c>
      <c r="D5229" s="8">
        <v>100</v>
      </c>
      <c r="E5229" s="8"/>
      <c r="F5229" s="92">
        <f t="shared" si="73"/>
        <v>38900</v>
      </c>
    </row>
    <row r="5230" spans="1:9" x14ac:dyDescent="0.25">
      <c r="A5230" s="204">
        <v>43323</v>
      </c>
      <c r="B5230" s="26" t="s">
        <v>85</v>
      </c>
      <c r="C5230" s="26" t="s">
        <v>4112</v>
      </c>
      <c r="D5230" s="8">
        <v>10000</v>
      </c>
      <c r="E5230" s="8"/>
      <c r="F5230" s="92">
        <f t="shared" si="73"/>
        <v>28900</v>
      </c>
    </row>
    <row r="5231" spans="1:9" x14ac:dyDescent="0.25">
      <c r="A5231" s="204">
        <v>43323</v>
      </c>
      <c r="B5231" s="26" t="s">
        <v>1515</v>
      </c>
      <c r="C5231" s="26" t="s">
        <v>4113</v>
      </c>
      <c r="D5231" s="8">
        <v>13500</v>
      </c>
      <c r="E5231" s="8"/>
      <c r="F5231" s="92">
        <f t="shared" si="73"/>
        <v>15400</v>
      </c>
    </row>
    <row r="5232" spans="1:9" x14ac:dyDescent="0.25">
      <c r="A5232" s="204">
        <v>43323</v>
      </c>
      <c r="B5232" s="26" t="s">
        <v>1515</v>
      </c>
      <c r="C5232" s="26" t="s">
        <v>4114</v>
      </c>
      <c r="D5232" s="8">
        <v>15260</v>
      </c>
      <c r="E5232" s="8"/>
      <c r="F5232" s="92">
        <f t="shared" si="73"/>
        <v>140</v>
      </c>
    </row>
    <row r="5233" spans="1:9" x14ac:dyDescent="0.25">
      <c r="A5233" s="204">
        <v>43328</v>
      </c>
      <c r="B5233" s="460" t="s">
        <v>4110</v>
      </c>
      <c r="C5233" s="460"/>
      <c r="D5233" s="71"/>
      <c r="E5233" s="58">
        <v>45000</v>
      </c>
      <c r="F5233" s="92">
        <f t="shared" si="73"/>
        <v>45140</v>
      </c>
      <c r="I5233" s="239"/>
    </row>
    <row r="5234" spans="1:9" x14ac:dyDescent="0.25">
      <c r="A5234" s="204">
        <v>43328</v>
      </c>
      <c r="B5234" s="26" t="s">
        <v>1515</v>
      </c>
      <c r="C5234" s="26" t="s">
        <v>4115</v>
      </c>
      <c r="D5234" s="8">
        <v>1260</v>
      </c>
      <c r="E5234" s="8"/>
      <c r="F5234" s="92">
        <f t="shared" si="73"/>
        <v>43880</v>
      </c>
    </row>
    <row r="5235" spans="1:9" x14ac:dyDescent="0.25">
      <c r="A5235" s="204">
        <v>43328</v>
      </c>
      <c r="B5235" s="26" t="s">
        <v>59</v>
      </c>
      <c r="C5235" s="26" t="s">
        <v>4123</v>
      </c>
      <c r="D5235" s="8">
        <v>3150</v>
      </c>
      <c r="E5235" s="8"/>
      <c r="F5235" s="92">
        <f t="shared" si="73"/>
        <v>40730</v>
      </c>
    </row>
    <row r="5236" spans="1:9" x14ac:dyDescent="0.25">
      <c r="A5236" s="204">
        <v>43328</v>
      </c>
      <c r="B5236" s="26" t="s">
        <v>2597</v>
      </c>
      <c r="C5236" s="26" t="s">
        <v>4148</v>
      </c>
      <c r="D5236" s="8">
        <v>1500</v>
      </c>
      <c r="E5236" s="8"/>
      <c r="F5236" s="92">
        <f t="shared" si="73"/>
        <v>39230</v>
      </c>
    </row>
    <row r="5237" spans="1:9" ht="45" x14ac:dyDescent="0.25">
      <c r="A5237" s="204">
        <v>43328</v>
      </c>
      <c r="B5237" s="26" t="s">
        <v>26</v>
      </c>
      <c r="C5237" s="87" t="s">
        <v>4119</v>
      </c>
      <c r="D5237" s="8">
        <f>70+110+100+70+100+70+40+400+70+390+36+24+60+40</f>
        <v>1580</v>
      </c>
      <c r="E5237" s="8"/>
      <c r="F5237" s="92">
        <f t="shared" si="73"/>
        <v>37650</v>
      </c>
    </row>
    <row r="5238" spans="1:9" x14ac:dyDescent="0.25">
      <c r="A5238" s="204">
        <v>43328</v>
      </c>
      <c r="B5238" s="26" t="s">
        <v>542</v>
      </c>
      <c r="C5238" s="26" t="s">
        <v>4117</v>
      </c>
      <c r="D5238" s="8">
        <f>150+100+128</f>
        <v>378</v>
      </c>
      <c r="E5238" s="8"/>
      <c r="F5238" s="92">
        <f t="shared" si="73"/>
        <v>37272</v>
      </c>
    </row>
    <row r="5239" spans="1:9" x14ac:dyDescent="0.25">
      <c r="A5239" s="204">
        <v>43328</v>
      </c>
      <c r="B5239" s="26" t="s">
        <v>3818</v>
      </c>
      <c r="C5239" s="26" t="s">
        <v>4118</v>
      </c>
      <c r="D5239" s="8">
        <f>240+85</f>
        <v>325</v>
      </c>
      <c r="E5239" s="8"/>
      <c r="F5239" s="92">
        <f t="shared" si="73"/>
        <v>36947</v>
      </c>
    </row>
    <row r="5240" spans="1:9" x14ac:dyDescent="0.25">
      <c r="A5240" s="204">
        <v>43328</v>
      </c>
      <c r="B5240" s="26" t="s">
        <v>3818</v>
      </c>
      <c r="C5240" s="26" t="s">
        <v>3147</v>
      </c>
      <c r="D5240" s="8">
        <v>420</v>
      </c>
      <c r="E5240" s="8"/>
      <c r="F5240" s="92">
        <f t="shared" si="73"/>
        <v>36527</v>
      </c>
    </row>
    <row r="5241" spans="1:9" x14ac:dyDescent="0.25">
      <c r="A5241" s="204">
        <v>43328</v>
      </c>
      <c r="B5241" s="26" t="s">
        <v>542</v>
      </c>
      <c r="C5241" s="26" t="s">
        <v>4105</v>
      </c>
      <c r="D5241" s="8">
        <v>100</v>
      </c>
      <c r="E5241" s="8"/>
      <c r="F5241" s="92">
        <f t="shared" si="73"/>
        <v>36427</v>
      </c>
    </row>
    <row r="5242" spans="1:9" x14ac:dyDescent="0.25">
      <c r="A5242" s="204">
        <v>43328</v>
      </c>
      <c r="B5242" s="26" t="s">
        <v>59</v>
      </c>
      <c r="C5242" s="26" t="s">
        <v>3146</v>
      </c>
      <c r="D5242" s="8">
        <v>6000</v>
      </c>
      <c r="E5242" s="8"/>
      <c r="F5242" s="92">
        <f t="shared" si="73"/>
        <v>30427</v>
      </c>
    </row>
    <row r="5243" spans="1:9" x14ac:dyDescent="0.25">
      <c r="A5243" s="204">
        <v>43328</v>
      </c>
      <c r="B5243" s="26" t="s">
        <v>14</v>
      </c>
      <c r="C5243" s="26" t="s">
        <v>641</v>
      </c>
      <c r="D5243" s="8">
        <v>1000</v>
      </c>
      <c r="E5243" s="8"/>
      <c r="F5243" s="92">
        <f t="shared" si="73"/>
        <v>29427</v>
      </c>
    </row>
    <row r="5244" spans="1:9" x14ac:dyDescent="0.25">
      <c r="A5244" s="204">
        <v>43328</v>
      </c>
      <c r="B5244" s="26" t="s">
        <v>4015</v>
      </c>
      <c r="C5244" s="26" t="s">
        <v>4124</v>
      </c>
      <c r="D5244" s="8">
        <v>2000</v>
      </c>
      <c r="E5244" s="8"/>
      <c r="F5244" s="92">
        <f t="shared" si="73"/>
        <v>27427</v>
      </c>
    </row>
    <row r="5245" spans="1:9" x14ac:dyDescent="0.25">
      <c r="A5245" s="204">
        <v>43328</v>
      </c>
      <c r="B5245" s="26" t="s">
        <v>14</v>
      </c>
      <c r="C5245" s="26" t="s">
        <v>4125</v>
      </c>
      <c r="D5245" s="8">
        <v>2000</v>
      </c>
      <c r="E5245" s="8"/>
      <c r="F5245" s="92">
        <f t="shared" si="73"/>
        <v>25427</v>
      </c>
    </row>
    <row r="5246" spans="1:9" x14ac:dyDescent="0.25">
      <c r="A5246" s="204">
        <v>43328</v>
      </c>
      <c r="B5246" s="26" t="s">
        <v>4126</v>
      </c>
      <c r="C5246" s="26" t="s">
        <v>4127</v>
      </c>
      <c r="D5246" s="8">
        <v>3000</v>
      </c>
      <c r="E5246" s="8"/>
      <c r="F5246" s="92">
        <f t="shared" si="73"/>
        <v>22427</v>
      </c>
    </row>
    <row r="5247" spans="1:9" x14ac:dyDescent="0.25">
      <c r="A5247" s="204">
        <v>43328</v>
      </c>
      <c r="B5247" s="26" t="s">
        <v>0</v>
      </c>
      <c r="C5247" s="26" t="s">
        <v>4128</v>
      </c>
      <c r="D5247" s="8">
        <v>100</v>
      </c>
      <c r="E5247" s="8"/>
      <c r="F5247" s="92">
        <f t="shared" si="73"/>
        <v>22327</v>
      </c>
    </row>
    <row r="5248" spans="1:9" x14ac:dyDescent="0.25">
      <c r="A5248" s="204">
        <v>43328</v>
      </c>
      <c r="B5248" s="26" t="s">
        <v>2597</v>
      </c>
      <c r="C5248" s="26" t="s">
        <v>4130</v>
      </c>
      <c r="D5248" s="8">
        <v>21700</v>
      </c>
      <c r="E5248" s="8"/>
      <c r="F5248" s="92">
        <f t="shared" si="73"/>
        <v>627</v>
      </c>
    </row>
    <row r="5249" spans="1:9" x14ac:dyDescent="0.25">
      <c r="A5249" s="204">
        <v>43329</v>
      </c>
      <c r="B5249" s="460" t="s">
        <v>3448</v>
      </c>
      <c r="C5249" s="460"/>
      <c r="D5249" s="71"/>
      <c r="E5249" s="58">
        <v>100000</v>
      </c>
      <c r="F5249" s="92">
        <f t="shared" si="73"/>
        <v>100627</v>
      </c>
      <c r="I5249" s="239"/>
    </row>
    <row r="5250" spans="1:9" x14ac:dyDescent="0.25">
      <c r="A5250" s="204">
        <v>43329</v>
      </c>
      <c r="B5250" s="26" t="s">
        <v>48</v>
      </c>
      <c r="C5250" s="26" t="s">
        <v>4132</v>
      </c>
      <c r="D5250" s="8">
        <v>500</v>
      </c>
      <c r="E5250" s="8"/>
      <c r="F5250" s="92">
        <f t="shared" si="73"/>
        <v>100127</v>
      </c>
    </row>
    <row r="5251" spans="1:9" x14ac:dyDescent="0.25">
      <c r="A5251" s="204">
        <v>43329</v>
      </c>
      <c r="B5251" s="26" t="s">
        <v>0</v>
      </c>
      <c r="C5251" s="26" t="s">
        <v>4133</v>
      </c>
      <c r="D5251" s="8">
        <v>3050</v>
      </c>
      <c r="E5251" s="8"/>
      <c r="F5251" s="92">
        <f t="shared" ref="F5251:F5286" si="74">F5250-D5251+E5251</f>
        <v>97077</v>
      </c>
    </row>
    <row r="5252" spans="1:9" x14ac:dyDescent="0.25">
      <c r="A5252" s="204">
        <v>43329</v>
      </c>
      <c r="B5252" s="26" t="s">
        <v>0</v>
      </c>
      <c r="C5252" s="26" t="s">
        <v>4134</v>
      </c>
      <c r="D5252" s="8">
        <v>2500</v>
      </c>
      <c r="E5252" s="8"/>
      <c r="F5252" s="92">
        <f t="shared" si="74"/>
        <v>94577</v>
      </c>
    </row>
    <row r="5253" spans="1:9" x14ac:dyDescent="0.25">
      <c r="A5253" s="204">
        <v>43329</v>
      </c>
      <c r="B5253" s="26" t="s">
        <v>58</v>
      </c>
      <c r="C5253" s="26" t="s">
        <v>4135</v>
      </c>
      <c r="D5253" s="8">
        <v>2000</v>
      </c>
      <c r="E5253" s="8"/>
      <c r="F5253" s="92">
        <f t="shared" si="74"/>
        <v>92577</v>
      </c>
    </row>
    <row r="5254" spans="1:9" x14ac:dyDescent="0.25">
      <c r="A5254" s="204">
        <v>43329</v>
      </c>
      <c r="B5254" s="26" t="s">
        <v>59</v>
      </c>
      <c r="C5254" s="26" t="s">
        <v>4139</v>
      </c>
      <c r="D5254" s="8">
        <v>450</v>
      </c>
      <c r="E5254" s="8"/>
      <c r="F5254" s="92">
        <f t="shared" si="74"/>
        <v>92127</v>
      </c>
    </row>
    <row r="5255" spans="1:9" x14ac:dyDescent="0.25">
      <c r="A5255" s="204">
        <v>43329</v>
      </c>
      <c r="B5255" s="26" t="s">
        <v>4136</v>
      </c>
      <c r="C5255" s="26" t="s">
        <v>4137</v>
      </c>
      <c r="D5255" s="8">
        <v>28000</v>
      </c>
      <c r="E5255" s="8"/>
      <c r="F5255" s="92">
        <f t="shared" si="74"/>
        <v>64127</v>
      </c>
    </row>
    <row r="5256" spans="1:9" x14ac:dyDescent="0.25">
      <c r="A5256" s="204">
        <v>43329</v>
      </c>
      <c r="B5256" s="460" t="s">
        <v>4298</v>
      </c>
      <c r="C5256" s="460"/>
      <c r="D5256" s="71"/>
      <c r="E5256" s="58">
        <v>2000</v>
      </c>
      <c r="F5256" s="92">
        <f t="shared" si="74"/>
        <v>66127</v>
      </c>
      <c r="I5256" s="239"/>
    </row>
    <row r="5257" spans="1:9" x14ac:dyDescent="0.25">
      <c r="A5257" s="204">
        <v>43329</v>
      </c>
      <c r="B5257" s="26" t="s">
        <v>4129</v>
      </c>
      <c r="C5257" s="26" t="s">
        <v>4138</v>
      </c>
      <c r="D5257" s="8">
        <v>5000</v>
      </c>
      <c r="E5257" s="8"/>
      <c r="F5257" s="92">
        <f t="shared" si="74"/>
        <v>61127</v>
      </c>
    </row>
    <row r="5258" spans="1:9" x14ac:dyDescent="0.25">
      <c r="A5258" s="204">
        <v>43329</v>
      </c>
      <c r="B5258" s="26" t="s">
        <v>85</v>
      </c>
      <c r="C5258" s="26" t="s">
        <v>4140</v>
      </c>
      <c r="D5258" s="8">
        <v>1000</v>
      </c>
      <c r="E5258" s="8"/>
      <c r="F5258" s="92">
        <f t="shared" si="74"/>
        <v>60127</v>
      </c>
    </row>
    <row r="5259" spans="1:9" x14ac:dyDescent="0.25">
      <c r="A5259" s="204">
        <v>43329</v>
      </c>
      <c r="B5259" s="26" t="s">
        <v>85</v>
      </c>
      <c r="C5259" s="26" t="s">
        <v>4141</v>
      </c>
      <c r="D5259" s="8">
        <v>500</v>
      </c>
      <c r="E5259" s="8"/>
      <c r="F5259" s="92">
        <f t="shared" si="74"/>
        <v>59627</v>
      </c>
    </row>
    <row r="5260" spans="1:9" x14ac:dyDescent="0.25">
      <c r="A5260" s="204">
        <v>43329</v>
      </c>
      <c r="B5260" s="26" t="s">
        <v>85</v>
      </c>
      <c r="C5260" s="26" t="s">
        <v>4142</v>
      </c>
      <c r="D5260" s="8">
        <v>15000</v>
      </c>
      <c r="E5260" s="8"/>
      <c r="F5260" s="92">
        <f t="shared" si="74"/>
        <v>44627</v>
      </c>
    </row>
    <row r="5261" spans="1:9" x14ac:dyDescent="0.25">
      <c r="A5261" s="204">
        <v>43329</v>
      </c>
      <c r="B5261" s="26" t="s">
        <v>85</v>
      </c>
      <c r="C5261" s="26" t="s">
        <v>4143</v>
      </c>
      <c r="D5261" s="8">
        <v>5000</v>
      </c>
      <c r="E5261" s="8"/>
      <c r="F5261" s="92">
        <f t="shared" si="74"/>
        <v>39627</v>
      </c>
    </row>
    <row r="5262" spans="1:9" x14ac:dyDescent="0.25">
      <c r="A5262" s="204">
        <v>43330</v>
      </c>
      <c r="B5262" s="26" t="s">
        <v>85</v>
      </c>
      <c r="C5262" s="26" t="s">
        <v>4144</v>
      </c>
      <c r="D5262" s="8">
        <v>20000</v>
      </c>
      <c r="E5262" s="8"/>
      <c r="F5262" s="92">
        <f t="shared" si="74"/>
        <v>19627</v>
      </c>
    </row>
    <row r="5263" spans="1:9" x14ac:dyDescent="0.25">
      <c r="A5263" s="204">
        <v>43330</v>
      </c>
      <c r="B5263" s="26" t="s">
        <v>85</v>
      </c>
      <c r="C5263" s="26" t="s">
        <v>4145</v>
      </c>
      <c r="D5263" s="8">
        <v>18000</v>
      </c>
      <c r="E5263" s="8"/>
      <c r="F5263" s="92">
        <f t="shared" si="74"/>
        <v>1627</v>
      </c>
    </row>
    <row r="5264" spans="1:9" x14ac:dyDescent="0.25">
      <c r="A5264" s="204">
        <v>43330</v>
      </c>
      <c r="B5264" s="26" t="s">
        <v>58</v>
      </c>
      <c r="C5264" s="26" t="s">
        <v>4146</v>
      </c>
      <c r="D5264" s="8">
        <v>1000</v>
      </c>
      <c r="E5264" s="8"/>
      <c r="F5264" s="92">
        <f t="shared" si="74"/>
        <v>627</v>
      </c>
    </row>
    <row r="5265" spans="1:9" x14ac:dyDescent="0.25">
      <c r="A5265" s="204">
        <v>43330</v>
      </c>
      <c r="B5265" s="26" t="s">
        <v>59</v>
      </c>
      <c r="C5265" s="26" t="s">
        <v>4147</v>
      </c>
      <c r="D5265" s="8">
        <v>100</v>
      </c>
      <c r="E5265" s="8"/>
      <c r="F5265" s="92">
        <f t="shared" si="74"/>
        <v>527</v>
      </c>
    </row>
    <row r="5266" spans="1:9" x14ac:dyDescent="0.25">
      <c r="A5266" s="204">
        <v>43332</v>
      </c>
      <c r="B5266" s="460" t="s">
        <v>4154</v>
      </c>
      <c r="C5266" s="460"/>
      <c r="D5266" s="71"/>
      <c r="E5266" s="58">
        <v>200000</v>
      </c>
      <c r="F5266" s="92">
        <f t="shared" si="74"/>
        <v>200527</v>
      </c>
      <c r="I5266" s="239"/>
    </row>
    <row r="5267" spans="1:9" x14ac:dyDescent="0.25">
      <c r="A5267" s="204">
        <v>43332</v>
      </c>
      <c r="B5267" s="26" t="s">
        <v>85</v>
      </c>
      <c r="C5267" s="26" t="s">
        <v>4150</v>
      </c>
      <c r="D5267" s="8">
        <v>5000</v>
      </c>
      <c r="E5267" s="8"/>
      <c r="F5267" s="92">
        <f t="shared" si="74"/>
        <v>195527</v>
      </c>
    </row>
    <row r="5268" spans="1:9" x14ac:dyDescent="0.25">
      <c r="A5268" s="204">
        <v>43332</v>
      </c>
      <c r="B5268" s="26" t="s">
        <v>85</v>
      </c>
      <c r="C5268" s="26" t="s">
        <v>4151</v>
      </c>
      <c r="D5268" s="8">
        <v>5000</v>
      </c>
      <c r="E5268" s="8"/>
      <c r="F5268" s="92">
        <f t="shared" si="74"/>
        <v>190527</v>
      </c>
    </row>
    <row r="5269" spans="1:9" x14ac:dyDescent="0.25">
      <c r="A5269" s="204">
        <v>43332</v>
      </c>
      <c r="B5269" s="26" t="s">
        <v>85</v>
      </c>
      <c r="C5269" s="26" t="s">
        <v>4149</v>
      </c>
      <c r="D5269" s="8">
        <v>5000</v>
      </c>
      <c r="E5269" s="8"/>
      <c r="F5269" s="92">
        <f t="shared" si="74"/>
        <v>185527</v>
      </c>
    </row>
    <row r="5270" spans="1:9" x14ac:dyDescent="0.25">
      <c r="A5270" s="204">
        <v>43332</v>
      </c>
      <c r="B5270" s="26" t="s">
        <v>14</v>
      </c>
      <c r="C5270" s="26" t="s">
        <v>4152</v>
      </c>
      <c r="D5270" s="8">
        <v>5000</v>
      </c>
      <c r="E5270" s="8"/>
      <c r="F5270" s="92">
        <f t="shared" si="74"/>
        <v>180527</v>
      </c>
    </row>
    <row r="5271" spans="1:9" x14ac:dyDescent="0.25">
      <c r="A5271" s="204">
        <v>43332</v>
      </c>
      <c r="B5271" s="26" t="s">
        <v>94</v>
      </c>
      <c r="C5271" s="26" t="s">
        <v>4153</v>
      </c>
      <c r="D5271" s="8">
        <v>5000</v>
      </c>
      <c r="E5271" s="8"/>
      <c r="F5271" s="92">
        <f t="shared" si="74"/>
        <v>175527</v>
      </c>
    </row>
    <row r="5272" spans="1:9" x14ac:dyDescent="0.25">
      <c r="A5272" s="204">
        <v>43332</v>
      </c>
      <c r="B5272" s="26" t="s">
        <v>4087</v>
      </c>
      <c r="C5272" s="26" t="s">
        <v>4155</v>
      </c>
      <c r="D5272" s="8">
        <v>25000</v>
      </c>
      <c r="E5272" s="8"/>
      <c r="F5272" s="92">
        <f t="shared" si="74"/>
        <v>150527</v>
      </c>
    </row>
    <row r="5273" spans="1:9" x14ac:dyDescent="0.25">
      <c r="A5273" s="204">
        <v>43332</v>
      </c>
      <c r="B5273" s="26" t="s">
        <v>85</v>
      </c>
      <c r="C5273" s="26" t="s">
        <v>4156</v>
      </c>
      <c r="D5273" s="8">
        <v>12000</v>
      </c>
      <c r="E5273" s="8"/>
      <c r="F5273" s="92">
        <f t="shared" si="74"/>
        <v>138527</v>
      </c>
    </row>
    <row r="5274" spans="1:9" x14ac:dyDescent="0.25">
      <c r="A5274" s="204">
        <v>43332</v>
      </c>
      <c r="B5274" s="26" t="s">
        <v>85</v>
      </c>
      <c r="C5274" s="26" t="s">
        <v>4157</v>
      </c>
      <c r="D5274" s="8">
        <v>10000</v>
      </c>
      <c r="E5274" s="8"/>
      <c r="F5274" s="92">
        <f t="shared" si="74"/>
        <v>128527</v>
      </c>
    </row>
    <row r="5275" spans="1:9" x14ac:dyDescent="0.25">
      <c r="A5275" s="204">
        <v>43332</v>
      </c>
      <c r="B5275" s="26" t="s">
        <v>85</v>
      </c>
      <c r="C5275" s="26" t="s">
        <v>4158</v>
      </c>
      <c r="D5275" s="8">
        <v>10000</v>
      </c>
      <c r="E5275" s="8"/>
      <c r="F5275" s="92">
        <f t="shared" si="74"/>
        <v>118527</v>
      </c>
    </row>
    <row r="5276" spans="1:9" x14ac:dyDescent="0.25">
      <c r="A5276" s="204">
        <v>43332</v>
      </c>
      <c r="B5276" s="26" t="s">
        <v>2099</v>
      </c>
      <c r="C5276" s="26" t="s">
        <v>41</v>
      </c>
      <c r="D5276" s="8">
        <v>50000</v>
      </c>
      <c r="E5276" s="8"/>
      <c r="F5276" s="92">
        <f t="shared" si="74"/>
        <v>68527</v>
      </c>
    </row>
    <row r="5277" spans="1:9" x14ac:dyDescent="0.25">
      <c r="A5277" s="204">
        <v>43332</v>
      </c>
      <c r="B5277" s="26" t="s">
        <v>3829</v>
      </c>
      <c r="C5277" s="26" t="s">
        <v>4159</v>
      </c>
      <c r="D5277" s="8">
        <v>5000</v>
      </c>
      <c r="E5277" s="8"/>
      <c r="F5277" s="92">
        <f t="shared" si="74"/>
        <v>63527</v>
      </c>
    </row>
    <row r="5278" spans="1:9" x14ac:dyDescent="0.25">
      <c r="A5278" s="204">
        <v>43332</v>
      </c>
      <c r="B5278" s="26" t="s">
        <v>4160</v>
      </c>
      <c r="C5278" s="26" t="s">
        <v>4161</v>
      </c>
      <c r="D5278" s="8">
        <v>25000</v>
      </c>
      <c r="E5278" s="8"/>
      <c r="F5278" s="92">
        <f t="shared" si="74"/>
        <v>38527</v>
      </c>
    </row>
    <row r="5279" spans="1:9" x14ac:dyDescent="0.25">
      <c r="A5279" s="204">
        <v>43337</v>
      </c>
      <c r="B5279" s="26" t="s">
        <v>3738</v>
      </c>
      <c r="C5279" s="26" t="s">
        <v>4162</v>
      </c>
      <c r="D5279" s="8">
        <v>1300</v>
      </c>
      <c r="E5279" s="8"/>
      <c r="F5279" s="92">
        <f t="shared" si="74"/>
        <v>37227</v>
      </c>
    </row>
    <row r="5280" spans="1:9" x14ac:dyDescent="0.25">
      <c r="A5280" s="204">
        <v>43337</v>
      </c>
      <c r="B5280" s="26" t="s">
        <v>542</v>
      </c>
      <c r="C5280" s="26" t="s">
        <v>641</v>
      </c>
      <c r="D5280" s="8">
        <v>5000</v>
      </c>
      <c r="E5280" s="8"/>
      <c r="F5280" s="92">
        <f t="shared" si="74"/>
        <v>32227</v>
      </c>
    </row>
    <row r="5281" spans="1:9" x14ac:dyDescent="0.25">
      <c r="A5281" s="204">
        <v>43337</v>
      </c>
      <c r="B5281" s="26" t="s">
        <v>2597</v>
      </c>
      <c r="C5281" s="26" t="s">
        <v>4163</v>
      </c>
      <c r="D5281" s="8">
        <v>9680</v>
      </c>
      <c r="E5281" s="8"/>
      <c r="F5281" s="92">
        <f t="shared" si="74"/>
        <v>22547</v>
      </c>
    </row>
    <row r="5282" spans="1:9" x14ac:dyDescent="0.25">
      <c r="A5282" s="204">
        <v>43337</v>
      </c>
      <c r="B5282" s="26" t="s">
        <v>2597</v>
      </c>
      <c r="C5282" s="26" t="s">
        <v>4131</v>
      </c>
      <c r="D5282" s="8">
        <v>960</v>
      </c>
      <c r="E5282" s="8"/>
      <c r="F5282" s="92">
        <f t="shared" si="74"/>
        <v>21587</v>
      </c>
    </row>
    <row r="5283" spans="1:9" x14ac:dyDescent="0.25">
      <c r="A5283" s="204">
        <v>43337</v>
      </c>
      <c r="B5283" s="26" t="s">
        <v>2597</v>
      </c>
      <c r="C5283" s="26" t="s">
        <v>4164</v>
      </c>
      <c r="D5283" s="8">
        <v>500</v>
      </c>
      <c r="E5283" s="8"/>
      <c r="F5283" s="92">
        <f t="shared" si="74"/>
        <v>21087</v>
      </c>
    </row>
    <row r="5284" spans="1:9" x14ac:dyDescent="0.25">
      <c r="A5284" s="204">
        <v>43337</v>
      </c>
      <c r="B5284" s="26" t="s">
        <v>3563</v>
      </c>
      <c r="C5284" s="26" t="s">
        <v>4165</v>
      </c>
      <c r="D5284" s="8">
        <v>500</v>
      </c>
      <c r="E5284" s="8"/>
      <c r="F5284" s="92">
        <f t="shared" si="74"/>
        <v>20587</v>
      </c>
    </row>
    <row r="5285" spans="1:9" x14ac:dyDescent="0.25">
      <c r="A5285" s="204">
        <v>43337</v>
      </c>
      <c r="B5285" s="26" t="s">
        <v>111</v>
      </c>
      <c r="C5285" s="26" t="s">
        <v>4166</v>
      </c>
      <c r="D5285" s="8">
        <v>14000</v>
      </c>
      <c r="E5285" s="8"/>
      <c r="F5285" s="92">
        <f t="shared" si="74"/>
        <v>6587</v>
      </c>
    </row>
    <row r="5286" spans="1:9" x14ac:dyDescent="0.25">
      <c r="A5286" s="204">
        <v>43337</v>
      </c>
      <c r="B5286" s="26" t="s">
        <v>57</v>
      </c>
      <c r="C5286" s="26" t="s">
        <v>4240</v>
      </c>
      <c r="D5286" s="8">
        <v>1500</v>
      </c>
      <c r="E5286" s="8"/>
      <c r="F5286" s="92">
        <f t="shared" si="74"/>
        <v>5087</v>
      </c>
    </row>
    <row r="5287" spans="1:9" x14ac:dyDescent="0.25">
      <c r="A5287" s="204">
        <v>43339</v>
      </c>
      <c r="B5287" s="460" t="s">
        <v>4167</v>
      </c>
      <c r="C5287" s="460"/>
      <c r="D5287" s="71"/>
      <c r="E5287" s="58">
        <v>100000</v>
      </c>
      <c r="F5287" s="92">
        <f t="shared" ref="F5287:F5315" si="75">F5286-D5287+E5287</f>
        <v>105087</v>
      </c>
      <c r="I5287" s="239"/>
    </row>
    <row r="5288" spans="1:9" x14ac:dyDescent="0.25">
      <c r="A5288" s="204">
        <v>43339</v>
      </c>
      <c r="B5288" s="26" t="s">
        <v>3141</v>
      </c>
      <c r="C5288" s="26" t="s">
        <v>4168</v>
      </c>
      <c r="D5288" s="8">
        <v>57852</v>
      </c>
      <c r="E5288" s="8"/>
      <c r="F5288" s="92">
        <f t="shared" si="75"/>
        <v>47235</v>
      </c>
    </row>
    <row r="5289" spans="1:9" x14ac:dyDescent="0.25">
      <c r="A5289" s="204">
        <v>43339</v>
      </c>
      <c r="B5289" s="26" t="s">
        <v>59</v>
      </c>
      <c r="C5289" s="26" t="s">
        <v>4169</v>
      </c>
      <c r="D5289" s="8">
        <v>250</v>
      </c>
      <c r="E5289" s="8"/>
      <c r="F5289" s="92">
        <f t="shared" si="75"/>
        <v>46985</v>
      </c>
    </row>
    <row r="5290" spans="1:9" x14ac:dyDescent="0.25">
      <c r="A5290" s="204">
        <v>43339</v>
      </c>
      <c r="B5290" s="26" t="s">
        <v>106</v>
      </c>
      <c r="C5290" s="26" t="s">
        <v>4170</v>
      </c>
      <c r="D5290" s="8">
        <v>200</v>
      </c>
      <c r="E5290" s="8"/>
      <c r="F5290" s="92">
        <f t="shared" si="75"/>
        <v>46785</v>
      </c>
    </row>
    <row r="5291" spans="1:9" x14ac:dyDescent="0.25">
      <c r="A5291" s="204">
        <v>43339</v>
      </c>
      <c r="B5291" s="26" t="s">
        <v>3974</v>
      </c>
      <c r="C5291" s="26" t="s">
        <v>4171</v>
      </c>
      <c r="D5291" s="8">
        <v>5000</v>
      </c>
      <c r="E5291" s="8"/>
      <c r="F5291" s="92">
        <f t="shared" si="75"/>
        <v>41785</v>
      </c>
    </row>
    <row r="5292" spans="1:9" x14ac:dyDescent="0.25">
      <c r="A5292" s="204">
        <v>43339</v>
      </c>
      <c r="B5292" s="26" t="s">
        <v>111</v>
      </c>
      <c r="C5292" s="26" t="s">
        <v>641</v>
      </c>
      <c r="D5292" s="8">
        <v>3000</v>
      </c>
      <c r="E5292" s="8"/>
      <c r="F5292" s="92">
        <f t="shared" si="75"/>
        <v>38785</v>
      </c>
    </row>
    <row r="5293" spans="1:9" x14ac:dyDescent="0.25">
      <c r="A5293" s="204">
        <v>43339</v>
      </c>
      <c r="B5293" s="26" t="s">
        <v>0</v>
      </c>
      <c r="C5293" s="26" t="s">
        <v>295</v>
      </c>
      <c r="D5293" s="8">
        <v>2000</v>
      </c>
      <c r="E5293" s="8"/>
      <c r="F5293" s="92">
        <f t="shared" si="75"/>
        <v>36785</v>
      </c>
    </row>
    <row r="5294" spans="1:9" x14ac:dyDescent="0.25">
      <c r="A5294" s="204">
        <v>43339</v>
      </c>
      <c r="B5294" s="26" t="s">
        <v>59</v>
      </c>
      <c r="C5294" s="26" t="s">
        <v>4179</v>
      </c>
      <c r="D5294" s="8">
        <v>500</v>
      </c>
      <c r="E5294" s="8"/>
      <c r="F5294" s="92">
        <f t="shared" si="75"/>
        <v>36285</v>
      </c>
    </row>
    <row r="5295" spans="1:9" x14ac:dyDescent="0.25">
      <c r="A5295" s="204">
        <v>43340</v>
      </c>
      <c r="B5295" s="26" t="s">
        <v>59</v>
      </c>
      <c r="C5295" s="26" t="s">
        <v>4174</v>
      </c>
      <c r="D5295" s="8">
        <v>100</v>
      </c>
      <c r="E5295" s="8"/>
      <c r="F5295" s="92">
        <f t="shared" si="75"/>
        <v>36185</v>
      </c>
    </row>
    <row r="5296" spans="1:9" x14ac:dyDescent="0.25">
      <c r="A5296" s="204">
        <v>43339</v>
      </c>
      <c r="B5296" s="26" t="s">
        <v>19</v>
      </c>
      <c r="C5296" s="26" t="s">
        <v>4641</v>
      </c>
      <c r="D5296" s="8">
        <v>5000</v>
      </c>
      <c r="E5296" s="8"/>
      <c r="F5296" s="92">
        <f t="shared" si="75"/>
        <v>31185</v>
      </c>
    </row>
    <row r="5297" spans="1:7" x14ac:dyDescent="0.25">
      <c r="A5297" s="204">
        <v>43340</v>
      </c>
      <c r="B5297" s="26" t="s">
        <v>248</v>
      </c>
      <c r="C5297" s="26" t="s">
        <v>4172</v>
      </c>
      <c r="D5297" s="8">
        <v>266</v>
      </c>
      <c r="E5297" s="8"/>
      <c r="F5297" s="92">
        <f t="shared" si="75"/>
        <v>30919</v>
      </c>
    </row>
    <row r="5298" spans="1:7" x14ac:dyDescent="0.25">
      <c r="A5298" s="204">
        <v>43340</v>
      </c>
      <c r="B5298" s="26" t="s">
        <v>248</v>
      </c>
      <c r="C5298" s="26" t="s">
        <v>3147</v>
      </c>
      <c r="D5298" s="8">
        <v>420</v>
      </c>
      <c r="E5298" s="8"/>
      <c r="F5298" s="92">
        <f t="shared" si="75"/>
        <v>30499</v>
      </c>
    </row>
    <row r="5299" spans="1:7" x14ac:dyDescent="0.25">
      <c r="A5299" s="204">
        <v>43340</v>
      </c>
      <c r="B5299" s="26" t="s">
        <v>248</v>
      </c>
      <c r="C5299" s="26" t="s">
        <v>2016</v>
      </c>
      <c r="D5299" s="8">
        <v>50</v>
      </c>
      <c r="E5299" s="8"/>
      <c r="F5299" s="92">
        <f t="shared" si="75"/>
        <v>30449</v>
      </c>
    </row>
    <row r="5300" spans="1:7" x14ac:dyDescent="0.25">
      <c r="A5300" s="204">
        <v>43340</v>
      </c>
      <c r="B5300" s="26" t="s">
        <v>59</v>
      </c>
      <c r="C5300" s="26" t="s">
        <v>4175</v>
      </c>
      <c r="D5300" s="8">
        <v>500</v>
      </c>
      <c r="E5300" s="8"/>
      <c r="F5300" s="92">
        <f t="shared" si="75"/>
        <v>29949</v>
      </c>
    </row>
    <row r="5301" spans="1:7" x14ac:dyDescent="0.25">
      <c r="A5301" s="204">
        <v>43340</v>
      </c>
      <c r="B5301" s="26" t="s">
        <v>59</v>
      </c>
      <c r="C5301" s="26" t="s">
        <v>4173</v>
      </c>
      <c r="D5301" s="8">
        <v>100</v>
      </c>
      <c r="E5301" s="8"/>
      <c r="F5301" s="92">
        <f t="shared" si="75"/>
        <v>29849</v>
      </c>
    </row>
    <row r="5302" spans="1:7" ht="30" x14ac:dyDescent="0.25">
      <c r="A5302" s="204">
        <v>43340</v>
      </c>
      <c r="B5302" s="26" t="s">
        <v>58</v>
      </c>
      <c r="C5302" s="87" t="s">
        <v>4178</v>
      </c>
      <c r="D5302" s="8">
        <v>2100</v>
      </c>
      <c r="E5302" s="8"/>
      <c r="F5302" s="92">
        <f t="shared" si="75"/>
        <v>27749</v>
      </c>
    </row>
    <row r="5303" spans="1:7" x14ac:dyDescent="0.25">
      <c r="A5303" s="204">
        <v>43341</v>
      </c>
      <c r="B5303" s="26" t="s">
        <v>14</v>
      </c>
      <c r="C5303" s="26" t="s">
        <v>3561</v>
      </c>
      <c r="D5303" s="8">
        <v>5000</v>
      </c>
      <c r="E5303" s="8"/>
      <c r="F5303" s="92">
        <f t="shared" si="75"/>
        <v>22749</v>
      </c>
    </row>
    <row r="5304" spans="1:7" ht="45" x14ac:dyDescent="0.25">
      <c r="A5304" s="204">
        <v>43341</v>
      </c>
      <c r="B5304" s="26" t="s">
        <v>26</v>
      </c>
      <c r="C5304" s="87" t="s">
        <v>4176</v>
      </c>
      <c r="D5304" s="8">
        <f>140+60+70+24+180+110+190+15+100+160+45+220+380+380+60+100+100+40</f>
        <v>2374</v>
      </c>
      <c r="E5304" s="8"/>
      <c r="F5304" s="92">
        <f t="shared" si="75"/>
        <v>20375</v>
      </c>
    </row>
    <row r="5305" spans="1:7" x14ac:dyDescent="0.25">
      <c r="A5305" s="204">
        <v>43341</v>
      </c>
      <c r="B5305" s="26" t="s">
        <v>2677</v>
      </c>
      <c r="C5305" s="26" t="s">
        <v>4177</v>
      </c>
      <c r="D5305" s="8">
        <f>470+980</f>
        <v>1450</v>
      </c>
      <c r="E5305" s="8"/>
      <c r="F5305" s="92">
        <f t="shared" si="75"/>
        <v>18925</v>
      </c>
    </row>
    <row r="5306" spans="1:7" x14ac:dyDescent="0.25">
      <c r="A5306" s="204">
        <v>43341</v>
      </c>
      <c r="B5306" s="26" t="s">
        <v>14</v>
      </c>
      <c r="C5306" s="26" t="s">
        <v>3299</v>
      </c>
      <c r="D5306" s="161">
        <v>6000</v>
      </c>
      <c r="E5306" s="8"/>
      <c r="F5306" s="92">
        <f t="shared" si="75"/>
        <v>12925</v>
      </c>
    </row>
    <row r="5307" spans="1:7" x14ac:dyDescent="0.25">
      <c r="A5307" s="204">
        <v>43341</v>
      </c>
      <c r="B5307" s="26" t="s">
        <v>2597</v>
      </c>
      <c r="C5307" s="26" t="s">
        <v>4181</v>
      </c>
      <c r="D5307" s="8">
        <v>5000</v>
      </c>
      <c r="E5307" s="8"/>
      <c r="F5307" s="92">
        <f t="shared" si="75"/>
        <v>7925</v>
      </c>
    </row>
    <row r="5308" spans="1:7" ht="30" x14ac:dyDescent="0.25">
      <c r="A5308" s="204">
        <v>43341</v>
      </c>
      <c r="B5308" s="26" t="s">
        <v>59</v>
      </c>
      <c r="C5308" s="87" t="s">
        <v>4180</v>
      </c>
      <c r="D5308" s="8">
        <v>450</v>
      </c>
      <c r="E5308" s="8"/>
      <c r="F5308" s="92">
        <f t="shared" si="75"/>
        <v>7475</v>
      </c>
    </row>
    <row r="5309" spans="1:7" x14ac:dyDescent="0.25">
      <c r="A5309" s="204">
        <v>43341</v>
      </c>
      <c r="B5309" s="26" t="s">
        <v>26</v>
      </c>
      <c r="C5309" s="26" t="s">
        <v>4182</v>
      </c>
      <c r="D5309" s="8">
        <v>1600</v>
      </c>
      <c r="E5309" s="8"/>
      <c r="F5309" s="92">
        <f t="shared" si="75"/>
        <v>5875</v>
      </c>
      <c r="G5309" s="25"/>
    </row>
    <row r="5310" spans="1:7" x14ac:dyDescent="0.25">
      <c r="A5310" s="204">
        <v>43341</v>
      </c>
      <c r="B5310" s="26" t="s">
        <v>1544</v>
      </c>
      <c r="C5310" s="26" t="s">
        <v>2016</v>
      </c>
      <c r="D5310" s="8">
        <v>100</v>
      </c>
      <c r="E5310" s="8"/>
      <c r="F5310" s="92">
        <f t="shared" si="75"/>
        <v>5775</v>
      </c>
    </row>
    <row r="5311" spans="1:7" x14ac:dyDescent="0.25">
      <c r="A5311" s="204">
        <v>43341</v>
      </c>
      <c r="B5311" s="26" t="s">
        <v>1619</v>
      </c>
      <c r="C5311" s="26" t="s">
        <v>4183</v>
      </c>
      <c r="D5311" s="8">
        <v>520</v>
      </c>
      <c r="E5311" s="8"/>
      <c r="F5311" s="92">
        <f t="shared" si="75"/>
        <v>5255</v>
      </c>
    </row>
    <row r="5312" spans="1:7" x14ac:dyDescent="0.25">
      <c r="A5312" s="204">
        <v>43341</v>
      </c>
      <c r="B5312" s="26" t="s">
        <v>2597</v>
      </c>
      <c r="C5312" s="26" t="s">
        <v>4184</v>
      </c>
      <c r="D5312" s="8">
        <v>600</v>
      </c>
      <c r="E5312" s="8"/>
      <c r="F5312" s="92">
        <f t="shared" si="75"/>
        <v>4655</v>
      </c>
    </row>
    <row r="5313" spans="1:9" x14ac:dyDescent="0.25">
      <c r="A5313" s="204">
        <v>43341</v>
      </c>
      <c r="B5313" s="26" t="s">
        <v>2597</v>
      </c>
      <c r="C5313" s="26" t="s">
        <v>4185</v>
      </c>
      <c r="D5313" s="8">
        <v>600</v>
      </c>
      <c r="E5313" s="8"/>
      <c r="F5313" s="92">
        <f t="shared" si="75"/>
        <v>4055</v>
      </c>
    </row>
    <row r="5314" spans="1:9" x14ac:dyDescent="0.25">
      <c r="A5314" s="204">
        <v>43341</v>
      </c>
      <c r="B5314" s="26" t="s">
        <v>2597</v>
      </c>
      <c r="C5314" s="26" t="s">
        <v>4186</v>
      </c>
      <c r="D5314" s="8">
        <v>400</v>
      </c>
      <c r="E5314" s="8"/>
      <c r="F5314" s="92">
        <f t="shared" si="75"/>
        <v>3655</v>
      </c>
    </row>
    <row r="5315" spans="1:9" x14ac:dyDescent="0.25">
      <c r="A5315" s="204">
        <v>43341</v>
      </c>
      <c r="B5315" s="26" t="s">
        <v>2597</v>
      </c>
      <c r="C5315" s="26" t="s">
        <v>4187</v>
      </c>
      <c r="D5315" s="8">
        <v>700</v>
      </c>
      <c r="E5315" s="8"/>
      <c r="F5315" s="92">
        <f t="shared" si="75"/>
        <v>2955</v>
      </c>
    </row>
    <row r="5316" spans="1:9" x14ac:dyDescent="0.25">
      <c r="A5316" s="204">
        <v>43341</v>
      </c>
      <c r="B5316" s="460" t="s">
        <v>3448</v>
      </c>
      <c r="C5316" s="460"/>
      <c r="D5316" s="71"/>
      <c r="E5316" s="58">
        <v>50000</v>
      </c>
      <c r="F5316" s="92">
        <f t="shared" ref="F5316:F5343" si="76">F5315-D5316+E5316</f>
        <v>52955</v>
      </c>
      <c r="I5316" s="239"/>
    </row>
    <row r="5317" spans="1:9" x14ac:dyDescent="0.25">
      <c r="A5317" s="204">
        <v>43341</v>
      </c>
      <c r="B5317" s="26" t="s">
        <v>59</v>
      </c>
      <c r="C5317" s="26" t="s">
        <v>4188</v>
      </c>
      <c r="D5317" s="8">
        <v>19800</v>
      </c>
      <c r="E5317" s="8"/>
      <c r="F5317" s="92">
        <f t="shared" si="76"/>
        <v>33155</v>
      </c>
    </row>
    <row r="5318" spans="1:9" x14ac:dyDescent="0.25">
      <c r="A5318" s="204">
        <v>43341</v>
      </c>
      <c r="B5318" s="26" t="s">
        <v>85</v>
      </c>
      <c r="C5318" s="26" t="s">
        <v>4190</v>
      </c>
      <c r="D5318" s="8">
        <v>5000</v>
      </c>
      <c r="E5318" s="8"/>
      <c r="F5318" s="92">
        <f t="shared" si="76"/>
        <v>28155</v>
      </c>
    </row>
    <row r="5319" spans="1:9" x14ac:dyDescent="0.25">
      <c r="A5319" s="204">
        <v>43341</v>
      </c>
      <c r="B5319" s="26" t="s">
        <v>2089</v>
      </c>
      <c r="C5319" s="26" t="s">
        <v>4189</v>
      </c>
      <c r="D5319" s="8">
        <v>250</v>
      </c>
      <c r="E5319" s="8"/>
      <c r="F5319" s="92">
        <f t="shared" si="76"/>
        <v>27905</v>
      </c>
    </row>
    <row r="5320" spans="1:9" x14ac:dyDescent="0.25">
      <c r="A5320" s="204">
        <v>43342</v>
      </c>
      <c r="B5320" s="26" t="s">
        <v>17</v>
      </c>
      <c r="C5320" s="26" t="s">
        <v>4191</v>
      </c>
      <c r="D5320" s="8">
        <v>4000</v>
      </c>
      <c r="E5320" s="8"/>
      <c r="F5320" s="92">
        <f t="shared" si="76"/>
        <v>23905</v>
      </c>
    </row>
    <row r="5321" spans="1:9" x14ac:dyDescent="0.25">
      <c r="A5321" s="204">
        <v>43342</v>
      </c>
      <c r="B5321" s="26" t="s">
        <v>19</v>
      </c>
      <c r="C5321" s="26" t="s">
        <v>4205</v>
      </c>
      <c r="D5321" s="8">
        <v>5000</v>
      </c>
      <c r="E5321" s="8"/>
      <c r="F5321" s="92">
        <f t="shared" si="76"/>
        <v>18905</v>
      </c>
    </row>
    <row r="5322" spans="1:9" x14ac:dyDescent="0.25">
      <c r="A5322" s="204">
        <v>43342</v>
      </c>
      <c r="B5322" s="26" t="s">
        <v>59</v>
      </c>
      <c r="C5322" s="26" t="s">
        <v>4192</v>
      </c>
      <c r="D5322" s="8">
        <v>17000</v>
      </c>
      <c r="E5322" s="8"/>
      <c r="F5322" s="92">
        <f t="shared" si="76"/>
        <v>1905</v>
      </c>
    </row>
    <row r="5323" spans="1:9" x14ac:dyDescent="0.25">
      <c r="A5323" s="204">
        <v>43343</v>
      </c>
      <c r="B5323" s="460" t="s">
        <v>3448</v>
      </c>
      <c r="C5323" s="460"/>
      <c r="D5323" s="71"/>
      <c r="E5323" s="58">
        <v>50000</v>
      </c>
      <c r="F5323" s="92">
        <f t="shared" si="76"/>
        <v>51905</v>
      </c>
      <c r="I5323" s="239"/>
    </row>
    <row r="5324" spans="1:9" x14ac:dyDescent="0.25">
      <c r="A5324" s="204">
        <v>43343</v>
      </c>
      <c r="B5324" s="26" t="s">
        <v>59</v>
      </c>
      <c r="C5324" s="26" t="s">
        <v>3146</v>
      </c>
      <c r="D5324" s="8">
        <v>35000</v>
      </c>
      <c r="E5324" s="8"/>
      <c r="F5324" s="92">
        <f t="shared" si="76"/>
        <v>16905</v>
      </c>
    </row>
    <row r="5325" spans="1:9" x14ac:dyDescent="0.25">
      <c r="A5325" s="204">
        <v>43343</v>
      </c>
      <c r="B5325" s="26" t="s">
        <v>3829</v>
      </c>
      <c r="C5325" s="26" t="s">
        <v>4193</v>
      </c>
      <c r="D5325" s="8">
        <v>2500</v>
      </c>
      <c r="E5325" s="8"/>
      <c r="F5325" s="92">
        <f t="shared" si="76"/>
        <v>14405</v>
      </c>
    </row>
    <row r="5326" spans="1:9" x14ac:dyDescent="0.25">
      <c r="A5326" s="204">
        <v>43343</v>
      </c>
      <c r="B5326" s="26" t="s">
        <v>58</v>
      </c>
      <c r="C5326" s="26" t="s">
        <v>4194</v>
      </c>
      <c r="D5326" s="8">
        <v>1000</v>
      </c>
      <c r="E5326" s="8"/>
      <c r="F5326" s="92">
        <f t="shared" si="76"/>
        <v>13405</v>
      </c>
    </row>
    <row r="5327" spans="1:9" x14ac:dyDescent="0.25">
      <c r="A5327" s="204">
        <v>43343</v>
      </c>
      <c r="B5327" s="26" t="s">
        <v>3974</v>
      </c>
      <c r="C5327" s="26" t="s">
        <v>4195</v>
      </c>
      <c r="D5327" s="8">
        <v>2400</v>
      </c>
      <c r="E5327" s="8"/>
      <c r="F5327" s="92">
        <f t="shared" si="76"/>
        <v>11005</v>
      </c>
    </row>
    <row r="5328" spans="1:9" x14ac:dyDescent="0.25">
      <c r="A5328" s="204">
        <v>43343</v>
      </c>
      <c r="B5328" s="26" t="s">
        <v>2597</v>
      </c>
      <c r="C5328" s="26" t="s">
        <v>4196</v>
      </c>
      <c r="D5328" s="8">
        <v>5000</v>
      </c>
      <c r="E5328" s="8"/>
      <c r="F5328" s="92">
        <f t="shared" si="76"/>
        <v>6005</v>
      </c>
    </row>
    <row r="5329" spans="1:9" x14ac:dyDescent="0.25">
      <c r="A5329" s="204">
        <v>43343</v>
      </c>
      <c r="B5329" s="26" t="s">
        <v>14</v>
      </c>
      <c r="C5329" s="26" t="s">
        <v>295</v>
      </c>
      <c r="D5329" s="8">
        <v>1500</v>
      </c>
      <c r="E5329" s="8"/>
      <c r="F5329" s="92">
        <f t="shared" si="76"/>
        <v>4505</v>
      </c>
    </row>
    <row r="5330" spans="1:9" x14ac:dyDescent="0.25">
      <c r="A5330" s="204">
        <v>43314</v>
      </c>
      <c r="B5330" s="26" t="s">
        <v>85</v>
      </c>
      <c r="C5330" s="26" t="s">
        <v>4197</v>
      </c>
      <c r="D5330" s="8">
        <v>1000</v>
      </c>
      <c r="E5330" s="8"/>
      <c r="F5330" s="92">
        <f t="shared" si="76"/>
        <v>3505</v>
      </c>
    </row>
    <row r="5331" spans="1:9" ht="45" x14ac:dyDescent="0.25">
      <c r="A5331" s="204">
        <v>43314</v>
      </c>
      <c r="B5331" s="26" t="s">
        <v>59</v>
      </c>
      <c r="C5331" s="87" t="s">
        <v>4198</v>
      </c>
      <c r="D5331" s="8">
        <v>500</v>
      </c>
      <c r="E5331" s="8"/>
      <c r="F5331" s="92">
        <f t="shared" si="76"/>
        <v>3005</v>
      </c>
    </row>
    <row r="5332" spans="1:9" x14ac:dyDescent="0.25">
      <c r="A5332" s="204">
        <v>43346</v>
      </c>
      <c r="B5332" s="460" t="s">
        <v>3448</v>
      </c>
      <c r="C5332" s="460"/>
      <c r="D5332" s="71"/>
      <c r="E5332" s="58">
        <v>50000</v>
      </c>
      <c r="F5332" s="92">
        <f t="shared" si="76"/>
        <v>53005</v>
      </c>
      <c r="I5332" s="239"/>
    </row>
    <row r="5333" spans="1:9" x14ac:dyDescent="0.25">
      <c r="A5333" s="204">
        <v>43346</v>
      </c>
      <c r="B5333" s="26" t="s">
        <v>17</v>
      </c>
      <c r="C5333" s="87" t="s">
        <v>4211</v>
      </c>
      <c r="D5333" s="8">
        <v>5000</v>
      </c>
      <c r="E5333" s="8"/>
      <c r="F5333" s="92">
        <f t="shared" si="76"/>
        <v>48005</v>
      </c>
      <c r="I5333" s="239"/>
    </row>
    <row r="5334" spans="1:9" x14ac:dyDescent="0.25">
      <c r="A5334" s="204">
        <v>43346</v>
      </c>
      <c r="B5334" s="26" t="s">
        <v>3563</v>
      </c>
      <c r="C5334" s="26" t="s">
        <v>4210</v>
      </c>
      <c r="D5334" s="8">
        <v>420</v>
      </c>
      <c r="E5334" s="8"/>
      <c r="F5334" s="92">
        <f t="shared" si="76"/>
        <v>47585</v>
      </c>
    </row>
    <row r="5335" spans="1:9" x14ac:dyDescent="0.25">
      <c r="A5335" s="204">
        <v>43346</v>
      </c>
      <c r="B5335" s="26" t="s">
        <v>111</v>
      </c>
      <c r="C5335" s="26" t="s">
        <v>41</v>
      </c>
      <c r="D5335" s="8">
        <f>5000+4500+50</f>
        <v>9550</v>
      </c>
      <c r="E5335" s="8"/>
      <c r="F5335" s="92">
        <f t="shared" si="76"/>
        <v>38035</v>
      </c>
    </row>
    <row r="5336" spans="1:9" x14ac:dyDescent="0.25">
      <c r="A5336" s="204">
        <v>43346</v>
      </c>
      <c r="B5336" s="26" t="s">
        <v>4199</v>
      </c>
      <c r="C5336" s="26" t="s">
        <v>4200</v>
      </c>
      <c r="D5336" s="8">
        <v>4000</v>
      </c>
      <c r="E5336" s="8"/>
      <c r="F5336" s="92">
        <f t="shared" si="76"/>
        <v>34035</v>
      </c>
    </row>
    <row r="5337" spans="1:9" x14ac:dyDescent="0.25">
      <c r="A5337" s="204">
        <v>43346</v>
      </c>
      <c r="B5337" s="26" t="s">
        <v>85</v>
      </c>
      <c r="C5337" s="26" t="s">
        <v>4209</v>
      </c>
      <c r="D5337" s="8">
        <v>5000</v>
      </c>
      <c r="E5337" s="8"/>
      <c r="F5337" s="92">
        <f t="shared" si="76"/>
        <v>29035</v>
      </c>
    </row>
    <row r="5338" spans="1:9" x14ac:dyDescent="0.25">
      <c r="A5338" s="204">
        <v>43346</v>
      </c>
      <c r="B5338" s="26" t="s">
        <v>85</v>
      </c>
      <c r="C5338" s="26" t="s">
        <v>4208</v>
      </c>
      <c r="D5338" s="8">
        <v>1000</v>
      </c>
      <c r="E5338" s="8"/>
      <c r="F5338" s="92">
        <f t="shared" si="76"/>
        <v>28035</v>
      </c>
    </row>
    <row r="5339" spans="1:9" x14ac:dyDescent="0.25">
      <c r="A5339" s="204">
        <v>43346</v>
      </c>
      <c r="B5339" s="26" t="s">
        <v>2099</v>
      </c>
      <c r="C5339" s="26" t="s">
        <v>4207</v>
      </c>
      <c r="D5339" s="8">
        <v>25000</v>
      </c>
      <c r="E5339" s="8"/>
      <c r="F5339" s="92">
        <f t="shared" si="76"/>
        <v>3035</v>
      </c>
    </row>
    <row r="5340" spans="1:9" x14ac:dyDescent="0.25">
      <c r="A5340" s="204">
        <v>43346</v>
      </c>
      <c r="B5340" s="26" t="s">
        <v>542</v>
      </c>
      <c r="C5340" s="26" t="s">
        <v>4201</v>
      </c>
      <c r="D5340" s="8">
        <f>128+400</f>
        <v>528</v>
      </c>
      <c r="E5340" s="8"/>
      <c r="F5340" s="92">
        <f t="shared" si="76"/>
        <v>2507</v>
      </c>
    </row>
    <row r="5341" spans="1:9" x14ac:dyDescent="0.25">
      <c r="A5341" s="204">
        <v>43346</v>
      </c>
      <c r="B5341" s="26" t="s">
        <v>111</v>
      </c>
      <c r="C5341" s="26" t="s">
        <v>4202</v>
      </c>
      <c r="D5341" s="8">
        <v>190</v>
      </c>
      <c r="E5341" s="8"/>
      <c r="F5341" s="92">
        <f t="shared" si="76"/>
        <v>2317</v>
      </c>
    </row>
    <row r="5342" spans="1:9" x14ac:dyDescent="0.25">
      <c r="A5342" s="204">
        <v>43346</v>
      </c>
      <c r="B5342" s="26" t="s">
        <v>26</v>
      </c>
      <c r="C5342" s="26" t="s">
        <v>4203</v>
      </c>
      <c r="D5342" s="8">
        <f>120+40+100+100+20+40+100</f>
        <v>520</v>
      </c>
      <c r="E5342" s="8"/>
      <c r="F5342" s="92">
        <f t="shared" si="76"/>
        <v>1797</v>
      </c>
    </row>
    <row r="5343" spans="1:9" x14ac:dyDescent="0.25">
      <c r="A5343" s="204">
        <v>43346</v>
      </c>
      <c r="B5343" s="26" t="s">
        <v>26</v>
      </c>
      <c r="C5343" s="26" t="s">
        <v>4204</v>
      </c>
      <c r="D5343" s="8">
        <v>600</v>
      </c>
      <c r="E5343" s="8"/>
      <c r="F5343" s="92">
        <f t="shared" si="76"/>
        <v>1197</v>
      </c>
    </row>
    <row r="5344" spans="1:9" x14ac:dyDescent="0.25">
      <c r="A5344" s="204">
        <v>43347</v>
      </c>
      <c r="B5344" s="460" t="s">
        <v>3448</v>
      </c>
      <c r="C5344" s="460"/>
      <c r="D5344" s="71"/>
      <c r="E5344" s="58">
        <v>35000</v>
      </c>
      <c r="F5344" s="92">
        <f t="shared" ref="F5344:F5418" si="77">F5343-D5344+E5344</f>
        <v>36197</v>
      </c>
      <c r="I5344" s="239"/>
    </row>
    <row r="5345" spans="1:9" x14ac:dyDescent="0.25">
      <c r="A5345" s="204">
        <v>43347</v>
      </c>
      <c r="B5345" s="26" t="s">
        <v>14</v>
      </c>
      <c r="C5345" s="26" t="s">
        <v>295</v>
      </c>
      <c r="D5345" s="8">
        <v>1000</v>
      </c>
      <c r="E5345" s="8"/>
      <c r="F5345" s="92">
        <f t="shared" si="77"/>
        <v>35197</v>
      </c>
    </row>
    <row r="5346" spans="1:9" x14ac:dyDescent="0.25">
      <c r="A5346" s="204">
        <v>43347</v>
      </c>
      <c r="B5346" s="26" t="s">
        <v>0</v>
      </c>
      <c r="C5346" s="26" t="s">
        <v>4206</v>
      </c>
      <c r="D5346" s="8">
        <v>2500</v>
      </c>
      <c r="E5346" s="8"/>
      <c r="F5346" s="92">
        <f t="shared" si="77"/>
        <v>32697</v>
      </c>
    </row>
    <row r="5347" spans="1:9" x14ac:dyDescent="0.25">
      <c r="A5347" s="204">
        <v>43347</v>
      </c>
      <c r="B5347" s="26" t="s">
        <v>0</v>
      </c>
      <c r="C5347" s="26" t="s">
        <v>41</v>
      </c>
      <c r="D5347" s="8">
        <v>1000</v>
      </c>
      <c r="E5347" s="8"/>
      <c r="F5347" s="92">
        <f t="shared" si="77"/>
        <v>31697</v>
      </c>
    </row>
    <row r="5348" spans="1:9" x14ac:dyDescent="0.25">
      <c r="A5348" s="204">
        <v>43347</v>
      </c>
      <c r="B5348" s="26" t="s">
        <v>3829</v>
      </c>
      <c r="C5348" s="26" t="s">
        <v>4212</v>
      </c>
      <c r="D5348" s="8">
        <v>5000</v>
      </c>
      <c r="E5348" s="8"/>
      <c r="F5348" s="92">
        <f t="shared" si="77"/>
        <v>26697</v>
      </c>
    </row>
    <row r="5349" spans="1:9" x14ac:dyDescent="0.25">
      <c r="A5349" s="204">
        <v>43348</v>
      </c>
      <c r="B5349" s="26" t="s">
        <v>542</v>
      </c>
      <c r="C5349" s="26" t="s">
        <v>2438</v>
      </c>
      <c r="D5349" s="8">
        <v>600</v>
      </c>
      <c r="E5349" s="8"/>
      <c r="F5349" s="92">
        <f t="shared" si="77"/>
        <v>26097</v>
      </c>
    </row>
    <row r="5350" spans="1:9" x14ac:dyDescent="0.25">
      <c r="A5350" s="204">
        <v>43348</v>
      </c>
      <c r="B5350" s="26" t="s">
        <v>14</v>
      </c>
      <c r="C5350" s="26" t="s">
        <v>1533</v>
      </c>
      <c r="D5350" s="8">
        <v>1000</v>
      </c>
      <c r="E5350" s="8"/>
      <c r="F5350" s="92">
        <f t="shared" si="77"/>
        <v>25097</v>
      </c>
    </row>
    <row r="5351" spans="1:9" x14ac:dyDescent="0.25">
      <c r="A5351" s="204">
        <v>43348</v>
      </c>
      <c r="B5351" s="26" t="s">
        <v>14</v>
      </c>
      <c r="C5351" s="26" t="s">
        <v>2334</v>
      </c>
      <c r="D5351" s="8">
        <v>1000</v>
      </c>
      <c r="E5351" s="8"/>
      <c r="F5351" s="92">
        <f t="shared" si="77"/>
        <v>24097</v>
      </c>
    </row>
    <row r="5352" spans="1:9" x14ac:dyDescent="0.25">
      <c r="A5352" s="204">
        <v>43348</v>
      </c>
      <c r="B5352" s="26" t="s">
        <v>3728</v>
      </c>
      <c r="C5352" s="26" t="s">
        <v>4213</v>
      </c>
      <c r="D5352" s="8">
        <v>4150</v>
      </c>
      <c r="E5352" s="8"/>
      <c r="F5352" s="92">
        <f t="shared" si="77"/>
        <v>19947</v>
      </c>
    </row>
    <row r="5353" spans="1:9" x14ac:dyDescent="0.25">
      <c r="A5353" s="204">
        <v>43348</v>
      </c>
      <c r="B5353" s="26" t="s">
        <v>1461</v>
      </c>
      <c r="C5353" s="26" t="s">
        <v>4214</v>
      </c>
      <c r="D5353" s="8">
        <v>1700</v>
      </c>
      <c r="E5353" s="8"/>
      <c r="F5353" s="92">
        <f t="shared" si="77"/>
        <v>18247</v>
      </c>
    </row>
    <row r="5354" spans="1:9" x14ac:dyDescent="0.25">
      <c r="A5354" s="204">
        <v>43348</v>
      </c>
      <c r="B5354" s="26" t="s">
        <v>85</v>
      </c>
      <c r="C5354" s="26" t="s">
        <v>4215</v>
      </c>
      <c r="D5354" s="8">
        <v>5000</v>
      </c>
      <c r="E5354" s="8"/>
      <c r="F5354" s="92">
        <f t="shared" si="77"/>
        <v>13247</v>
      </c>
    </row>
    <row r="5355" spans="1:9" x14ac:dyDescent="0.25">
      <c r="A5355" s="204">
        <v>43348</v>
      </c>
      <c r="B5355" s="26" t="s">
        <v>542</v>
      </c>
      <c r="C5355" s="26" t="s">
        <v>4216</v>
      </c>
      <c r="D5355" s="8">
        <f>300+300+400+170</f>
        <v>1170</v>
      </c>
      <c r="E5355" s="8"/>
      <c r="F5355" s="92">
        <f t="shared" si="77"/>
        <v>12077</v>
      </c>
    </row>
    <row r="5356" spans="1:9" x14ac:dyDescent="0.25">
      <c r="A5356" s="204">
        <v>43348</v>
      </c>
      <c r="B5356" s="26" t="s">
        <v>111</v>
      </c>
      <c r="C5356" s="26" t="s">
        <v>4202</v>
      </c>
      <c r="D5356" s="8">
        <v>195</v>
      </c>
      <c r="E5356" s="8"/>
      <c r="F5356" s="92">
        <f t="shared" si="77"/>
        <v>11882</v>
      </c>
    </row>
    <row r="5357" spans="1:9" x14ac:dyDescent="0.25">
      <c r="A5357" s="204">
        <v>43349</v>
      </c>
      <c r="B5357" s="26" t="s">
        <v>248</v>
      </c>
      <c r="C5357" s="26" t="s">
        <v>4217</v>
      </c>
      <c r="D5357" s="8">
        <f>255+255+100</f>
        <v>610</v>
      </c>
      <c r="E5357" s="8"/>
      <c r="F5357" s="92">
        <f t="shared" si="77"/>
        <v>11272</v>
      </c>
    </row>
    <row r="5358" spans="1:9" x14ac:dyDescent="0.25">
      <c r="A5358" s="204">
        <v>43349</v>
      </c>
      <c r="B5358" s="26" t="s">
        <v>59</v>
      </c>
      <c r="C5358" s="26" t="s">
        <v>4221</v>
      </c>
      <c r="D5358" s="8">
        <v>50</v>
      </c>
      <c r="E5358" s="8"/>
      <c r="F5358" s="92">
        <f t="shared" si="77"/>
        <v>11222</v>
      </c>
    </row>
    <row r="5359" spans="1:9" x14ac:dyDescent="0.25">
      <c r="A5359" s="204">
        <v>43349</v>
      </c>
      <c r="B5359" s="26" t="s">
        <v>26</v>
      </c>
      <c r="C5359" s="26" t="s">
        <v>4218</v>
      </c>
      <c r="D5359" s="8">
        <v>27</v>
      </c>
      <c r="E5359" s="8"/>
      <c r="F5359" s="92">
        <f t="shared" si="77"/>
        <v>11195</v>
      </c>
    </row>
    <row r="5360" spans="1:9" x14ac:dyDescent="0.25">
      <c r="A5360" s="204">
        <v>43349</v>
      </c>
      <c r="B5360" s="460" t="s">
        <v>4219</v>
      </c>
      <c r="C5360" s="460"/>
      <c r="D5360" s="71"/>
      <c r="E5360" s="58">
        <v>7150</v>
      </c>
      <c r="F5360" s="92">
        <f t="shared" si="77"/>
        <v>18345</v>
      </c>
      <c r="I5360" s="239"/>
    </row>
    <row r="5361" spans="1:9" x14ac:dyDescent="0.25">
      <c r="A5361" s="204">
        <v>43349</v>
      </c>
      <c r="B5361" s="26" t="s">
        <v>59</v>
      </c>
      <c r="C5361" s="26" t="s">
        <v>3657</v>
      </c>
      <c r="D5361" s="8">
        <v>800</v>
      </c>
      <c r="E5361" s="8"/>
      <c r="F5361" s="92">
        <f t="shared" si="77"/>
        <v>17545</v>
      </c>
    </row>
    <row r="5362" spans="1:9" x14ac:dyDescent="0.25">
      <c r="A5362" s="204">
        <v>43350</v>
      </c>
      <c r="B5362" s="26" t="s">
        <v>55</v>
      </c>
      <c r="C5362" s="26" t="s">
        <v>4220</v>
      </c>
      <c r="D5362" s="8"/>
      <c r="E5362" s="8"/>
      <c r="F5362" s="92">
        <f t="shared" si="77"/>
        <v>17545</v>
      </c>
    </row>
    <row r="5363" spans="1:9" x14ac:dyDescent="0.25">
      <c r="A5363" s="204">
        <v>43350</v>
      </c>
      <c r="B5363" s="462" t="s">
        <v>4227</v>
      </c>
      <c r="C5363" s="463"/>
      <c r="D5363" s="71"/>
      <c r="E5363" s="58">
        <v>28335</v>
      </c>
      <c r="F5363" s="92">
        <f t="shared" si="77"/>
        <v>45880</v>
      </c>
      <c r="I5363" s="239"/>
    </row>
    <row r="5364" spans="1:9" ht="45" x14ac:dyDescent="0.25">
      <c r="A5364" s="204">
        <v>43350</v>
      </c>
      <c r="B5364" s="26" t="s">
        <v>59</v>
      </c>
      <c r="C5364" s="87" t="s">
        <v>4222</v>
      </c>
      <c r="D5364" s="8">
        <v>150</v>
      </c>
      <c r="E5364" s="8"/>
      <c r="F5364" s="92">
        <f t="shared" si="77"/>
        <v>45730</v>
      </c>
    </row>
    <row r="5365" spans="1:9" x14ac:dyDescent="0.25">
      <c r="A5365" s="204">
        <v>43350</v>
      </c>
      <c r="B5365" s="26" t="s">
        <v>3363</v>
      </c>
      <c r="C5365" s="26" t="s">
        <v>4223</v>
      </c>
      <c r="D5365" s="8">
        <v>10000</v>
      </c>
      <c r="E5365" s="8"/>
      <c r="F5365" s="92">
        <f t="shared" si="77"/>
        <v>35730</v>
      </c>
    </row>
    <row r="5366" spans="1:9" x14ac:dyDescent="0.25">
      <c r="A5366" s="204">
        <v>43350</v>
      </c>
      <c r="B5366" s="26" t="s">
        <v>85</v>
      </c>
      <c r="C5366" s="26" t="s">
        <v>4289</v>
      </c>
      <c r="D5366" s="8">
        <v>1500</v>
      </c>
      <c r="E5366" s="8"/>
      <c r="F5366" s="92">
        <f t="shared" si="77"/>
        <v>34230</v>
      </c>
    </row>
    <row r="5367" spans="1:9" x14ac:dyDescent="0.25">
      <c r="A5367" s="204">
        <v>43350</v>
      </c>
      <c r="B5367" s="26" t="s">
        <v>248</v>
      </c>
      <c r="C5367" s="26" t="s">
        <v>4224</v>
      </c>
      <c r="D5367" s="8">
        <v>50</v>
      </c>
      <c r="E5367" s="8"/>
      <c r="F5367" s="92">
        <f t="shared" si="77"/>
        <v>34180</v>
      </c>
    </row>
    <row r="5368" spans="1:9" x14ac:dyDescent="0.25">
      <c r="A5368" s="204">
        <v>43353</v>
      </c>
      <c r="B5368" s="26" t="s">
        <v>4116</v>
      </c>
      <c r="C5368" s="26" t="s">
        <v>4225</v>
      </c>
      <c r="D5368" s="8">
        <v>100</v>
      </c>
      <c r="E5368" s="8"/>
      <c r="F5368" s="92">
        <f t="shared" si="77"/>
        <v>34080</v>
      </c>
    </row>
    <row r="5369" spans="1:9" x14ac:dyDescent="0.25">
      <c r="A5369" s="204">
        <v>43353</v>
      </c>
      <c r="B5369" s="26" t="s">
        <v>4116</v>
      </c>
      <c r="C5369" s="26" t="s">
        <v>4226</v>
      </c>
      <c r="D5369" s="8">
        <v>50</v>
      </c>
      <c r="E5369" s="8"/>
      <c r="F5369" s="92">
        <f t="shared" si="77"/>
        <v>34030</v>
      </c>
    </row>
    <row r="5370" spans="1:9" x14ac:dyDescent="0.25">
      <c r="A5370" s="204">
        <v>43353</v>
      </c>
      <c r="B5370" s="26" t="s">
        <v>542</v>
      </c>
      <c r="C5370" s="26" t="s">
        <v>4228</v>
      </c>
      <c r="D5370" s="8">
        <v>15000</v>
      </c>
      <c r="E5370" s="8"/>
      <c r="F5370" s="92">
        <f t="shared" si="77"/>
        <v>19030</v>
      </c>
      <c r="G5370" s="204"/>
    </row>
    <row r="5371" spans="1:9" x14ac:dyDescent="0.25">
      <c r="A5371" s="204">
        <v>43353</v>
      </c>
      <c r="B5371" s="26" t="s">
        <v>2597</v>
      </c>
      <c r="C5371" s="26" t="s">
        <v>4229</v>
      </c>
      <c r="D5371" s="8">
        <v>1150</v>
      </c>
      <c r="E5371" s="8"/>
      <c r="F5371" s="92">
        <f t="shared" si="77"/>
        <v>17880</v>
      </c>
    </row>
    <row r="5372" spans="1:9" x14ac:dyDescent="0.25">
      <c r="A5372" s="204">
        <v>43353</v>
      </c>
      <c r="B5372" s="26" t="s">
        <v>2349</v>
      </c>
      <c r="C5372" s="26" t="s">
        <v>4230</v>
      </c>
      <c r="D5372" s="8">
        <v>3000</v>
      </c>
      <c r="E5372" s="8"/>
      <c r="F5372" s="92">
        <f t="shared" si="77"/>
        <v>14880</v>
      </c>
    </row>
    <row r="5373" spans="1:9" x14ac:dyDescent="0.25">
      <c r="A5373" s="204">
        <v>43353</v>
      </c>
      <c r="B5373" s="26" t="s">
        <v>1619</v>
      </c>
      <c r="C5373" s="26" t="s">
        <v>3707</v>
      </c>
      <c r="D5373" s="8">
        <v>1500</v>
      </c>
      <c r="E5373" s="8"/>
      <c r="F5373" s="92">
        <f t="shared" si="77"/>
        <v>13380</v>
      </c>
    </row>
    <row r="5374" spans="1:9" x14ac:dyDescent="0.25">
      <c r="A5374" s="204">
        <v>43353</v>
      </c>
      <c r="B5374" s="26" t="s">
        <v>11</v>
      </c>
      <c r="C5374" s="26" t="s">
        <v>4231</v>
      </c>
      <c r="D5374" s="8">
        <v>2630</v>
      </c>
      <c r="E5374" s="8"/>
      <c r="F5374" s="92">
        <f t="shared" si="77"/>
        <v>10750</v>
      </c>
    </row>
    <row r="5375" spans="1:9" x14ac:dyDescent="0.25">
      <c r="A5375" s="204">
        <v>43353</v>
      </c>
      <c r="B5375" s="26" t="s">
        <v>2597</v>
      </c>
      <c r="C5375" s="26" t="s">
        <v>4232</v>
      </c>
      <c r="D5375" s="8">
        <v>500</v>
      </c>
      <c r="E5375" s="8"/>
      <c r="F5375" s="92">
        <f t="shared" si="77"/>
        <v>10250</v>
      </c>
    </row>
    <row r="5376" spans="1:9" x14ac:dyDescent="0.25">
      <c r="A5376" s="204">
        <v>43353</v>
      </c>
      <c r="B5376" s="26" t="s">
        <v>26</v>
      </c>
      <c r="C5376" s="26" t="s">
        <v>4234</v>
      </c>
      <c r="D5376" s="8">
        <v>1500</v>
      </c>
      <c r="E5376" s="8"/>
      <c r="F5376" s="92">
        <f t="shared" si="77"/>
        <v>8750</v>
      </c>
    </row>
    <row r="5377" spans="1:9" x14ac:dyDescent="0.25">
      <c r="A5377" s="204">
        <v>43353</v>
      </c>
      <c r="B5377" s="26" t="s">
        <v>26</v>
      </c>
      <c r="C5377" s="26" t="s">
        <v>4235</v>
      </c>
      <c r="D5377" s="8">
        <f>400+60+380+20+80+200</f>
        <v>1140</v>
      </c>
      <c r="E5377" s="8"/>
      <c r="F5377" s="92">
        <f t="shared" si="77"/>
        <v>7610</v>
      </c>
    </row>
    <row r="5378" spans="1:9" x14ac:dyDescent="0.25">
      <c r="A5378" s="204">
        <v>43354</v>
      </c>
      <c r="B5378" s="26" t="s">
        <v>111</v>
      </c>
      <c r="C5378" s="26" t="s">
        <v>4236</v>
      </c>
      <c r="D5378" s="8">
        <f>170+180+70</f>
        <v>420</v>
      </c>
      <c r="E5378" s="8"/>
      <c r="F5378" s="92">
        <f t="shared" si="77"/>
        <v>7190</v>
      </c>
    </row>
    <row r="5379" spans="1:9" x14ac:dyDescent="0.25">
      <c r="A5379" s="204">
        <v>43354</v>
      </c>
      <c r="B5379" s="26" t="s">
        <v>542</v>
      </c>
      <c r="C5379" s="26" t="s">
        <v>4237</v>
      </c>
      <c r="D5379" s="8">
        <f>170+130+100</f>
        <v>400</v>
      </c>
      <c r="E5379" s="8"/>
      <c r="F5379" s="92">
        <f t="shared" si="77"/>
        <v>6790</v>
      </c>
    </row>
    <row r="5380" spans="1:9" x14ac:dyDescent="0.25">
      <c r="A5380" s="204">
        <v>43354</v>
      </c>
      <c r="B5380" s="26" t="s">
        <v>2677</v>
      </c>
      <c r="C5380" s="26" t="s">
        <v>4238</v>
      </c>
      <c r="D5380" s="8">
        <v>130</v>
      </c>
      <c r="E5380" s="8"/>
      <c r="F5380" s="92">
        <f t="shared" si="77"/>
        <v>6660</v>
      </c>
    </row>
    <row r="5381" spans="1:9" x14ac:dyDescent="0.25">
      <c r="A5381" s="204">
        <v>43354</v>
      </c>
      <c r="B5381" s="26" t="s">
        <v>14</v>
      </c>
      <c r="C5381" s="26" t="s">
        <v>4239</v>
      </c>
      <c r="D5381" s="8">
        <v>80</v>
      </c>
      <c r="E5381" s="8"/>
      <c r="F5381" s="92">
        <f t="shared" si="77"/>
        <v>6580</v>
      </c>
    </row>
    <row r="5382" spans="1:9" x14ac:dyDescent="0.25">
      <c r="A5382" s="204">
        <v>43354</v>
      </c>
      <c r="B5382" s="26" t="s">
        <v>19</v>
      </c>
      <c r="C5382" s="26" t="s">
        <v>1533</v>
      </c>
      <c r="D5382" s="8">
        <v>3000</v>
      </c>
      <c r="E5382" s="8"/>
      <c r="F5382" s="92">
        <f t="shared" si="77"/>
        <v>3580</v>
      </c>
    </row>
    <row r="5383" spans="1:9" x14ac:dyDescent="0.25">
      <c r="A5383" s="204">
        <v>43354</v>
      </c>
      <c r="B5383" s="26" t="s">
        <v>3224</v>
      </c>
      <c r="C5383" s="26" t="s">
        <v>41</v>
      </c>
      <c r="D5383" s="8">
        <v>1500</v>
      </c>
      <c r="E5383" s="8"/>
      <c r="F5383" s="92">
        <f t="shared" si="77"/>
        <v>2080</v>
      </c>
    </row>
    <row r="5384" spans="1:9" x14ac:dyDescent="0.25">
      <c r="A5384" s="204">
        <v>43354</v>
      </c>
      <c r="B5384" s="462" t="s">
        <v>3448</v>
      </c>
      <c r="C5384" s="463"/>
      <c r="D5384" s="71"/>
      <c r="E5384" s="58">
        <v>100000</v>
      </c>
      <c r="F5384" s="92">
        <f t="shared" si="77"/>
        <v>102080</v>
      </c>
      <c r="I5384" s="239"/>
    </row>
    <row r="5385" spans="1:9" x14ac:dyDescent="0.25">
      <c r="A5385" s="204">
        <v>43354</v>
      </c>
      <c r="B5385" s="26" t="s">
        <v>85</v>
      </c>
      <c r="C5385" s="26" t="s">
        <v>4233</v>
      </c>
      <c r="D5385" s="8">
        <v>10650</v>
      </c>
      <c r="E5385" s="8"/>
      <c r="F5385" s="92">
        <f t="shared" si="77"/>
        <v>91430</v>
      </c>
    </row>
    <row r="5386" spans="1:9" x14ac:dyDescent="0.25">
      <c r="A5386" s="204">
        <v>43354</v>
      </c>
      <c r="B5386" s="26" t="s">
        <v>14</v>
      </c>
      <c r="C5386" s="26" t="s">
        <v>4296</v>
      </c>
      <c r="D5386" s="8">
        <v>50000</v>
      </c>
      <c r="E5386" s="8"/>
      <c r="F5386" s="92">
        <f t="shared" si="77"/>
        <v>41430</v>
      </c>
    </row>
    <row r="5387" spans="1:9" x14ac:dyDescent="0.25">
      <c r="A5387" s="204">
        <v>43354</v>
      </c>
      <c r="B5387" s="26" t="s">
        <v>29</v>
      </c>
      <c r="C5387" s="26" t="s">
        <v>4257</v>
      </c>
      <c r="D5387" s="8">
        <v>1000</v>
      </c>
      <c r="E5387" s="8"/>
      <c r="F5387" s="92">
        <f t="shared" si="77"/>
        <v>40430</v>
      </c>
    </row>
    <row r="5388" spans="1:9" x14ac:dyDescent="0.25">
      <c r="A5388" s="204">
        <v>43354</v>
      </c>
      <c r="B5388" s="26" t="s">
        <v>3429</v>
      </c>
      <c r="C5388" s="26" t="s">
        <v>4241</v>
      </c>
      <c r="D5388" s="8">
        <v>400</v>
      </c>
      <c r="E5388" s="8"/>
      <c r="F5388" s="92">
        <f t="shared" si="77"/>
        <v>40030</v>
      </c>
    </row>
    <row r="5389" spans="1:9" x14ac:dyDescent="0.25">
      <c r="A5389" s="204">
        <v>43354</v>
      </c>
      <c r="B5389" s="26" t="s">
        <v>59</v>
      </c>
      <c r="C5389" s="26" t="s">
        <v>4242</v>
      </c>
      <c r="D5389" s="8">
        <v>35000</v>
      </c>
      <c r="E5389" s="8"/>
      <c r="F5389" s="92">
        <f t="shared" si="77"/>
        <v>5030</v>
      </c>
    </row>
    <row r="5390" spans="1:9" x14ac:dyDescent="0.25">
      <c r="A5390" s="204">
        <v>43354</v>
      </c>
      <c r="B5390" s="26" t="s">
        <v>2951</v>
      </c>
      <c r="C5390" s="26" t="s">
        <v>3631</v>
      </c>
      <c r="D5390" s="8">
        <v>3680</v>
      </c>
      <c r="E5390" s="8"/>
      <c r="F5390" s="92">
        <f t="shared" si="77"/>
        <v>1350</v>
      </c>
    </row>
    <row r="5391" spans="1:9" x14ac:dyDescent="0.25">
      <c r="A5391" s="204">
        <v>43354</v>
      </c>
      <c r="B5391" s="26" t="s">
        <v>94</v>
      </c>
      <c r="C5391" s="26" t="s">
        <v>4243</v>
      </c>
      <c r="D5391" s="8">
        <v>1000</v>
      </c>
      <c r="E5391" s="8"/>
      <c r="F5391" s="92">
        <f t="shared" si="77"/>
        <v>350</v>
      </c>
    </row>
    <row r="5392" spans="1:9" x14ac:dyDescent="0.25">
      <c r="A5392" s="204">
        <v>43354</v>
      </c>
      <c r="B5392" s="462" t="s">
        <v>3448</v>
      </c>
      <c r="C5392" s="463"/>
      <c r="D5392" s="71"/>
      <c r="E5392" s="58">
        <v>50000</v>
      </c>
      <c r="F5392" s="92">
        <f>F5391-D5392+E5392</f>
        <v>50350</v>
      </c>
      <c r="I5392" s="239"/>
    </row>
    <row r="5393" spans="1:9" x14ac:dyDescent="0.25">
      <c r="A5393" s="204">
        <v>43355</v>
      </c>
      <c r="B5393" s="26" t="s">
        <v>4244</v>
      </c>
      <c r="C5393" s="26" t="s">
        <v>4245</v>
      </c>
      <c r="D5393" s="8">
        <v>800</v>
      </c>
      <c r="E5393" s="8"/>
      <c r="F5393" s="92">
        <f>F5392-D5393+E5393</f>
        <v>49550</v>
      </c>
    </row>
    <row r="5394" spans="1:9" x14ac:dyDescent="0.25">
      <c r="A5394" s="204">
        <v>43355</v>
      </c>
      <c r="B5394" s="26" t="s">
        <v>59</v>
      </c>
      <c r="C5394" s="26" t="s">
        <v>4249</v>
      </c>
      <c r="D5394" s="8">
        <v>11500</v>
      </c>
      <c r="E5394" s="8"/>
      <c r="F5394" s="92">
        <f t="shared" si="77"/>
        <v>38050</v>
      </c>
    </row>
    <row r="5395" spans="1:9" x14ac:dyDescent="0.25">
      <c r="A5395" s="204">
        <v>43355</v>
      </c>
      <c r="B5395" s="26" t="s">
        <v>59</v>
      </c>
      <c r="C5395" s="26" t="s">
        <v>4246</v>
      </c>
      <c r="D5395" s="8">
        <v>15000</v>
      </c>
      <c r="E5395" s="8"/>
      <c r="F5395" s="92">
        <f t="shared" si="77"/>
        <v>23050</v>
      </c>
    </row>
    <row r="5396" spans="1:9" x14ac:dyDescent="0.25">
      <c r="A5396" s="204">
        <v>43355</v>
      </c>
      <c r="B5396" s="26" t="s">
        <v>4244</v>
      </c>
      <c r="C5396" s="26" t="s">
        <v>4247</v>
      </c>
      <c r="D5396" s="8">
        <v>20000</v>
      </c>
      <c r="E5396" s="8"/>
      <c r="F5396" s="92">
        <f t="shared" si="77"/>
        <v>3050</v>
      </c>
    </row>
    <row r="5397" spans="1:9" x14ac:dyDescent="0.25">
      <c r="A5397" s="204">
        <v>43356</v>
      </c>
      <c r="B5397" s="26" t="s">
        <v>85</v>
      </c>
      <c r="C5397" s="26" t="s">
        <v>4248</v>
      </c>
      <c r="D5397" s="8">
        <v>1500</v>
      </c>
      <c r="E5397" s="8"/>
      <c r="F5397" s="92">
        <f t="shared" si="77"/>
        <v>1550</v>
      </c>
    </row>
    <row r="5398" spans="1:9" x14ac:dyDescent="0.25">
      <c r="A5398" s="204">
        <v>43356</v>
      </c>
      <c r="B5398" s="26" t="s">
        <v>4252</v>
      </c>
      <c r="C5398" s="26" t="s">
        <v>4253</v>
      </c>
      <c r="D5398" s="8">
        <v>230</v>
      </c>
      <c r="E5398" s="8"/>
      <c r="F5398" s="92">
        <f t="shared" si="77"/>
        <v>1320</v>
      </c>
    </row>
    <row r="5399" spans="1:9" x14ac:dyDescent="0.25">
      <c r="A5399" s="204">
        <v>43356</v>
      </c>
      <c r="B5399" s="26" t="s">
        <v>26</v>
      </c>
      <c r="C5399" s="26" t="s">
        <v>4254</v>
      </c>
      <c r="D5399" s="8">
        <f>110+12+40+50+66</f>
        <v>278</v>
      </c>
      <c r="E5399" s="8"/>
      <c r="F5399" s="92">
        <f t="shared" si="77"/>
        <v>1042</v>
      </c>
    </row>
    <row r="5400" spans="1:9" x14ac:dyDescent="0.25">
      <c r="A5400" s="204">
        <v>43356</v>
      </c>
      <c r="B5400" s="26" t="s">
        <v>542</v>
      </c>
      <c r="C5400" s="26" t="s">
        <v>4255</v>
      </c>
      <c r="D5400" s="8">
        <f>130+170</f>
        <v>300</v>
      </c>
      <c r="E5400" s="8"/>
      <c r="F5400" s="92">
        <f t="shared" si="77"/>
        <v>742</v>
      </c>
    </row>
    <row r="5401" spans="1:9" x14ac:dyDescent="0.25">
      <c r="A5401" s="204">
        <v>43356</v>
      </c>
      <c r="B5401" s="26" t="s">
        <v>111</v>
      </c>
      <c r="C5401" s="26" t="s">
        <v>88</v>
      </c>
      <c r="D5401" s="8">
        <v>80</v>
      </c>
      <c r="E5401" s="8"/>
      <c r="F5401" s="92">
        <f t="shared" si="77"/>
        <v>662</v>
      </c>
    </row>
    <row r="5402" spans="1:9" x14ac:dyDescent="0.25">
      <c r="A5402" s="204">
        <v>43356</v>
      </c>
      <c r="B5402" s="26" t="s">
        <v>4116</v>
      </c>
      <c r="C5402" s="26" t="s">
        <v>4256</v>
      </c>
      <c r="D5402" s="8">
        <v>380</v>
      </c>
      <c r="E5402" s="8"/>
      <c r="F5402" s="92">
        <f t="shared" si="77"/>
        <v>282</v>
      </c>
    </row>
    <row r="5403" spans="1:9" x14ac:dyDescent="0.25">
      <c r="A5403" s="204">
        <v>43357</v>
      </c>
      <c r="B5403" s="462" t="s">
        <v>3448</v>
      </c>
      <c r="C5403" s="463"/>
      <c r="D5403" s="71"/>
      <c r="E5403" s="58">
        <v>100000</v>
      </c>
      <c r="F5403" s="92">
        <f t="shared" si="77"/>
        <v>100282</v>
      </c>
      <c r="I5403" s="239"/>
    </row>
    <row r="5404" spans="1:9" x14ac:dyDescent="0.25">
      <c r="A5404" s="204">
        <v>43357</v>
      </c>
      <c r="B5404" s="26" t="s">
        <v>59</v>
      </c>
      <c r="C5404" s="26" t="s">
        <v>3146</v>
      </c>
      <c r="D5404" s="8">
        <v>40000</v>
      </c>
      <c r="E5404" s="8"/>
      <c r="F5404" s="92">
        <f t="shared" si="77"/>
        <v>60282</v>
      </c>
      <c r="G5404" s="25"/>
    </row>
    <row r="5405" spans="1:9" x14ac:dyDescent="0.25">
      <c r="A5405" s="204">
        <v>43357</v>
      </c>
      <c r="B5405" s="26" t="s">
        <v>111</v>
      </c>
      <c r="C5405" s="26" t="s">
        <v>2314</v>
      </c>
      <c r="D5405" s="8">
        <v>16550</v>
      </c>
      <c r="E5405" s="8"/>
      <c r="F5405" s="92">
        <f t="shared" si="77"/>
        <v>43732</v>
      </c>
    </row>
    <row r="5406" spans="1:9" x14ac:dyDescent="0.25">
      <c r="A5406" s="204">
        <v>43357</v>
      </c>
      <c r="B5406" s="26" t="s">
        <v>29</v>
      </c>
      <c r="C5406" s="26" t="s">
        <v>4258</v>
      </c>
      <c r="D5406" s="8">
        <v>15000</v>
      </c>
      <c r="E5406" s="8"/>
      <c r="F5406" s="92">
        <f t="shared" si="77"/>
        <v>28732</v>
      </c>
    </row>
    <row r="5407" spans="1:9" x14ac:dyDescent="0.25">
      <c r="A5407" s="204">
        <v>43357</v>
      </c>
      <c r="B5407" s="26" t="s">
        <v>85</v>
      </c>
      <c r="C5407" s="26" t="s">
        <v>4259</v>
      </c>
      <c r="D5407" s="8">
        <v>4000</v>
      </c>
      <c r="E5407" s="8"/>
      <c r="F5407" s="92">
        <f t="shared" si="77"/>
        <v>24732</v>
      </c>
    </row>
    <row r="5408" spans="1:9" x14ac:dyDescent="0.25">
      <c r="A5408" s="204">
        <v>43357</v>
      </c>
      <c r="B5408" s="26" t="s">
        <v>85</v>
      </c>
      <c r="C5408" s="180" t="s">
        <v>4260</v>
      </c>
      <c r="D5408" s="8">
        <v>500</v>
      </c>
      <c r="E5408" s="8"/>
      <c r="F5408" s="92">
        <f t="shared" si="77"/>
        <v>24232</v>
      </c>
    </row>
    <row r="5409" spans="1:6" x14ac:dyDescent="0.25">
      <c r="A5409" s="204">
        <v>43357</v>
      </c>
      <c r="B5409" s="26" t="s">
        <v>4261</v>
      </c>
      <c r="C5409" s="26" t="s">
        <v>4262</v>
      </c>
      <c r="D5409" s="8">
        <v>7550</v>
      </c>
      <c r="E5409" s="8"/>
      <c r="F5409" s="92">
        <f t="shared" si="77"/>
        <v>16682</v>
      </c>
    </row>
    <row r="5410" spans="1:6" x14ac:dyDescent="0.25">
      <c r="A5410" s="204">
        <v>43357</v>
      </c>
      <c r="B5410" s="26" t="s">
        <v>4263</v>
      </c>
      <c r="C5410" s="26" t="s">
        <v>4264</v>
      </c>
      <c r="D5410" s="8">
        <v>1000</v>
      </c>
      <c r="E5410" s="8"/>
      <c r="F5410" s="92">
        <f t="shared" si="77"/>
        <v>15682</v>
      </c>
    </row>
    <row r="5411" spans="1:6" x14ac:dyDescent="0.25">
      <c r="A5411" s="204">
        <v>43357</v>
      </c>
      <c r="B5411" s="26" t="s">
        <v>4244</v>
      </c>
      <c r="C5411" s="26" t="s">
        <v>3109</v>
      </c>
      <c r="D5411" s="8">
        <v>8000</v>
      </c>
      <c r="E5411" s="8"/>
      <c r="F5411" s="92">
        <f t="shared" si="77"/>
        <v>7682</v>
      </c>
    </row>
    <row r="5412" spans="1:6" x14ac:dyDescent="0.25">
      <c r="A5412" s="204">
        <v>43357</v>
      </c>
      <c r="B5412" s="26" t="s">
        <v>2597</v>
      </c>
      <c r="C5412" s="26" t="s">
        <v>4196</v>
      </c>
      <c r="D5412" s="8">
        <v>5000</v>
      </c>
      <c r="E5412" s="8"/>
      <c r="F5412" s="92">
        <f t="shared" si="77"/>
        <v>2682</v>
      </c>
    </row>
    <row r="5413" spans="1:6" x14ac:dyDescent="0.25">
      <c r="A5413" s="204">
        <v>43358</v>
      </c>
      <c r="B5413" s="26" t="s">
        <v>3563</v>
      </c>
      <c r="C5413" s="26" t="s">
        <v>4165</v>
      </c>
      <c r="D5413" s="8">
        <v>500</v>
      </c>
      <c r="E5413" s="8"/>
      <c r="F5413" s="92">
        <f t="shared" si="77"/>
        <v>2182</v>
      </c>
    </row>
    <row r="5414" spans="1:6" x14ac:dyDescent="0.25">
      <c r="A5414" s="204">
        <v>43358</v>
      </c>
      <c r="B5414" s="26" t="s">
        <v>85</v>
      </c>
      <c r="C5414" s="26" t="s">
        <v>4265</v>
      </c>
      <c r="D5414" s="8">
        <v>1000</v>
      </c>
      <c r="E5414" s="8"/>
      <c r="F5414" s="92">
        <f t="shared" si="77"/>
        <v>1182</v>
      </c>
    </row>
    <row r="5415" spans="1:6" x14ac:dyDescent="0.25">
      <c r="A5415" s="204">
        <v>43360</v>
      </c>
      <c r="B5415" s="26" t="s">
        <v>26</v>
      </c>
      <c r="C5415" s="26" t="s">
        <v>4267</v>
      </c>
      <c r="D5415" s="8">
        <f>30+250</f>
        <v>280</v>
      </c>
      <c r="E5415" s="8"/>
      <c r="F5415" s="92">
        <f t="shared" si="77"/>
        <v>902</v>
      </c>
    </row>
    <row r="5416" spans="1:6" x14ac:dyDescent="0.25">
      <c r="A5416" s="204">
        <v>43360</v>
      </c>
      <c r="B5416" s="26" t="s">
        <v>14</v>
      </c>
      <c r="C5416" s="26" t="s">
        <v>4268</v>
      </c>
      <c r="D5416" s="8">
        <v>80</v>
      </c>
      <c r="E5416" s="8"/>
      <c r="F5416" s="92">
        <f t="shared" si="77"/>
        <v>822</v>
      </c>
    </row>
    <row r="5417" spans="1:6" x14ac:dyDescent="0.25">
      <c r="A5417" s="204">
        <v>43360</v>
      </c>
      <c r="B5417" s="26" t="s">
        <v>542</v>
      </c>
      <c r="C5417" s="26" t="s">
        <v>4269</v>
      </c>
      <c r="D5417" s="8">
        <f>160+130+340</f>
        <v>630</v>
      </c>
      <c r="E5417" s="8"/>
      <c r="F5417" s="92">
        <f t="shared" si="77"/>
        <v>192</v>
      </c>
    </row>
    <row r="5418" spans="1:6" x14ac:dyDescent="0.25">
      <c r="A5418" s="204">
        <v>43360</v>
      </c>
      <c r="B5418" s="26" t="s">
        <v>111</v>
      </c>
      <c r="C5418" s="26" t="s">
        <v>88</v>
      </c>
      <c r="D5418" s="8">
        <f>120+100</f>
        <v>220</v>
      </c>
      <c r="E5418" s="8"/>
      <c r="F5418" s="92">
        <f t="shared" si="77"/>
        <v>-28</v>
      </c>
    </row>
    <row r="5419" spans="1:6" x14ac:dyDescent="0.25">
      <c r="A5419" s="204">
        <v>43362</v>
      </c>
      <c r="B5419" s="460" t="s">
        <v>4271</v>
      </c>
      <c r="C5419" s="460"/>
      <c r="D5419" s="71"/>
      <c r="E5419" s="58">
        <v>25000</v>
      </c>
      <c r="F5419" s="92">
        <f t="shared" ref="F5419:F5436" si="78">F5418-D5419+E5419</f>
        <v>24972</v>
      </c>
    </row>
    <row r="5420" spans="1:6" x14ac:dyDescent="0.25">
      <c r="A5420" s="204">
        <v>43362</v>
      </c>
      <c r="B5420" s="26" t="s">
        <v>2677</v>
      </c>
      <c r="C5420" s="26" t="s">
        <v>4270</v>
      </c>
      <c r="D5420" s="8">
        <v>480</v>
      </c>
      <c r="E5420" s="8"/>
      <c r="F5420" s="92">
        <f t="shared" si="78"/>
        <v>24492</v>
      </c>
    </row>
    <row r="5421" spans="1:6" x14ac:dyDescent="0.25">
      <c r="A5421" s="204">
        <v>43362</v>
      </c>
      <c r="B5421" s="460" t="s">
        <v>4110</v>
      </c>
      <c r="C5421" s="460"/>
      <c r="D5421" s="71"/>
      <c r="E5421" s="58">
        <v>50000</v>
      </c>
      <c r="F5421" s="92">
        <f t="shared" si="78"/>
        <v>74492</v>
      </c>
    </row>
    <row r="5422" spans="1:6" x14ac:dyDescent="0.25">
      <c r="A5422" s="204">
        <v>43362</v>
      </c>
      <c r="B5422" s="29" t="s">
        <v>14</v>
      </c>
      <c r="C5422" s="29" t="s">
        <v>4297</v>
      </c>
      <c r="D5422" s="8">
        <v>40000</v>
      </c>
      <c r="E5422" s="8"/>
      <c r="F5422" s="92">
        <f t="shared" si="78"/>
        <v>34492</v>
      </c>
    </row>
    <row r="5423" spans="1:6" x14ac:dyDescent="0.25">
      <c r="A5423" s="204">
        <v>43362</v>
      </c>
      <c r="B5423" s="26" t="s">
        <v>85</v>
      </c>
      <c r="C5423" s="26" t="s">
        <v>3943</v>
      </c>
      <c r="D5423" s="8">
        <v>3000</v>
      </c>
      <c r="E5423" s="8"/>
      <c r="F5423" s="92">
        <f t="shared" si="78"/>
        <v>31492</v>
      </c>
    </row>
    <row r="5424" spans="1:6" x14ac:dyDescent="0.25">
      <c r="A5424" s="204">
        <v>43362</v>
      </c>
      <c r="B5424" s="26" t="s">
        <v>85</v>
      </c>
      <c r="C5424" s="26" t="s">
        <v>4272</v>
      </c>
      <c r="D5424" s="8">
        <v>5000</v>
      </c>
      <c r="E5424" s="8"/>
      <c r="F5424" s="92">
        <f t="shared" si="78"/>
        <v>26492</v>
      </c>
    </row>
    <row r="5425" spans="1:6" x14ac:dyDescent="0.25">
      <c r="A5425" s="204">
        <v>43362</v>
      </c>
      <c r="B5425" s="26" t="s">
        <v>3738</v>
      </c>
      <c r="C5425" s="26" t="s">
        <v>4273</v>
      </c>
      <c r="D5425" s="8">
        <v>1200</v>
      </c>
      <c r="E5425" s="8"/>
      <c r="F5425" s="92">
        <f t="shared" si="78"/>
        <v>25292</v>
      </c>
    </row>
    <row r="5426" spans="1:6" x14ac:dyDescent="0.25">
      <c r="A5426" s="204">
        <v>43362</v>
      </c>
      <c r="B5426" s="26" t="s">
        <v>4274</v>
      </c>
      <c r="C5426" s="26" t="s">
        <v>41</v>
      </c>
      <c r="D5426" s="8">
        <v>20800</v>
      </c>
      <c r="E5426" s="8"/>
      <c r="F5426" s="92">
        <f t="shared" si="78"/>
        <v>4492</v>
      </c>
    </row>
    <row r="5427" spans="1:6" x14ac:dyDescent="0.25">
      <c r="A5427" s="204">
        <v>43362</v>
      </c>
      <c r="B5427" s="26" t="s">
        <v>26</v>
      </c>
      <c r="C5427" s="26" t="s">
        <v>4275</v>
      </c>
      <c r="D5427" s="8">
        <v>230</v>
      </c>
      <c r="E5427" s="8"/>
      <c r="F5427" s="92">
        <f t="shared" si="78"/>
        <v>4262</v>
      </c>
    </row>
    <row r="5428" spans="1:6" x14ac:dyDescent="0.25">
      <c r="A5428" s="204">
        <v>43362</v>
      </c>
      <c r="B5428" s="26" t="s">
        <v>26</v>
      </c>
      <c r="C5428" s="26" t="s">
        <v>4276</v>
      </c>
      <c r="D5428" s="8">
        <v>120</v>
      </c>
      <c r="E5428" s="8"/>
      <c r="F5428" s="92">
        <f t="shared" si="78"/>
        <v>4142</v>
      </c>
    </row>
    <row r="5429" spans="1:6" x14ac:dyDescent="0.25">
      <c r="A5429" s="204">
        <v>43362</v>
      </c>
      <c r="B5429" s="26" t="s">
        <v>248</v>
      </c>
      <c r="C5429" s="26" t="s">
        <v>4277</v>
      </c>
      <c r="D5429" s="8">
        <v>160</v>
      </c>
      <c r="E5429" s="8"/>
      <c r="F5429" s="92">
        <f t="shared" si="78"/>
        <v>3982</v>
      </c>
    </row>
    <row r="5430" spans="1:6" x14ac:dyDescent="0.25">
      <c r="A5430" s="204">
        <v>43362</v>
      </c>
      <c r="B5430" s="26" t="s">
        <v>2677</v>
      </c>
      <c r="C5430" s="26" t="s">
        <v>4278</v>
      </c>
      <c r="D5430" s="8">
        <v>320</v>
      </c>
      <c r="E5430" s="8"/>
      <c r="F5430" s="92">
        <f t="shared" si="78"/>
        <v>3662</v>
      </c>
    </row>
    <row r="5431" spans="1:6" x14ac:dyDescent="0.25">
      <c r="A5431" s="204">
        <v>43362</v>
      </c>
      <c r="B5431" s="26" t="s">
        <v>111</v>
      </c>
      <c r="C5431" s="26" t="s">
        <v>4279</v>
      </c>
      <c r="D5431" s="8">
        <f>60+170</f>
        <v>230</v>
      </c>
      <c r="E5431" s="8"/>
      <c r="F5431" s="92">
        <f t="shared" si="78"/>
        <v>3432</v>
      </c>
    </row>
    <row r="5432" spans="1:6" x14ac:dyDescent="0.25">
      <c r="A5432" s="204">
        <v>43362</v>
      </c>
      <c r="B5432" s="26" t="s">
        <v>26</v>
      </c>
      <c r="C5432" s="26" t="s">
        <v>4280</v>
      </c>
      <c r="D5432" s="8">
        <f>60+380+110+70</f>
        <v>620</v>
      </c>
      <c r="E5432" s="8"/>
      <c r="F5432" s="92">
        <f t="shared" si="78"/>
        <v>2812</v>
      </c>
    </row>
    <row r="5433" spans="1:6" x14ac:dyDescent="0.25">
      <c r="A5433" s="204">
        <v>43362</v>
      </c>
      <c r="B5433" s="26" t="s">
        <v>2951</v>
      </c>
      <c r="C5433" s="26" t="s">
        <v>4281</v>
      </c>
      <c r="D5433" s="8">
        <v>285</v>
      </c>
      <c r="E5433" s="8"/>
      <c r="F5433" s="92">
        <f t="shared" si="78"/>
        <v>2527</v>
      </c>
    </row>
    <row r="5434" spans="1:6" x14ac:dyDescent="0.25">
      <c r="A5434" s="204">
        <v>43362</v>
      </c>
      <c r="B5434" s="26" t="s">
        <v>26</v>
      </c>
      <c r="C5434" s="26" t="s">
        <v>4282</v>
      </c>
      <c r="D5434" s="8">
        <v>520</v>
      </c>
      <c r="E5434" s="8"/>
      <c r="F5434" s="92">
        <f t="shared" si="78"/>
        <v>2007</v>
      </c>
    </row>
    <row r="5435" spans="1:6" x14ac:dyDescent="0.25">
      <c r="A5435" s="204">
        <v>43362</v>
      </c>
      <c r="B5435" s="26" t="s">
        <v>4040</v>
      </c>
      <c r="C5435" s="26" t="s">
        <v>4283</v>
      </c>
      <c r="D5435" s="8">
        <v>1000</v>
      </c>
      <c r="E5435" s="8"/>
      <c r="F5435" s="92">
        <f t="shared" si="78"/>
        <v>1007</v>
      </c>
    </row>
    <row r="5436" spans="1:6" x14ac:dyDescent="0.25">
      <c r="A5436" s="204">
        <v>43365</v>
      </c>
      <c r="B5436" s="26" t="s">
        <v>85</v>
      </c>
      <c r="C5436" s="26" t="s">
        <v>4284</v>
      </c>
      <c r="D5436" s="8">
        <v>800</v>
      </c>
      <c r="E5436" s="8"/>
      <c r="F5436" s="92">
        <f t="shared" si="78"/>
        <v>207</v>
      </c>
    </row>
    <row r="5437" spans="1:6" x14ac:dyDescent="0.25">
      <c r="A5437" s="204">
        <v>43367</v>
      </c>
      <c r="B5437" s="460" t="s">
        <v>3594</v>
      </c>
      <c r="C5437" s="460"/>
      <c r="D5437" s="71"/>
      <c r="E5437" s="58">
        <v>50000</v>
      </c>
      <c r="F5437" s="92">
        <f t="shared" ref="F5437:F5480" si="79">F5436-D5437+E5437</f>
        <v>50207</v>
      </c>
    </row>
    <row r="5438" spans="1:6" x14ac:dyDescent="0.25">
      <c r="A5438" s="204">
        <v>43367</v>
      </c>
      <c r="B5438" s="26" t="s">
        <v>2099</v>
      </c>
      <c r="C5438" s="26" t="s">
        <v>295</v>
      </c>
      <c r="D5438" s="8">
        <v>2000</v>
      </c>
      <c r="E5438" s="8"/>
      <c r="F5438" s="92">
        <f t="shared" si="79"/>
        <v>48207</v>
      </c>
    </row>
    <row r="5439" spans="1:6" x14ac:dyDescent="0.25">
      <c r="A5439" s="204">
        <v>43367</v>
      </c>
      <c r="B5439" s="26" t="s">
        <v>59</v>
      </c>
      <c r="C5439" s="26" t="s">
        <v>3146</v>
      </c>
      <c r="D5439" s="8">
        <v>10000</v>
      </c>
      <c r="E5439" s="8"/>
      <c r="F5439" s="92">
        <f t="shared" si="79"/>
        <v>38207</v>
      </c>
    </row>
    <row r="5440" spans="1:6" x14ac:dyDescent="0.25">
      <c r="A5440" s="204">
        <v>43367</v>
      </c>
      <c r="B5440" s="26" t="s">
        <v>111</v>
      </c>
      <c r="C5440" s="26" t="s">
        <v>295</v>
      </c>
      <c r="D5440" s="8">
        <v>21500</v>
      </c>
      <c r="E5440" s="8"/>
      <c r="F5440" s="92">
        <f t="shared" si="79"/>
        <v>16707</v>
      </c>
    </row>
    <row r="5441" spans="1:7" x14ac:dyDescent="0.25">
      <c r="A5441" s="204">
        <v>43367</v>
      </c>
      <c r="B5441" s="26" t="s">
        <v>2597</v>
      </c>
      <c r="C5441" s="26" t="s">
        <v>4287</v>
      </c>
      <c r="D5441" s="8">
        <v>4000</v>
      </c>
      <c r="E5441" s="8"/>
      <c r="F5441" s="92">
        <f t="shared" si="79"/>
        <v>12707</v>
      </c>
    </row>
    <row r="5442" spans="1:7" x14ac:dyDescent="0.25">
      <c r="A5442" s="204">
        <v>43367</v>
      </c>
      <c r="B5442" s="26" t="s">
        <v>2597</v>
      </c>
      <c r="C5442" s="26" t="s">
        <v>4286</v>
      </c>
      <c r="D5442" s="8">
        <v>2000</v>
      </c>
      <c r="E5442" s="8"/>
      <c r="F5442" s="92">
        <f t="shared" si="79"/>
        <v>10707</v>
      </c>
    </row>
    <row r="5443" spans="1:7" x14ac:dyDescent="0.25">
      <c r="A5443" s="204">
        <v>43368</v>
      </c>
      <c r="B5443" s="26" t="s">
        <v>85</v>
      </c>
      <c r="C5443" s="26" t="s">
        <v>4289</v>
      </c>
      <c r="D5443" s="8">
        <v>5000</v>
      </c>
      <c r="E5443" s="8"/>
      <c r="F5443" s="92">
        <f t="shared" si="79"/>
        <v>5707</v>
      </c>
    </row>
    <row r="5444" spans="1:7" x14ac:dyDescent="0.25">
      <c r="A5444" s="204">
        <v>43368</v>
      </c>
      <c r="B5444" s="26" t="s">
        <v>94</v>
      </c>
      <c r="C5444" s="26" t="s">
        <v>3906</v>
      </c>
      <c r="D5444" s="8">
        <v>4000</v>
      </c>
      <c r="E5444" s="8"/>
      <c r="F5444" s="92">
        <f t="shared" si="79"/>
        <v>1707</v>
      </c>
    </row>
    <row r="5445" spans="1:7" x14ac:dyDescent="0.25">
      <c r="A5445" s="204">
        <v>43368</v>
      </c>
      <c r="B5445" s="26" t="s">
        <v>1790</v>
      </c>
      <c r="C5445" s="26" t="s">
        <v>4288</v>
      </c>
      <c r="D5445" s="8">
        <v>1500</v>
      </c>
      <c r="E5445" s="8"/>
      <c r="F5445" s="92">
        <f t="shared" si="79"/>
        <v>207</v>
      </c>
    </row>
    <row r="5446" spans="1:7" x14ac:dyDescent="0.25">
      <c r="A5446" s="204">
        <v>43370</v>
      </c>
      <c r="B5446" s="460" t="s">
        <v>4290</v>
      </c>
      <c r="C5446" s="460"/>
      <c r="D5446" s="71"/>
      <c r="E5446" s="58">
        <v>22000</v>
      </c>
      <c r="F5446" s="92">
        <f t="shared" si="79"/>
        <v>22207</v>
      </c>
    </row>
    <row r="5447" spans="1:7" x14ac:dyDescent="0.25">
      <c r="A5447" s="204">
        <v>43370</v>
      </c>
      <c r="B5447" s="26" t="s">
        <v>2597</v>
      </c>
      <c r="C5447" s="26" t="s">
        <v>4291</v>
      </c>
      <c r="D5447" s="8">
        <v>8000</v>
      </c>
      <c r="E5447" s="8"/>
      <c r="F5447" s="92">
        <f t="shared" si="79"/>
        <v>14207</v>
      </c>
    </row>
    <row r="5448" spans="1:7" x14ac:dyDescent="0.25">
      <c r="A5448" s="204">
        <v>43370</v>
      </c>
      <c r="B5448" s="26" t="s">
        <v>59</v>
      </c>
      <c r="C5448" s="26" t="s">
        <v>4306</v>
      </c>
      <c r="D5448" s="8">
        <v>7000</v>
      </c>
      <c r="E5448" s="8"/>
      <c r="F5448" s="92">
        <f t="shared" si="79"/>
        <v>7207</v>
      </c>
    </row>
    <row r="5449" spans="1:7" x14ac:dyDescent="0.25">
      <c r="A5449" s="204">
        <v>43370</v>
      </c>
      <c r="B5449" s="26" t="s">
        <v>2349</v>
      </c>
      <c r="C5449" s="26" t="s">
        <v>3336</v>
      </c>
      <c r="D5449" s="8">
        <v>5000</v>
      </c>
      <c r="E5449" s="8"/>
      <c r="F5449" s="92">
        <f t="shared" si="79"/>
        <v>2207</v>
      </c>
    </row>
    <row r="5450" spans="1:7" x14ac:dyDescent="0.25">
      <c r="A5450" s="204">
        <v>43370</v>
      </c>
      <c r="B5450" s="29" t="s">
        <v>58</v>
      </c>
      <c r="C5450" s="29" t="s">
        <v>4814</v>
      </c>
      <c r="D5450" s="8">
        <v>500</v>
      </c>
      <c r="E5450" s="8"/>
      <c r="F5450" s="92">
        <f t="shared" si="79"/>
        <v>1707</v>
      </c>
    </row>
    <row r="5451" spans="1:7" x14ac:dyDescent="0.25">
      <c r="A5451" s="204">
        <v>43370</v>
      </c>
      <c r="B5451" s="460" t="s">
        <v>4290</v>
      </c>
      <c r="C5451" s="460"/>
      <c r="D5451" s="71"/>
      <c r="E5451" s="58">
        <f>50000-32000</f>
        <v>18000</v>
      </c>
      <c r="F5451" s="92">
        <f t="shared" si="79"/>
        <v>19707</v>
      </c>
    </row>
    <row r="5452" spans="1:7" x14ac:dyDescent="0.25">
      <c r="A5452" s="204">
        <v>43370</v>
      </c>
      <c r="B5452" s="29" t="s">
        <v>85</v>
      </c>
      <c r="C5452" s="29" t="s">
        <v>4292</v>
      </c>
      <c r="D5452" s="8">
        <v>2000</v>
      </c>
      <c r="E5452" s="8"/>
      <c r="F5452" s="92">
        <f t="shared" si="79"/>
        <v>17707</v>
      </c>
    </row>
    <row r="5453" spans="1:7" x14ac:dyDescent="0.25">
      <c r="A5453" s="204">
        <v>43371</v>
      </c>
      <c r="B5453" s="29" t="s">
        <v>694</v>
      </c>
      <c r="C5453" s="29" t="s">
        <v>4293</v>
      </c>
      <c r="D5453" s="8">
        <v>2000</v>
      </c>
      <c r="E5453" s="8"/>
      <c r="F5453" s="92">
        <f t="shared" si="79"/>
        <v>15707</v>
      </c>
    </row>
    <row r="5454" spans="1:7" x14ac:dyDescent="0.25">
      <c r="A5454" s="204">
        <v>43371</v>
      </c>
      <c r="B5454" s="26" t="s">
        <v>85</v>
      </c>
      <c r="C5454" s="26" t="s">
        <v>4294</v>
      </c>
      <c r="D5454" s="8">
        <v>9000</v>
      </c>
      <c r="E5454" s="8"/>
      <c r="F5454" s="92">
        <f t="shared" si="79"/>
        <v>6707</v>
      </c>
    </row>
    <row r="5455" spans="1:7" x14ac:dyDescent="0.25">
      <c r="A5455" s="204">
        <v>43371</v>
      </c>
      <c r="B5455" s="26" t="s">
        <v>2089</v>
      </c>
      <c r="C5455" s="26" t="s">
        <v>4295</v>
      </c>
      <c r="D5455" s="8">
        <v>3000</v>
      </c>
      <c r="E5455" s="8"/>
      <c r="F5455" s="92">
        <f t="shared" si="79"/>
        <v>3707</v>
      </c>
    </row>
    <row r="5456" spans="1:7" ht="45" x14ac:dyDescent="0.25">
      <c r="A5456" s="204">
        <v>43372</v>
      </c>
      <c r="B5456" s="26" t="s">
        <v>26</v>
      </c>
      <c r="C5456" s="87" t="s">
        <v>4299</v>
      </c>
      <c r="D5456" s="8">
        <f>180+84+63+110+100+30+80+130+120+200+80+150+110+70+40</f>
        <v>1547</v>
      </c>
      <c r="E5456" s="8"/>
      <c r="F5456" s="92">
        <f t="shared" si="79"/>
        <v>2160</v>
      </c>
      <c r="G5456" s="25"/>
    </row>
    <row r="5457" spans="1:9" x14ac:dyDescent="0.25">
      <c r="A5457" s="204">
        <v>43372</v>
      </c>
      <c r="B5457" s="26" t="s">
        <v>4043</v>
      </c>
      <c r="C5457" s="26" t="s">
        <v>2438</v>
      </c>
      <c r="D5457" s="8">
        <v>600</v>
      </c>
      <c r="E5457" s="8"/>
      <c r="F5457" s="92">
        <f t="shared" si="79"/>
        <v>1560</v>
      </c>
    </row>
    <row r="5458" spans="1:9" x14ac:dyDescent="0.25">
      <c r="A5458" s="204">
        <v>43372</v>
      </c>
      <c r="B5458" s="26" t="s">
        <v>1619</v>
      </c>
      <c r="C5458" s="26" t="s">
        <v>2438</v>
      </c>
      <c r="D5458" s="8">
        <v>520</v>
      </c>
      <c r="E5458" s="8"/>
      <c r="F5458" s="92">
        <f t="shared" si="79"/>
        <v>1040</v>
      </c>
    </row>
    <row r="5459" spans="1:9" x14ac:dyDescent="0.25">
      <c r="A5459" s="204">
        <v>43372</v>
      </c>
      <c r="B5459" s="26" t="s">
        <v>2677</v>
      </c>
      <c r="C5459" s="26" t="s">
        <v>4300</v>
      </c>
      <c r="D5459" s="8">
        <v>450</v>
      </c>
      <c r="E5459" s="8"/>
      <c r="F5459" s="92">
        <f t="shared" si="79"/>
        <v>590</v>
      </c>
    </row>
    <row r="5460" spans="1:9" x14ac:dyDescent="0.25">
      <c r="A5460" s="204">
        <v>43371</v>
      </c>
      <c r="B5460" s="460" t="s">
        <v>4303</v>
      </c>
      <c r="C5460" s="460"/>
      <c r="D5460" s="71"/>
      <c r="E5460" s="58">
        <f>76800</f>
        <v>76800</v>
      </c>
      <c r="F5460" s="92">
        <f t="shared" si="79"/>
        <v>77390</v>
      </c>
    </row>
    <row r="5461" spans="1:9" x14ac:dyDescent="0.25">
      <c r="A5461" s="204">
        <v>43370</v>
      </c>
      <c r="B5461" s="460" t="s">
        <v>4304</v>
      </c>
      <c r="C5461" s="460"/>
      <c r="D5461" s="71"/>
      <c r="E5461" s="58">
        <v>100000</v>
      </c>
      <c r="F5461" s="92">
        <f t="shared" si="79"/>
        <v>177390</v>
      </c>
    </row>
    <row r="5462" spans="1:9" x14ac:dyDescent="0.25">
      <c r="A5462" s="204">
        <v>43372</v>
      </c>
      <c r="B5462" s="26" t="s">
        <v>2677</v>
      </c>
      <c r="C5462" s="26" t="s">
        <v>4301</v>
      </c>
      <c r="D5462" s="8">
        <v>900</v>
      </c>
      <c r="E5462" s="8"/>
      <c r="F5462" s="92">
        <f t="shared" si="79"/>
        <v>176490</v>
      </c>
      <c r="I5462" s="22"/>
    </row>
    <row r="5463" spans="1:9" x14ac:dyDescent="0.25">
      <c r="A5463" s="204">
        <v>43372</v>
      </c>
      <c r="B5463" s="29" t="s">
        <v>111</v>
      </c>
      <c r="C5463" s="29" t="s">
        <v>4302</v>
      </c>
      <c r="D5463" s="8">
        <v>4320</v>
      </c>
      <c r="E5463" s="8"/>
      <c r="F5463" s="92">
        <f t="shared" si="79"/>
        <v>172170</v>
      </c>
    </row>
    <row r="5464" spans="1:9" x14ac:dyDescent="0.25">
      <c r="A5464" s="204">
        <v>43372</v>
      </c>
      <c r="B5464" s="26" t="s">
        <v>2099</v>
      </c>
      <c r="C5464" s="26" t="s">
        <v>2352</v>
      </c>
      <c r="D5464" s="8">
        <v>40000</v>
      </c>
      <c r="E5464" s="8"/>
      <c r="F5464" s="92">
        <f t="shared" si="79"/>
        <v>132170</v>
      </c>
    </row>
    <row r="5465" spans="1:9" x14ac:dyDescent="0.25">
      <c r="A5465" s="204">
        <v>43372</v>
      </c>
      <c r="B5465" s="26" t="s">
        <v>59</v>
      </c>
      <c r="C5465" s="26" t="s">
        <v>4305</v>
      </c>
      <c r="D5465" s="8">
        <v>40000</v>
      </c>
      <c r="E5465" s="8"/>
      <c r="F5465" s="92">
        <f t="shared" si="79"/>
        <v>92170</v>
      </c>
    </row>
    <row r="5466" spans="1:9" x14ac:dyDescent="0.25">
      <c r="A5466" s="204">
        <v>43372</v>
      </c>
      <c r="B5466" s="26" t="s">
        <v>1619</v>
      </c>
      <c r="C5466" s="26" t="s">
        <v>4307</v>
      </c>
      <c r="D5466" s="8">
        <v>4700</v>
      </c>
      <c r="E5466" s="8"/>
      <c r="F5466" s="92">
        <f t="shared" si="79"/>
        <v>87470</v>
      </c>
    </row>
    <row r="5467" spans="1:9" x14ac:dyDescent="0.25">
      <c r="A5467" s="204">
        <v>43372</v>
      </c>
      <c r="B5467" s="26" t="s">
        <v>14</v>
      </c>
      <c r="C5467" s="26" t="s">
        <v>4309</v>
      </c>
      <c r="D5467" s="8">
        <v>25000</v>
      </c>
      <c r="E5467" s="8"/>
      <c r="F5467" s="92">
        <f t="shared" si="79"/>
        <v>62470</v>
      </c>
    </row>
    <row r="5468" spans="1:9" x14ac:dyDescent="0.25">
      <c r="A5468" s="204">
        <v>43374</v>
      </c>
      <c r="B5468" s="26" t="s">
        <v>2573</v>
      </c>
      <c r="C5468" s="26" t="s">
        <v>4032</v>
      </c>
      <c r="D5468" s="8">
        <v>200</v>
      </c>
      <c r="E5468" s="8"/>
      <c r="F5468" s="92">
        <f t="shared" si="79"/>
        <v>62270</v>
      </c>
    </row>
    <row r="5469" spans="1:9" x14ac:dyDescent="0.25">
      <c r="A5469" s="204">
        <v>43374</v>
      </c>
      <c r="B5469" s="26" t="s">
        <v>58</v>
      </c>
      <c r="C5469" s="26" t="s">
        <v>4815</v>
      </c>
      <c r="D5469" s="8">
        <v>500</v>
      </c>
      <c r="E5469" s="8"/>
      <c r="F5469" s="92">
        <f t="shared" si="79"/>
        <v>61770</v>
      </c>
    </row>
    <row r="5470" spans="1:9" x14ac:dyDescent="0.25">
      <c r="A5470" s="204">
        <v>43374</v>
      </c>
      <c r="B5470" s="26" t="s">
        <v>3829</v>
      </c>
      <c r="C5470" s="26" t="s">
        <v>4308</v>
      </c>
      <c r="D5470" s="8">
        <v>1000</v>
      </c>
      <c r="E5470" s="8"/>
      <c r="F5470" s="92">
        <f t="shared" si="79"/>
        <v>60770</v>
      </c>
    </row>
    <row r="5471" spans="1:9" ht="30" x14ac:dyDescent="0.25">
      <c r="A5471" s="204">
        <v>43374</v>
      </c>
      <c r="B5471" s="26" t="s">
        <v>59</v>
      </c>
      <c r="C5471" s="87" t="s">
        <v>4310</v>
      </c>
      <c r="D5471" s="8">
        <v>8000</v>
      </c>
      <c r="E5471" s="8"/>
      <c r="F5471" s="92">
        <f t="shared" si="79"/>
        <v>52770</v>
      </c>
    </row>
    <row r="5472" spans="1:9" x14ac:dyDescent="0.25">
      <c r="A5472" s="204">
        <v>43374</v>
      </c>
      <c r="B5472" s="26" t="s">
        <v>2089</v>
      </c>
      <c r="C5472" s="26" t="s">
        <v>4311</v>
      </c>
      <c r="D5472" s="8">
        <v>2000</v>
      </c>
      <c r="E5472" s="8"/>
      <c r="F5472" s="92">
        <f t="shared" si="79"/>
        <v>50770</v>
      </c>
    </row>
    <row r="5473" spans="1:6" x14ac:dyDescent="0.25">
      <c r="A5473" s="204">
        <v>43374</v>
      </c>
      <c r="B5473" s="26" t="s">
        <v>4312</v>
      </c>
      <c r="C5473" s="26" t="s">
        <v>4313</v>
      </c>
      <c r="D5473" s="8">
        <v>14000</v>
      </c>
      <c r="E5473" s="8"/>
      <c r="F5473" s="92">
        <f t="shared" si="79"/>
        <v>36770</v>
      </c>
    </row>
    <row r="5474" spans="1:6" x14ac:dyDescent="0.25">
      <c r="A5474" s="204">
        <v>43374</v>
      </c>
      <c r="B5474" s="26" t="s">
        <v>14</v>
      </c>
      <c r="C5474" s="26" t="s">
        <v>4314</v>
      </c>
      <c r="D5474" s="161">
        <v>20000</v>
      </c>
      <c r="E5474" s="8"/>
      <c r="F5474" s="92">
        <f t="shared" si="79"/>
        <v>16770</v>
      </c>
    </row>
    <row r="5475" spans="1:6" x14ac:dyDescent="0.25">
      <c r="A5475" s="204">
        <v>43374</v>
      </c>
      <c r="B5475" s="26" t="s">
        <v>3974</v>
      </c>
      <c r="C5475" s="26" t="s">
        <v>4315</v>
      </c>
      <c r="D5475" s="8">
        <v>2050</v>
      </c>
      <c r="E5475" s="8"/>
      <c r="F5475" s="92">
        <f t="shared" si="79"/>
        <v>14720</v>
      </c>
    </row>
    <row r="5476" spans="1:6" x14ac:dyDescent="0.25">
      <c r="A5476" s="204">
        <v>43374</v>
      </c>
      <c r="B5476" s="26" t="s">
        <v>4316</v>
      </c>
      <c r="C5476" s="26" t="s">
        <v>4313</v>
      </c>
      <c r="D5476" s="8">
        <v>100</v>
      </c>
      <c r="E5476" s="8"/>
      <c r="F5476" s="92">
        <f t="shared" si="79"/>
        <v>14620</v>
      </c>
    </row>
    <row r="5477" spans="1:6" x14ac:dyDescent="0.25">
      <c r="A5477" s="204">
        <v>43374</v>
      </c>
      <c r="B5477" s="26" t="s">
        <v>542</v>
      </c>
      <c r="C5477" s="26" t="s">
        <v>4317</v>
      </c>
      <c r="D5477" s="8">
        <v>2000</v>
      </c>
      <c r="E5477" s="8"/>
      <c r="F5477" s="92">
        <f t="shared" si="79"/>
        <v>12620</v>
      </c>
    </row>
    <row r="5478" spans="1:6" x14ac:dyDescent="0.25">
      <c r="A5478" s="204">
        <v>43375</v>
      </c>
      <c r="B5478" s="26" t="s">
        <v>59</v>
      </c>
      <c r="C5478" s="26" t="s">
        <v>3146</v>
      </c>
      <c r="D5478" s="8">
        <v>9000</v>
      </c>
      <c r="E5478" s="8"/>
      <c r="F5478" s="92">
        <f t="shared" si="79"/>
        <v>3620</v>
      </c>
    </row>
    <row r="5479" spans="1:6" x14ac:dyDescent="0.25">
      <c r="A5479" s="204">
        <v>43375</v>
      </c>
      <c r="B5479" s="26" t="s">
        <v>4316</v>
      </c>
      <c r="C5479" s="26" t="s">
        <v>3336</v>
      </c>
      <c r="D5479" s="8">
        <v>100</v>
      </c>
      <c r="E5479" s="8"/>
      <c r="F5479" s="92">
        <f t="shared" si="79"/>
        <v>3520</v>
      </c>
    </row>
    <row r="5480" spans="1:6" x14ac:dyDescent="0.25">
      <c r="A5480" s="204">
        <v>43375</v>
      </c>
      <c r="B5480" s="26" t="s">
        <v>3829</v>
      </c>
      <c r="C5480" s="26" t="s">
        <v>4191</v>
      </c>
      <c r="D5480" s="8">
        <v>1000</v>
      </c>
      <c r="E5480" s="8"/>
      <c r="F5480" s="92">
        <f t="shared" si="79"/>
        <v>2520</v>
      </c>
    </row>
    <row r="5481" spans="1:6" x14ac:dyDescent="0.25">
      <c r="A5481" s="204">
        <v>43376</v>
      </c>
      <c r="B5481" s="460" t="s">
        <v>4298</v>
      </c>
      <c r="C5481" s="460"/>
      <c r="D5481" s="71"/>
      <c r="E5481" s="58">
        <f>9000-3900</f>
        <v>5100</v>
      </c>
      <c r="F5481" s="92">
        <f t="shared" ref="F5481:F5495" si="80">F5480-D5481+E5481</f>
        <v>7620</v>
      </c>
    </row>
    <row r="5482" spans="1:6" x14ac:dyDescent="0.25">
      <c r="A5482" s="204">
        <v>43376</v>
      </c>
      <c r="B5482" s="26" t="s">
        <v>85</v>
      </c>
      <c r="C5482" s="26" t="s">
        <v>4318</v>
      </c>
      <c r="D5482" s="8">
        <v>500</v>
      </c>
      <c r="E5482" s="8"/>
      <c r="F5482" s="92">
        <f t="shared" si="80"/>
        <v>7120</v>
      </c>
    </row>
    <row r="5483" spans="1:6" x14ac:dyDescent="0.25">
      <c r="A5483" s="204">
        <v>43376</v>
      </c>
      <c r="B5483" s="26" t="s">
        <v>2349</v>
      </c>
      <c r="C5483" s="26" t="s">
        <v>41</v>
      </c>
      <c r="D5483" s="8">
        <v>2000</v>
      </c>
      <c r="E5483" s="8"/>
      <c r="F5483" s="92">
        <f t="shared" si="80"/>
        <v>5120</v>
      </c>
    </row>
    <row r="5484" spans="1:6" x14ac:dyDescent="0.25">
      <c r="A5484" s="204">
        <v>43378</v>
      </c>
      <c r="B5484" s="26" t="s">
        <v>26</v>
      </c>
      <c r="C5484" s="26" t="s">
        <v>4319</v>
      </c>
      <c r="D5484" s="8">
        <v>620</v>
      </c>
      <c r="E5484" s="8"/>
      <c r="F5484" s="92">
        <f t="shared" si="80"/>
        <v>4500</v>
      </c>
    </row>
    <row r="5485" spans="1:6" x14ac:dyDescent="0.25">
      <c r="A5485" s="204">
        <v>43379</v>
      </c>
      <c r="B5485" s="460" t="s">
        <v>4271</v>
      </c>
      <c r="C5485" s="460"/>
      <c r="D5485" s="71"/>
      <c r="E5485" s="58">
        <v>22000</v>
      </c>
      <c r="F5485" s="92">
        <f t="shared" si="80"/>
        <v>26500</v>
      </c>
    </row>
    <row r="5486" spans="1:6" x14ac:dyDescent="0.25">
      <c r="A5486" s="204">
        <v>43379</v>
      </c>
      <c r="B5486" s="26" t="s">
        <v>1196</v>
      </c>
      <c r="C5486" s="26" t="s">
        <v>4243</v>
      </c>
      <c r="D5486" s="8">
        <v>20000</v>
      </c>
      <c r="E5486" s="8"/>
      <c r="F5486" s="92">
        <f t="shared" si="80"/>
        <v>6500</v>
      </c>
    </row>
    <row r="5487" spans="1:6" x14ac:dyDescent="0.25">
      <c r="A5487" s="204">
        <v>43379</v>
      </c>
      <c r="B5487" s="26" t="s">
        <v>48</v>
      </c>
      <c r="C5487" s="26" t="s">
        <v>4320</v>
      </c>
      <c r="D5487" s="8">
        <v>2200</v>
      </c>
      <c r="E5487" s="8"/>
      <c r="F5487" s="92">
        <f t="shared" si="80"/>
        <v>4300</v>
      </c>
    </row>
    <row r="5488" spans="1:6" ht="60" x14ac:dyDescent="0.25">
      <c r="A5488" s="204">
        <v>43379</v>
      </c>
      <c r="B5488" s="26" t="s">
        <v>26</v>
      </c>
      <c r="C5488" s="87" t="s">
        <v>4321</v>
      </c>
      <c r="D5488" s="8">
        <f>280+160+130+170+100+63+70+260+220+100+60+60+180+450+380+230+600+160+300+120+110+80+10</f>
        <v>4293</v>
      </c>
      <c r="E5488" s="8"/>
      <c r="F5488" s="92">
        <f t="shared" si="80"/>
        <v>7</v>
      </c>
    </row>
    <row r="5489" spans="1:6" x14ac:dyDescent="0.25">
      <c r="A5489" s="204">
        <v>43379</v>
      </c>
      <c r="B5489" s="460" t="s">
        <v>18</v>
      </c>
      <c r="C5489" s="460"/>
      <c r="D5489" s="71"/>
      <c r="E5489" s="58">
        <v>15469</v>
      </c>
      <c r="F5489" s="92">
        <f t="shared" si="80"/>
        <v>15476</v>
      </c>
    </row>
    <row r="5490" spans="1:6" x14ac:dyDescent="0.25">
      <c r="A5490" s="204">
        <v>43379</v>
      </c>
      <c r="B5490" s="26" t="s">
        <v>2677</v>
      </c>
      <c r="C5490" s="26" t="s">
        <v>4322</v>
      </c>
      <c r="D5490" s="8">
        <v>570</v>
      </c>
      <c r="E5490" s="8"/>
      <c r="F5490" s="92">
        <f t="shared" si="80"/>
        <v>14906</v>
      </c>
    </row>
    <row r="5491" spans="1:6" x14ac:dyDescent="0.25">
      <c r="A5491" s="204">
        <v>43379</v>
      </c>
      <c r="B5491" s="26" t="s">
        <v>248</v>
      </c>
      <c r="C5491" s="26" t="s">
        <v>2016</v>
      </c>
      <c r="D5491" s="8">
        <v>100</v>
      </c>
      <c r="E5491" s="8"/>
      <c r="F5491" s="92">
        <f t="shared" si="80"/>
        <v>14806</v>
      </c>
    </row>
    <row r="5492" spans="1:6" x14ac:dyDescent="0.25">
      <c r="A5492" s="204">
        <v>43380</v>
      </c>
      <c r="B5492" s="26" t="s">
        <v>59</v>
      </c>
      <c r="C5492" s="26" t="s">
        <v>2016</v>
      </c>
      <c r="D5492" s="8">
        <v>100</v>
      </c>
      <c r="E5492" s="8"/>
      <c r="F5492" s="92">
        <f t="shared" si="80"/>
        <v>14706</v>
      </c>
    </row>
    <row r="5493" spans="1:6" x14ac:dyDescent="0.25">
      <c r="A5493" s="204">
        <v>43383</v>
      </c>
      <c r="B5493" s="26" t="s">
        <v>2099</v>
      </c>
      <c r="C5493" s="26" t="s">
        <v>4323</v>
      </c>
      <c r="D5493" s="8">
        <v>12000</v>
      </c>
      <c r="E5493" s="8"/>
      <c r="F5493" s="92">
        <f t="shared" si="80"/>
        <v>2706</v>
      </c>
    </row>
    <row r="5494" spans="1:6" ht="45" x14ac:dyDescent="0.25">
      <c r="A5494" s="204">
        <v>43385</v>
      </c>
      <c r="B5494" s="26" t="s">
        <v>26</v>
      </c>
      <c r="C5494" s="87" t="s">
        <v>4324</v>
      </c>
      <c r="D5494" s="8">
        <f>510+150+100+35+150+70+80+370+70+40+80+20</f>
        <v>1675</v>
      </c>
      <c r="E5494" s="8"/>
      <c r="F5494" s="92">
        <f t="shared" si="80"/>
        <v>1031</v>
      </c>
    </row>
    <row r="5495" spans="1:6" x14ac:dyDescent="0.25">
      <c r="A5495" s="204">
        <v>43385</v>
      </c>
      <c r="B5495" s="26" t="s">
        <v>2677</v>
      </c>
      <c r="C5495" s="26" t="s">
        <v>4325</v>
      </c>
      <c r="D5495" s="8">
        <v>100</v>
      </c>
      <c r="E5495" s="8"/>
      <c r="F5495" s="92">
        <f t="shared" si="80"/>
        <v>931</v>
      </c>
    </row>
    <row r="5496" spans="1:6" x14ac:dyDescent="0.25">
      <c r="A5496" s="204">
        <v>43385</v>
      </c>
      <c r="B5496" s="460" t="s">
        <v>4326</v>
      </c>
      <c r="C5496" s="460"/>
      <c r="D5496" s="71"/>
      <c r="E5496" s="58">
        <v>8000</v>
      </c>
      <c r="F5496" s="92">
        <f t="shared" ref="F5496:F5505" si="81">F5495-D5496+E5496</f>
        <v>8931</v>
      </c>
    </row>
    <row r="5497" spans="1:6" x14ac:dyDescent="0.25">
      <c r="A5497" s="204">
        <v>43386</v>
      </c>
      <c r="B5497" s="26" t="s">
        <v>101</v>
      </c>
      <c r="C5497" s="26" t="s">
        <v>4329</v>
      </c>
      <c r="D5497" s="8">
        <v>500</v>
      </c>
      <c r="E5497" s="8"/>
      <c r="F5497" s="92">
        <f t="shared" si="81"/>
        <v>8431</v>
      </c>
    </row>
    <row r="5498" spans="1:6" x14ac:dyDescent="0.25">
      <c r="A5498" s="204">
        <v>43388</v>
      </c>
      <c r="B5498" s="26" t="s">
        <v>3396</v>
      </c>
      <c r="C5498" s="26" t="s">
        <v>4330</v>
      </c>
      <c r="D5498" s="8">
        <v>500</v>
      </c>
      <c r="E5498" s="8"/>
      <c r="F5498" s="92">
        <f t="shared" si="81"/>
        <v>7931</v>
      </c>
    </row>
    <row r="5499" spans="1:6" x14ac:dyDescent="0.25">
      <c r="A5499" s="204">
        <v>43388</v>
      </c>
      <c r="B5499" s="26" t="s">
        <v>248</v>
      </c>
      <c r="C5499" s="26" t="s">
        <v>3221</v>
      </c>
      <c r="D5499" s="8">
        <v>960</v>
      </c>
      <c r="E5499" s="8"/>
      <c r="F5499" s="92">
        <f t="shared" si="81"/>
        <v>6971</v>
      </c>
    </row>
    <row r="5500" spans="1:6" x14ac:dyDescent="0.25">
      <c r="A5500" s="204">
        <v>43388</v>
      </c>
      <c r="B5500" s="26" t="s">
        <v>14</v>
      </c>
      <c r="C5500" s="26" t="s">
        <v>4327</v>
      </c>
      <c r="D5500" s="8">
        <v>1000</v>
      </c>
      <c r="E5500" s="8"/>
      <c r="F5500" s="92">
        <f t="shared" si="81"/>
        <v>5971</v>
      </c>
    </row>
    <row r="5501" spans="1:6" x14ac:dyDescent="0.25">
      <c r="A5501" s="204">
        <v>43388</v>
      </c>
      <c r="B5501" s="26" t="s">
        <v>59</v>
      </c>
      <c r="C5501" s="26" t="s">
        <v>3815</v>
      </c>
      <c r="D5501" s="8">
        <v>500</v>
      </c>
      <c r="E5501" s="8"/>
      <c r="F5501" s="92">
        <f t="shared" si="81"/>
        <v>5471</v>
      </c>
    </row>
    <row r="5502" spans="1:6" x14ac:dyDescent="0.25">
      <c r="A5502" s="204">
        <v>43388</v>
      </c>
      <c r="B5502" s="26" t="s">
        <v>4328</v>
      </c>
      <c r="C5502" s="26" t="s">
        <v>3720</v>
      </c>
      <c r="D5502" s="8">
        <v>1700</v>
      </c>
      <c r="E5502" s="8"/>
      <c r="F5502" s="92">
        <f t="shared" si="81"/>
        <v>3771</v>
      </c>
    </row>
    <row r="5503" spans="1:6" x14ac:dyDescent="0.25">
      <c r="A5503" s="204">
        <v>43389</v>
      </c>
      <c r="B5503" s="26" t="s">
        <v>1619</v>
      </c>
      <c r="C5503" s="26" t="s">
        <v>3707</v>
      </c>
      <c r="D5503" s="8">
        <v>1500</v>
      </c>
      <c r="E5503" s="8"/>
      <c r="F5503" s="92">
        <f t="shared" si="81"/>
        <v>2271</v>
      </c>
    </row>
    <row r="5504" spans="1:6" x14ac:dyDescent="0.25">
      <c r="A5504" s="204">
        <v>43389</v>
      </c>
      <c r="B5504" s="26" t="s">
        <v>3563</v>
      </c>
      <c r="C5504" s="26" t="s">
        <v>4331</v>
      </c>
      <c r="D5504" s="8">
        <v>500</v>
      </c>
      <c r="E5504" s="8"/>
      <c r="F5504" s="92">
        <f t="shared" si="81"/>
        <v>1771</v>
      </c>
    </row>
    <row r="5505" spans="1:6" ht="45" x14ac:dyDescent="0.25">
      <c r="A5505" s="204">
        <v>43389</v>
      </c>
      <c r="B5505" s="26" t="s">
        <v>1461</v>
      </c>
      <c r="C5505" s="87" t="s">
        <v>4332</v>
      </c>
      <c r="D5505" s="8">
        <f>400+60+120+200+100+400+200+20+190+40+40</f>
        <v>1770</v>
      </c>
      <c r="E5505" s="8"/>
      <c r="F5505" s="92">
        <f t="shared" si="81"/>
        <v>1</v>
      </c>
    </row>
    <row r="5506" spans="1:6" x14ac:dyDescent="0.25">
      <c r="A5506" s="204">
        <v>43390</v>
      </c>
      <c r="B5506" s="460" t="s">
        <v>4333</v>
      </c>
      <c r="C5506" s="460"/>
      <c r="D5506" s="71"/>
      <c r="E5506" s="58">
        <v>40000</v>
      </c>
      <c r="F5506" s="92">
        <f t="shared" ref="F5506:F5525" si="82">F5505-D5506+E5506</f>
        <v>40001</v>
      </c>
    </row>
    <row r="5507" spans="1:6" x14ac:dyDescent="0.25">
      <c r="A5507" s="204">
        <v>43390</v>
      </c>
      <c r="B5507" s="460" t="s">
        <v>4110</v>
      </c>
      <c r="C5507" s="460"/>
      <c r="D5507" s="71"/>
      <c r="E5507" s="58">
        <v>30000</v>
      </c>
      <c r="F5507" s="92">
        <f t="shared" si="82"/>
        <v>70001</v>
      </c>
    </row>
    <row r="5508" spans="1:6" x14ac:dyDescent="0.25">
      <c r="A5508" s="204">
        <v>43390</v>
      </c>
      <c r="B5508" s="26" t="s">
        <v>2099</v>
      </c>
      <c r="C5508" s="26" t="s">
        <v>295</v>
      </c>
      <c r="D5508" s="8">
        <v>15000</v>
      </c>
      <c r="E5508" s="8"/>
      <c r="F5508" s="92">
        <f t="shared" si="82"/>
        <v>55001</v>
      </c>
    </row>
    <row r="5509" spans="1:6" x14ac:dyDescent="0.25">
      <c r="A5509" s="204">
        <v>43390</v>
      </c>
      <c r="B5509" s="26" t="s">
        <v>59</v>
      </c>
      <c r="C5509" s="26" t="s">
        <v>3146</v>
      </c>
      <c r="D5509" s="8">
        <v>15000</v>
      </c>
      <c r="E5509" s="8"/>
      <c r="F5509" s="92">
        <f t="shared" si="82"/>
        <v>40001</v>
      </c>
    </row>
    <row r="5510" spans="1:6" x14ac:dyDescent="0.25">
      <c r="A5510" s="204">
        <v>43390</v>
      </c>
      <c r="B5510" s="26" t="s">
        <v>4261</v>
      </c>
      <c r="C5510" s="26" t="s">
        <v>41</v>
      </c>
      <c r="D5510" s="8">
        <v>5000</v>
      </c>
      <c r="E5510" s="8"/>
      <c r="F5510" s="92">
        <f t="shared" si="82"/>
        <v>35001</v>
      </c>
    </row>
    <row r="5511" spans="1:6" x14ac:dyDescent="0.25">
      <c r="A5511" s="204">
        <v>43390</v>
      </c>
      <c r="B5511" s="26" t="s">
        <v>0</v>
      </c>
      <c r="C5511" s="26" t="s">
        <v>4334</v>
      </c>
      <c r="D5511" s="8">
        <v>10000</v>
      </c>
      <c r="E5511" s="8"/>
      <c r="F5511" s="92">
        <f t="shared" si="82"/>
        <v>25001</v>
      </c>
    </row>
    <row r="5512" spans="1:6" x14ac:dyDescent="0.25">
      <c r="A5512" s="204">
        <v>43391</v>
      </c>
      <c r="B5512" s="26" t="s">
        <v>85</v>
      </c>
      <c r="C5512" s="26" t="s">
        <v>4335</v>
      </c>
      <c r="D5512" s="8">
        <v>500</v>
      </c>
      <c r="E5512" s="8"/>
      <c r="F5512" s="92">
        <f t="shared" si="82"/>
        <v>24501</v>
      </c>
    </row>
    <row r="5513" spans="1:6" x14ac:dyDescent="0.25">
      <c r="A5513" s="204">
        <v>43391</v>
      </c>
      <c r="B5513" s="26" t="s">
        <v>85</v>
      </c>
      <c r="C5513" s="26" t="s">
        <v>4336</v>
      </c>
      <c r="D5513" s="8">
        <v>500</v>
      </c>
      <c r="E5513" s="8"/>
      <c r="F5513" s="92">
        <f t="shared" si="82"/>
        <v>24001</v>
      </c>
    </row>
    <row r="5514" spans="1:6" x14ac:dyDescent="0.25">
      <c r="A5514" s="204">
        <v>43391</v>
      </c>
      <c r="B5514" s="26" t="s">
        <v>3829</v>
      </c>
      <c r="C5514" s="26" t="s">
        <v>3146</v>
      </c>
      <c r="D5514" s="8">
        <v>6000</v>
      </c>
      <c r="E5514" s="8"/>
      <c r="F5514" s="92">
        <f t="shared" si="82"/>
        <v>18001</v>
      </c>
    </row>
    <row r="5515" spans="1:6" x14ac:dyDescent="0.25">
      <c r="A5515" s="204">
        <v>43391</v>
      </c>
      <c r="B5515" s="26" t="s">
        <v>3738</v>
      </c>
      <c r="C5515" s="26" t="s">
        <v>4273</v>
      </c>
      <c r="D5515" s="8">
        <v>1200</v>
      </c>
      <c r="E5515" s="8"/>
      <c r="F5515" s="92">
        <f t="shared" si="82"/>
        <v>16801</v>
      </c>
    </row>
    <row r="5516" spans="1:6" x14ac:dyDescent="0.25">
      <c r="A5516" s="204">
        <v>43391</v>
      </c>
      <c r="B5516" s="26" t="s">
        <v>3396</v>
      </c>
      <c r="C5516" s="26" t="s">
        <v>4330</v>
      </c>
      <c r="D5516" s="8">
        <v>500</v>
      </c>
      <c r="E5516" s="8"/>
      <c r="F5516" s="92">
        <f t="shared" si="82"/>
        <v>16301</v>
      </c>
    </row>
    <row r="5517" spans="1:6" x14ac:dyDescent="0.25">
      <c r="A5517" s="204">
        <v>43391</v>
      </c>
      <c r="B5517" s="29" t="s">
        <v>59</v>
      </c>
      <c r="C5517" s="29" t="s">
        <v>4337</v>
      </c>
      <c r="D5517" s="8">
        <v>4000</v>
      </c>
      <c r="E5517" s="8"/>
      <c r="F5517" s="92">
        <f t="shared" si="82"/>
        <v>12301</v>
      </c>
    </row>
    <row r="5518" spans="1:6" x14ac:dyDescent="0.25">
      <c r="A5518" s="204">
        <v>43391</v>
      </c>
      <c r="B5518" s="26" t="s">
        <v>11</v>
      </c>
      <c r="C5518" s="26" t="s">
        <v>4338</v>
      </c>
      <c r="D5518" s="8">
        <v>2000</v>
      </c>
      <c r="E5518" s="8"/>
      <c r="F5518" s="92">
        <f t="shared" si="82"/>
        <v>10301</v>
      </c>
    </row>
    <row r="5519" spans="1:6" x14ac:dyDescent="0.25">
      <c r="A5519" s="204">
        <v>43391</v>
      </c>
      <c r="B5519" s="26" t="s">
        <v>2351</v>
      </c>
      <c r="C5519" s="26" t="s">
        <v>4339</v>
      </c>
      <c r="D5519" s="8">
        <v>1500</v>
      </c>
      <c r="E5519" s="8"/>
      <c r="F5519" s="92">
        <f t="shared" si="82"/>
        <v>8801</v>
      </c>
    </row>
    <row r="5520" spans="1:6" x14ac:dyDescent="0.25">
      <c r="A5520" s="204">
        <v>43391</v>
      </c>
      <c r="B5520" s="26" t="s">
        <v>85</v>
      </c>
      <c r="C5520" s="26" t="s">
        <v>4340</v>
      </c>
      <c r="D5520" s="8">
        <v>3000</v>
      </c>
      <c r="E5520" s="8"/>
      <c r="F5520" s="92">
        <f t="shared" si="82"/>
        <v>5801</v>
      </c>
    </row>
    <row r="5521" spans="1:6" x14ac:dyDescent="0.25">
      <c r="A5521" s="204">
        <v>43391</v>
      </c>
      <c r="B5521" s="26" t="s">
        <v>85</v>
      </c>
      <c r="C5521" s="29" t="s">
        <v>4341</v>
      </c>
      <c r="D5521" s="8">
        <v>3000</v>
      </c>
      <c r="E5521" s="8"/>
      <c r="F5521" s="92">
        <f t="shared" si="82"/>
        <v>2801</v>
      </c>
    </row>
    <row r="5522" spans="1:6" x14ac:dyDescent="0.25">
      <c r="A5522" s="204">
        <v>43393</v>
      </c>
      <c r="B5522" s="26" t="s">
        <v>57</v>
      </c>
      <c r="C5522" s="26" t="s">
        <v>2016</v>
      </c>
      <c r="D5522" s="8">
        <v>100</v>
      </c>
      <c r="E5522" s="8"/>
      <c r="F5522" s="92">
        <f t="shared" si="82"/>
        <v>2701</v>
      </c>
    </row>
    <row r="5523" spans="1:6" x14ac:dyDescent="0.25">
      <c r="A5523" s="204">
        <v>43393</v>
      </c>
      <c r="B5523" s="26" t="s">
        <v>2089</v>
      </c>
      <c r="C5523" s="26" t="s">
        <v>4342</v>
      </c>
      <c r="D5523" s="8">
        <f>690+50</f>
        <v>740</v>
      </c>
      <c r="E5523" s="8"/>
      <c r="F5523" s="92">
        <f t="shared" si="82"/>
        <v>1961</v>
      </c>
    </row>
    <row r="5524" spans="1:6" x14ac:dyDescent="0.25">
      <c r="A5524" s="204">
        <v>43393</v>
      </c>
      <c r="B5524" s="26" t="s">
        <v>3563</v>
      </c>
      <c r="C5524" s="26" t="s">
        <v>3446</v>
      </c>
      <c r="D5524" s="8">
        <v>500</v>
      </c>
      <c r="E5524" s="8"/>
      <c r="F5524" s="92">
        <f t="shared" si="82"/>
        <v>1461</v>
      </c>
    </row>
    <row r="5525" spans="1:6" x14ac:dyDescent="0.25">
      <c r="A5525" s="204">
        <v>43393</v>
      </c>
      <c r="B5525" s="26" t="s">
        <v>26</v>
      </c>
      <c r="C5525" s="26" t="s">
        <v>4343</v>
      </c>
      <c r="D5525" s="8">
        <f>260+50+120+50+60+60+70+50+20+80+110+120+210</f>
        <v>1260</v>
      </c>
      <c r="E5525" s="8"/>
      <c r="F5525" s="92">
        <f t="shared" si="82"/>
        <v>201</v>
      </c>
    </row>
    <row r="5526" spans="1:6" x14ac:dyDescent="0.25">
      <c r="A5526" s="204">
        <v>43395</v>
      </c>
      <c r="B5526" s="460" t="s">
        <v>4333</v>
      </c>
      <c r="C5526" s="460"/>
      <c r="D5526" s="71"/>
      <c r="E5526" s="58">
        <v>100000</v>
      </c>
      <c r="F5526" s="92">
        <f t="shared" ref="F5526:F5544" si="83">F5525-D5526+E5526</f>
        <v>100201</v>
      </c>
    </row>
    <row r="5527" spans="1:6" x14ac:dyDescent="0.25">
      <c r="A5527" s="204">
        <v>43395</v>
      </c>
      <c r="B5527" s="26" t="s">
        <v>111</v>
      </c>
      <c r="C5527" s="26" t="s">
        <v>2131</v>
      </c>
      <c r="D5527" s="8">
        <v>5000</v>
      </c>
      <c r="E5527" s="8"/>
      <c r="F5527" s="92">
        <f t="shared" si="83"/>
        <v>95201</v>
      </c>
    </row>
    <row r="5528" spans="1:6" x14ac:dyDescent="0.25">
      <c r="A5528" s="204">
        <v>43395</v>
      </c>
      <c r="B5528" s="29" t="s">
        <v>3141</v>
      </c>
      <c r="C5528" s="29" t="s">
        <v>4344</v>
      </c>
      <c r="D5528" s="8">
        <v>47082</v>
      </c>
      <c r="E5528" s="8"/>
      <c r="F5528" s="92">
        <f t="shared" si="83"/>
        <v>48119</v>
      </c>
    </row>
    <row r="5529" spans="1:6" x14ac:dyDescent="0.25">
      <c r="A5529" s="204">
        <v>43395</v>
      </c>
      <c r="B5529" s="29" t="s">
        <v>55</v>
      </c>
      <c r="C5529" s="29" t="s">
        <v>4345</v>
      </c>
      <c r="D5529" s="8">
        <v>15680</v>
      </c>
      <c r="E5529" s="8"/>
      <c r="F5529" s="92">
        <f t="shared" si="83"/>
        <v>32439</v>
      </c>
    </row>
    <row r="5530" spans="1:6" x14ac:dyDescent="0.25">
      <c r="A5530" s="204">
        <v>43395</v>
      </c>
      <c r="B5530" s="26" t="s">
        <v>542</v>
      </c>
      <c r="C5530" s="26" t="s">
        <v>4346</v>
      </c>
      <c r="D5530" s="8">
        <v>5440</v>
      </c>
      <c r="E5530" s="8"/>
      <c r="F5530" s="92">
        <f t="shared" si="83"/>
        <v>26999</v>
      </c>
    </row>
    <row r="5531" spans="1:6" x14ac:dyDescent="0.25">
      <c r="A5531" s="204">
        <v>43395</v>
      </c>
      <c r="B5531" s="26" t="s">
        <v>4037</v>
      </c>
      <c r="C5531" s="26" t="s">
        <v>3109</v>
      </c>
      <c r="D5531" s="8">
        <v>1300</v>
      </c>
      <c r="E5531" s="8"/>
      <c r="F5531" s="92">
        <f t="shared" si="83"/>
        <v>25699</v>
      </c>
    </row>
    <row r="5532" spans="1:6" x14ac:dyDescent="0.25">
      <c r="A5532" s="204">
        <v>43396</v>
      </c>
      <c r="B5532" s="26" t="s">
        <v>57</v>
      </c>
      <c r="C5532" s="26" t="s">
        <v>4683</v>
      </c>
      <c r="D5532" s="8">
        <v>1500</v>
      </c>
      <c r="E5532" s="8"/>
      <c r="F5532" s="92">
        <f t="shared" si="83"/>
        <v>24199</v>
      </c>
    </row>
    <row r="5533" spans="1:6" x14ac:dyDescent="0.25">
      <c r="A5533" s="204">
        <v>43396</v>
      </c>
      <c r="B5533" s="26" t="s">
        <v>4040</v>
      </c>
      <c r="C5533" s="26" t="s">
        <v>4347</v>
      </c>
      <c r="D5533" s="8">
        <v>2000</v>
      </c>
      <c r="E5533" s="8"/>
      <c r="F5533" s="92">
        <f t="shared" si="83"/>
        <v>22199</v>
      </c>
    </row>
    <row r="5534" spans="1:6" x14ac:dyDescent="0.25">
      <c r="A5534" s="204">
        <v>43396</v>
      </c>
      <c r="B5534" s="26" t="s">
        <v>2951</v>
      </c>
      <c r="C5534" s="26" t="s">
        <v>3631</v>
      </c>
      <c r="D5534" s="8">
        <v>4720</v>
      </c>
      <c r="E5534" s="8"/>
      <c r="F5534" s="92">
        <f t="shared" si="83"/>
        <v>17479</v>
      </c>
    </row>
    <row r="5535" spans="1:6" x14ac:dyDescent="0.25">
      <c r="A5535" s="204">
        <v>43396</v>
      </c>
      <c r="B5535" s="26" t="s">
        <v>85</v>
      </c>
      <c r="C5535" s="26" t="s">
        <v>4348</v>
      </c>
      <c r="D5535" s="8">
        <v>1000</v>
      </c>
      <c r="E5535" s="8"/>
      <c r="F5535" s="92">
        <f t="shared" si="83"/>
        <v>16479</v>
      </c>
    </row>
    <row r="5536" spans="1:6" x14ac:dyDescent="0.25">
      <c r="A5536" s="204">
        <v>43397</v>
      </c>
      <c r="B5536" s="26" t="s">
        <v>3829</v>
      </c>
      <c r="C5536" s="26" t="s">
        <v>4191</v>
      </c>
      <c r="D5536" s="8">
        <v>11000</v>
      </c>
      <c r="E5536" s="8"/>
      <c r="F5536" s="92">
        <f t="shared" si="83"/>
        <v>5479</v>
      </c>
    </row>
    <row r="5537" spans="1:6" x14ac:dyDescent="0.25">
      <c r="A5537" s="204">
        <v>43397</v>
      </c>
      <c r="B5537" s="26" t="s">
        <v>2349</v>
      </c>
      <c r="C5537" s="26" t="s">
        <v>4349</v>
      </c>
      <c r="D5537" s="8">
        <v>1200</v>
      </c>
      <c r="E5537" s="8"/>
      <c r="F5537" s="92">
        <f t="shared" si="83"/>
        <v>4279</v>
      </c>
    </row>
    <row r="5538" spans="1:6" x14ac:dyDescent="0.25">
      <c r="A5538" s="204">
        <v>43398</v>
      </c>
      <c r="B5538" s="26" t="s">
        <v>26</v>
      </c>
      <c r="C5538" s="26" t="s">
        <v>4350</v>
      </c>
      <c r="D5538" s="8">
        <f>180+60+45+120+60+40+110+120+750</f>
        <v>1485</v>
      </c>
      <c r="E5538" s="8"/>
      <c r="F5538" s="92">
        <f t="shared" si="83"/>
        <v>2794</v>
      </c>
    </row>
    <row r="5539" spans="1:6" x14ac:dyDescent="0.25">
      <c r="A5539" s="204">
        <v>43398</v>
      </c>
      <c r="B5539" s="26" t="s">
        <v>2677</v>
      </c>
      <c r="C5539" s="26" t="s">
        <v>3221</v>
      </c>
      <c r="D5539" s="8">
        <v>480</v>
      </c>
      <c r="E5539" s="8"/>
      <c r="F5539" s="92">
        <f t="shared" si="83"/>
        <v>2314</v>
      </c>
    </row>
    <row r="5540" spans="1:6" x14ac:dyDescent="0.25">
      <c r="A5540" s="204">
        <v>43398</v>
      </c>
      <c r="B5540" s="26" t="s">
        <v>2677</v>
      </c>
      <c r="C5540" s="26" t="s">
        <v>3950</v>
      </c>
      <c r="D5540" s="8">
        <v>300</v>
      </c>
      <c r="E5540" s="8"/>
      <c r="F5540" s="92">
        <f t="shared" si="83"/>
        <v>2014</v>
      </c>
    </row>
    <row r="5541" spans="1:6" x14ac:dyDescent="0.25">
      <c r="A5541" s="204">
        <v>43398</v>
      </c>
      <c r="B5541" s="26" t="s">
        <v>2677</v>
      </c>
      <c r="C5541" s="26" t="s">
        <v>4351</v>
      </c>
      <c r="D5541" s="8">
        <v>120</v>
      </c>
      <c r="E5541" s="8"/>
      <c r="F5541" s="92">
        <f t="shared" si="83"/>
        <v>1894</v>
      </c>
    </row>
    <row r="5542" spans="1:6" x14ac:dyDescent="0.25">
      <c r="A5542" s="204">
        <v>43398</v>
      </c>
      <c r="B5542" s="26" t="s">
        <v>26</v>
      </c>
      <c r="C5542" s="26" t="s">
        <v>4352</v>
      </c>
      <c r="D5542" s="8">
        <f>360+318</f>
        <v>678</v>
      </c>
      <c r="E5542" s="8"/>
      <c r="F5542" s="92">
        <f t="shared" si="83"/>
        <v>1216</v>
      </c>
    </row>
    <row r="5543" spans="1:6" x14ac:dyDescent="0.25">
      <c r="A5543" s="204">
        <v>43398</v>
      </c>
      <c r="B5543" s="26" t="s">
        <v>3628</v>
      </c>
      <c r="C5543" s="26" t="s">
        <v>4353</v>
      </c>
      <c r="D5543" s="8">
        <v>320</v>
      </c>
      <c r="E5543" s="8"/>
      <c r="F5543" s="92">
        <f t="shared" si="83"/>
        <v>896</v>
      </c>
    </row>
    <row r="5544" spans="1:6" x14ac:dyDescent="0.25">
      <c r="A5544" s="204">
        <v>43398</v>
      </c>
      <c r="B5544" s="26" t="s">
        <v>17</v>
      </c>
      <c r="C5544" s="26" t="s">
        <v>1533</v>
      </c>
      <c r="D5544" s="8">
        <v>100</v>
      </c>
      <c r="E5544" s="8"/>
      <c r="F5544" s="92">
        <f t="shared" si="83"/>
        <v>796</v>
      </c>
    </row>
    <row r="5545" spans="1:6" x14ac:dyDescent="0.25">
      <c r="A5545" s="204">
        <v>43399</v>
      </c>
      <c r="B5545" s="460" t="s">
        <v>4333</v>
      </c>
      <c r="C5545" s="460"/>
      <c r="D5545" s="71"/>
      <c r="E5545" s="58">
        <v>25000</v>
      </c>
      <c r="F5545" s="92">
        <f t="shared" ref="F5545:F5561" si="84">F5544-D5545+E5545</f>
        <v>25796</v>
      </c>
    </row>
    <row r="5546" spans="1:6" x14ac:dyDescent="0.25">
      <c r="A5546" s="204">
        <v>43399</v>
      </c>
      <c r="B5546" s="29" t="s">
        <v>2597</v>
      </c>
      <c r="C5546" s="29" t="s">
        <v>4354</v>
      </c>
      <c r="D5546" s="8">
        <v>10000</v>
      </c>
      <c r="E5546" s="8"/>
      <c r="F5546" s="92">
        <f t="shared" si="84"/>
        <v>15796</v>
      </c>
    </row>
    <row r="5547" spans="1:6" x14ac:dyDescent="0.25">
      <c r="A5547" s="204">
        <v>43399</v>
      </c>
      <c r="B5547" s="29" t="s">
        <v>111</v>
      </c>
      <c r="C5547" s="29" t="s">
        <v>4355</v>
      </c>
      <c r="D5547" s="8">
        <v>8400</v>
      </c>
      <c r="E5547" s="8"/>
      <c r="F5547" s="92">
        <f t="shared" si="84"/>
        <v>7396</v>
      </c>
    </row>
    <row r="5548" spans="1:6" x14ac:dyDescent="0.25">
      <c r="A5548" s="204">
        <v>43399</v>
      </c>
      <c r="B5548" s="29" t="s">
        <v>4356</v>
      </c>
      <c r="C5548" s="29" t="s">
        <v>41</v>
      </c>
      <c r="D5548" s="8">
        <v>5000</v>
      </c>
      <c r="E5548" s="8"/>
      <c r="F5548" s="92">
        <f t="shared" si="84"/>
        <v>2396</v>
      </c>
    </row>
    <row r="5549" spans="1:6" x14ac:dyDescent="0.25">
      <c r="A5549" s="204">
        <v>43399</v>
      </c>
      <c r="B5549" s="29" t="s">
        <v>1619</v>
      </c>
      <c r="C5549" s="29" t="s">
        <v>641</v>
      </c>
      <c r="D5549" s="8">
        <v>520</v>
      </c>
      <c r="E5549" s="8"/>
      <c r="F5549" s="92">
        <f t="shared" si="84"/>
        <v>1876</v>
      </c>
    </row>
    <row r="5550" spans="1:6" x14ac:dyDescent="0.25">
      <c r="A5550" s="204">
        <v>43405</v>
      </c>
      <c r="B5550" s="460" t="s">
        <v>4357</v>
      </c>
      <c r="C5550" s="460"/>
      <c r="D5550" s="71"/>
      <c r="E5550" s="58">
        <v>1000</v>
      </c>
      <c r="F5550" s="92">
        <f t="shared" si="84"/>
        <v>2876</v>
      </c>
    </row>
    <row r="5551" spans="1:6" x14ac:dyDescent="0.25">
      <c r="A5551" s="204">
        <v>43405</v>
      </c>
      <c r="B5551" s="29" t="s">
        <v>3738</v>
      </c>
      <c r="C5551" s="29" t="s">
        <v>85</v>
      </c>
      <c r="D5551" s="8">
        <v>800</v>
      </c>
      <c r="E5551" s="8"/>
      <c r="F5551" s="92">
        <f t="shared" si="84"/>
        <v>2076</v>
      </c>
    </row>
    <row r="5552" spans="1:6" x14ac:dyDescent="0.25">
      <c r="A5552" s="204">
        <v>43407</v>
      </c>
      <c r="B5552" s="29" t="s">
        <v>14</v>
      </c>
      <c r="C5552" s="29" t="s">
        <v>641</v>
      </c>
      <c r="D5552" s="8">
        <v>500</v>
      </c>
      <c r="E5552" s="8"/>
      <c r="F5552" s="92">
        <f t="shared" si="84"/>
        <v>1576</v>
      </c>
    </row>
    <row r="5553" spans="1:6" x14ac:dyDescent="0.25">
      <c r="A5553" s="204">
        <v>43407</v>
      </c>
      <c r="B5553" s="26" t="s">
        <v>1461</v>
      </c>
      <c r="C5553" s="26" t="s">
        <v>4358</v>
      </c>
      <c r="D5553" s="8">
        <f>50+40+50+380+70+70+45+65+180+400+120+30+70</f>
        <v>1570</v>
      </c>
      <c r="E5553" s="8"/>
      <c r="F5553" s="92">
        <f t="shared" si="84"/>
        <v>6</v>
      </c>
    </row>
    <row r="5554" spans="1:6" x14ac:dyDescent="0.25">
      <c r="A5554" s="204">
        <v>43416</v>
      </c>
      <c r="B5554" s="460" t="s">
        <v>3448</v>
      </c>
      <c r="C5554" s="460"/>
      <c r="D5554" s="71"/>
      <c r="E5554" s="58">
        <v>100000</v>
      </c>
      <c r="F5554" s="92">
        <f t="shared" si="84"/>
        <v>100006</v>
      </c>
    </row>
    <row r="5555" spans="1:6" x14ac:dyDescent="0.25">
      <c r="A5555" s="204">
        <v>43416</v>
      </c>
      <c r="B5555" s="26" t="s">
        <v>2597</v>
      </c>
      <c r="C5555" s="26" t="s">
        <v>4393</v>
      </c>
      <c r="D5555" s="8">
        <f>11000</f>
        <v>11000</v>
      </c>
      <c r="E5555" s="8"/>
      <c r="F5555" s="92">
        <f t="shared" si="84"/>
        <v>89006</v>
      </c>
    </row>
    <row r="5556" spans="1:6" x14ac:dyDescent="0.25">
      <c r="A5556" s="204">
        <v>43416</v>
      </c>
      <c r="B5556" s="26" t="s">
        <v>2597</v>
      </c>
      <c r="C5556" s="26" t="s">
        <v>4363</v>
      </c>
      <c r="D5556" s="8">
        <v>5000</v>
      </c>
      <c r="E5556" s="8"/>
      <c r="F5556" s="92">
        <f>F5555-D5556+E5556</f>
        <v>84006</v>
      </c>
    </row>
    <row r="5557" spans="1:6" x14ac:dyDescent="0.25">
      <c r="A5557" s="204">
        <v>43416</v>
      </c>
      <c r="B5557" s="26" t="s">
        <v>55</v>
      </c>
      <c r="C5557" s="26" t="s">
        <v>4394</v>
      </c>
      <c r="D5557" s="8">
        <v>57200</v>
      </c>
      <c r="E5557" s="8"/>
      <c r="F5557" s="92">
        <f>F5556-D5557+E5557</f>
        <v>26806</v>
      </c>
    </row>
    <row r="5558" spans="1:6" x14ac:dyDescent="0.25">
      <c r="A5558" s="204">
        <v>43416</v>
      </c>
      <c r="B5558" s="26" t="s">
        <v>4361</v>
      </c>
      <c r="C5558" s="26" t="s">
        <v>4359</v>
      </c>
      <c r="D5558" s="8">
        <v>20000</v>
      </c>
      <c r="E5558" s="8"/>
      <c r="F5558" s="92">
        <f t="shared" si="84"/>
        <v>6806</v>
      </c>
    </row>
    <row r="5559" spans="1:6" x14ac:dyDescent="0.25">
      <c r="A5559" s="204">
        <v>43416</v>
      </c>
      <c r="B5559" s="26" t="s">
        <v>1515</v>
      </c>
      <c r="C5559" s="26" t="s">
        <v>4360</v>
      </c>
      <c r="D5559" s="8">
        <v>3000</v>
      </c>
      <c r="E5559" s="8"/>
      <c r="F5559" s="92">
        <f t="shared" si="84"/>
        <v>3806</v>
      </c>
    </row>
    <row r="5560" spans="1:6" ht="30" x14ac:dyDescent="0.25">
      <c r="A5560" s="204">
        <v>43417</v>
      </c>
      <c r="B5560" s="26" t="s">
        <v>26</v>
      </c>
      <c r="C5560" s="87" t="s">
        <v>4372</v>
      </c>
      <c r="D5560" s="8">
        <f>90+20+45+210+20+50+170+210+30+30+100+100+170+210+130+560+50</f>
        <v>2195</v>
      </c>
      <c r="E5560" s="8"/>
      <c r="F5560" s="92">
        <f t="shared" si="84"/>
        <v>1611</v>
      </c>
    </row>
    <row r="5561" spans="1:6" x14ac:dyDescent="0.25">
      <c r="A5561" s="204">
        <v>43417</v>
      </c>
      <c r="B5561" s="26" t="s">
        <v>26</v>
      </c>
      <c r="C5561" s="26" t="s">
        <v>4362</v>
      </c>
      <c r="D5561" s="8">
        <v>1600</v>
      </c>
      <c r="E5561" s="8"/>
      <c r="F5561" s="92">
        <f t="shared" si="84"/>
        <v>11</v>
      </c>
    </row>
    <row r="5562" spans="1:6" x14ac:dyDescent="0.25">
      <c r="A5562" s="204">
        <v>43417</v>
      </c>
      <c r="B5562" s="460" t="s">
        <v>3448</v>
      </c>
      <c r="C5562" s="460"/>
      <c r="D5562" s="71"/>
      <c r="E5562" s="58">
        <v>100000</v>
      </c>
      <c r="F5562" s="92">
        <f t="shared" ref="F5562:F5577" si="85">F5561-D5562+E5562</f>
        <v>100011</v>
      </c>
    </row>
    <row r="5563" spans="1:6" x14ac:dyDescent="0.25">
      <c r="A5563" s="204">
        <v>43417</v>
      </c>
      <c r="B5563" s="26" t="s">
        <v>17</v>
      </c>
      <c r="C5563" s="26" t="s">
        <v>4378</v>
      </c>
      <c r="D5563" s="8">
        <v>50000</v>
      </c>
      <c r="E5563" s="8"/>
      <c r="F5563" s="92">
        <f t="shared" si="85"/>
        <v>50011</v>
      </c>
    </row>
    <row r="5564" spans="1:6" x14ac:dyDescent="0.25">
      <c r="A5564" s="204">
        <v>43417</v>
      </c>
      <c r="B5564" s="26" t="s">
        <v>2597</v>
      </c>
      <c r="C5564" s="26" t="s">
        <v>4375</v>
      </c>
      <c r="D5564" s="8">
        <v>1000</v>
      </c>
      <c r="E5564" s="8"/>
      <c r="F5564" s="92">
        <f t="shared" si="85"/>
        <v>49011</v>
      </c>
    </row>
    <row r="5565" spans="1:6" x14ac:dyDescent="0.25">
      <c r="A5565" s="204">
        <v>43417</v>
      </c>
      <c r="B5565" s="26" t="s">
        <v>85</v>
      </c>
      <c r="C5565" s="26" t="s">
        <v>4373</v>
      </c>
      <c r="D5565" s="8">
        <v>20000</v>
      </c>
      <c r="E5565" s="8"/>
      <c r="F5565" s="92">
        <f t="shared" si="85"/>
        <v>29011</v>
      </c>
    </row>
    <row r="5566" spans="1:6" x14ac:dyDescent="0.25">
      <c r="A5566" s="204">
        <v>43417</v>
      </c>
      <c r="B5566" s="26" t="s">
        <v>2349</v>
      </c>
      <c r="C5566" s="26" t="s">
        <v>4371</v>
      </c>
      <c r="D5566" s="8">
        <v>1000</v>
      </c>
      <c r="E5566" s="8"/>
      <c r="F5566" s="92">
        <f t="shared" si="85"/>
        <v>28011</v>
      </c>
    </row>
    <row r="5567" spans="1:6" x14ac:dyDescent="0.25">
      <c r="A5567" s="204">
        <v>43418</v>
      </c>
      <c r="B5567" s="26" t="s">
        <v>2597</v>
      </c>
      <c r="C5567" s="26" t="s">
        <v>4374</v>
      </c>
      <c r="D5567" s="8">
        <v>12000</v>
      </c>
      <c r="E5567" s="8"/>
      <c r="F5567" s="92">
        <f t="shared" si="85"/>
        <v>16011</v>
      </c>
    </row>
    <row r="5568" spans="1:6" x14ac:dyDescent="0.25">
      <c r="A5568" s="204">
        <v>43418</v>
      </c>
      <c r="B5568" s="26" t="s">
        <v>85</v>
      </c>
      <c r="C5568" s="26" t="s">
        <v>4376</v>
      </c>
      <c r="D5568" s="8">
        <v>5000</v>
      </c>
      <c r="E5568" s="8"/>
      <c r="F5568" s="92">
        <f t="shared" si="85"/>
        <v>11011</v>
      </c>
    </row>
    <row r="5569" spans="1:11" x14ac:dyDescent="0.25">
      <c r="A5569" s="204">
        <v>43418</v>
      </c>
      <c r="B5569" s="26" t="s">
        <v>1790</v>
      </c>
      <c r="C5569" s="26" t="s">
        <v>4377</v>
      </c>
      <c r="D5569" s="8">
        <v>1000</v>
      </c>
      <c r="E5569" s="8"/>
      <c r="F5569" s="92">
        <f t="shared" si="85"/>
        <v>10011</v>
      </c>
    </row>
    <row r="5570" spans="1:11" x14ac:dyDescent="0.25">
      <c r="A5570" s="204">
        <v>43419</v>
      </c>
      <c r="B5570" s="26" t="s">
        <v>111</v>
      </c>
      <c r="C5570" s="26" t="s">
        <v>641</v>
      </c>
      <c r="D5570" s="8">
        <v>2000</v>
      </c>
      <c r="E5570" s="8"/>
      <c r="F5570" s="92">
        <f t="shared" si="85"/>
        <v>8011</v>
      </c>
    </row>
    <row r="5571" spans="1:11" x14ac:dyDescent="0.25">
      <c r="A5571" s="204">
        <v>43419</v>
      </c>
      <c r="B5571" s="26" t="s">
        <v>4379</v>
      </c>
      <c r="C5571" s="26" t="s">
        <v>4380</v>
      </c>
      <c r="D5571" s="8">
        <v>1500</v>
      </c>
      <c r="E5571" s="8"/>
      <c r="F5571" s="92">
        <f t="shared" si="85"/>
        <v>6511</v>
      </c>
    </row>
    <row r="5572" spans="1:11" x14ac:dyDescent="0.25">
      <c r="A5572" s="204">
        <v>43420</v>
      </c>
      <c r="B5572" s="26" t="s">
        <v>17</v>
      </c>
      <c r="C5572" s="26" t="s">
        <v>4381</v>
      </c>
      <c r="D5572" s="8">
        <v>600</v>
      </c>
      <c r="E5572" s="8"/>
      <c r="F5572" s="92">
        <f t="shared" si="85"/>
        <v>5911</v>
      </c>
    </row>
    <row r="5573" spans="1:11" x14ac:dyDescent="0.25">
      <c r="A5573" s="204">
        <v>43420</v>
      </c>
      <c r="B5573" s="26" t="s">
        <v>2597</v>
      </c>
      <c r="C5573" s="26" t="s">
        <v>4382</v>
      </c>
      <c r="D5573" s="8">
        <v>400</v>
      </c>
      <c r="E5573" s="8"/>
      <c r="F5573" s="92">
        <f t="shared" si="85"/>
        <v>5511</v>
      </c>
      <c r="K5573" s="25"/>
    </row>
    <row r="5574" spans="1:11" x14ac:dyDescent="0.25">
      <c r="A5574" s="204">
        <v>43420</v>
      </c>
      <c r="B5574" s="26" t="s">
        <v>248</v>
      </c>
      <c r="C5574" s="26" t="s">
        <v>2016</v>
      </c>
      <c r="D5574" s="8">
        <v>100</v>
      </c>
      <c r="E5574" s="8"/>
      <c r="F5574" s="92">
        <f t="shared" si="85"/>
        <v>5411</v>
      </c>
      <c r="K5574" s="10"/>
    </row>
    <row r="5575" spans="1:11" x14ac:dyDescent="0.25">
      <c r="A5575" s="204">
        <v>43420</v>
      </c>
      <c r="B5575" s="26" t="s">
        <v>26</v>
      </c>
      <c r="C5575" s="26" t="s">
        <v>4383</v>
      </c>
      <c r="D5575" s="8">
        <f>45+50+80+200+50+200+50</f>
        <v>675</v>
      </c>
      <c r="E5575" s="8"/>
      <c r="F5575" s="92">
        <f t="shared" si="85"/>
        <v>4736</v>
      </c>
    </row>
    <row r="5576" spans="1:11" x14ac:dyDescent="0.25">
      <c r="A5576" s="204">
        <v>43420</v>
      </c>
      <c r="B5576" s="26" t="s">
        <v>2597</v>
      </c>
      <c r="C5576" s="26" t="s">
        <v>4385</v>
      </c>
      <c r="D5576" s="8">
        <v>2350</v>
      </c>
      <c r="E5576" s="8"/>
      <c r="F5576" s="92">
        <f t="shared" si="85"/>
        <v>2386</v>
      </c>
    </row>
    <row r="5577" spans="1:11" x14ac:dyDescent="0.25">
      <c r="A5577" s="204">
        <v>43420</v>
      </c>
      <c r="B5577" s="26" t="s">
        <v>2349</v>
      </c>
      <c r="C5577" s="26" t="s">
        <v>4384</v>
      </c>
      <c r="D5577" s="8">
        <v>1500</v>
      </c>
      <c r="E5577" s="8"/>
      <c r="F5577" s="92">
        <f t="shared" si="85"/>
        <v>886</v>
      </c>
    </row>
    <row r="5578" spans="1:11" x14ac:dyDescent="0.25">
      <c r="A5578" s="204">
        <v>43420</v>
      </c>
      <c r="B5578" s="460" t="s">
        <v>2963</v>
      </c>
      <c r="C5578" s="460"/>
      <c r="D5578" s="71"/>
      <c r="E5578" s="58">
        <v>10000</v>
      </c>
      <c r="F5578" s="92">
        <f>F5577-D5578+E5578</f>
        <v>10886</v>
      </c>
    </row>
    <row r="5579" spans="1:11" x14ac:dyDescent="0.25">
      <c r="A5579" s="204">
        <v>43420</v>
      </c>
      <c r="B5579" s="26" t="s">
        <v>2597</v>
      </c>
      <c r="C5579" s="26" t="s">
        <v>3146</v>
      </c>
      <c r="D5579" s="8">
        <v>7000</v>
      </c>
      <c r="E5579" s="8"/>
      <c r="F5579" s="92">
        <f>F5578-D5579+E5579</f>
        <v>3886</v>
      </c>
    </row>
    <row r="5580" spans="1:11" x14ac:dyDescent="0.25">
      <c r="A5580" s="204">
        <v>43420</v>
      </c>
      <c r="B5580" s="26" t="s">
        <v>3563</v>
      </c>
      <c r="C5580" s="26" t="s">
        <v>4386</v>
      </c>
      <c r="D5580" s="8">
        <v>590</v>
      </c>
      <c r="E5580" s="8"/>
      <c r="F5580" s="92">
        <f>F5579-D5580+E5580</f>
        <v>3296</v>
      </c>
    </row>
    <row r="5581" spans="1:11" x14ac:dyDescent="0.25">
      <c r="A5581" s="204">
        <v>43420</v>
      </c>
      <c r="B5581" s="460" t="s">
        <v>4110</v>
      </c>
      <c r="C5581" s="460"/>
      <c r="D5581" s="71"/>
      <c r="E5581" s="58">
        <v>50000</v>
      </c>
      <c r="F5581" s="92">
        <f t="shared" ref="F5581:F5592" si="86">F5580-D5581+E5581</f>
        <v>53296</v>
      </c>
    </row>
    <row r="5582" spans="1:11" x14ac:dyDescent="0.25">
      <c r="A5582" s="204">
        <v>43420</v>
      </c>
      <c r="B5582" s="29" t="s">
        <v>85</v>
      </c>
      <c r="C5582" s="29" t="s">
        <v>4387</v>
      </c>
      <c r="D5582" s="8">
        <v>10000</v>
      </c>
      <c r="E5582" s="8"/>
      <c r="F5582" s="92">
        <f t="shared" si="86"/>
        <v>43296</v>
      </c>
    </row>
    <row r="5583" spans="1:11" x14ac:dyDescent="0.25">
      <c r="A5583" s="204">
        <v>43421</v>
      </c>
      <c r="B5583" s="26" t="s">
        <v>14</v>
      </c>
      <c r="C5583" s="26" t="s">
        <v>2547</v>
      </c>
      <c r="D5583" s="8">
        <v>5000</v>
      </c>
      <c r="E5583" s="8"/>
      <c r="F5583" s="92">
        <f t="shared" si="86"/>
        <v>38296</v>
      </c>
    </row>
    <row r="5584" spans="1:11" x14ac:dyDescent="0.25">
      <c r="A5584" s="204">
        <v>43421</v>
      </c>
      <c r="B5584" s="26" t="s">
        <v>1840</v>
      </c>
      <c r="C5584" s="26" t="s">
        <v>4388</v>
      </c>
      <c r="D5584" s="8">
        <v>6000</v>
      </c>
      <c r="E5584" s="8"/>
      <c r="F5584" s="92">
        <f t="shared" si="86"/>
        <v>32296</v>
      </c>
    </row>
    <row r="5585" spans="1:6" x14ac:dyDescent="0.25">
      <c r="A5585" s="204">
        <v>43421</v>
      </c>
      <c r="B5585" s="26" t="s">
        <v>2349</v>
      </c>
      <c r="C5585" s="26" t="s">
        <v>4389</v>
      </c>
      <c r="D5585" s="8">
        <v>1000</v>
      </c>
      <c r="E5585" s="8"/>
      <c r="F5585" s="92">
        <f t="shared" si="86"/>
        <v>31296</v>
      </c>
    </row>
    <row r="5586" spans="1:6" x14ac:dyDescent="0.25">
      <c r="A5586" s="204">
        <v>43421</v>
      </c>
      <c r="B5586" s="26" t="s">
        <v>2099</v>
      </c>
      <c r="C5586" s="26" t="s">
        <v>41</v>
      </c>
      <c r="D5586" s="8">
        <v>23000</v>
      </c>
      <c r="E5586" s="8"/>
      <c r="F5586" s="92">
        <f t="shared" si="86"/>
        <v>8296</v>
      </c>
    </row>
    <row r="5587" spans="1:6" x14ac:dyDescent="0.25">
      <c r="A5587" s="204">
        <v>43421</v>
      </c>
      <c r="B5587" s="26" t="s">
        <v>11</v>
      </c>
      <c r="C5587" s="26" t="s">
        <v>4391</v>
      </c>
      <c r="D5587" s="8">
        <v>2000</v>
      </c>
      <c r="E5587" s="8"/>
      <c r="F5587" s="92">
        <f t="shared" si="86"/>
        <v>6296</v>
      </c>
    </row>
    <row r="5588" spans="1:6" x14ac:dyDescent="0.25">
      <c r="A5588" s="204">
        <v>43421</v>
      </c>
      <c r="B5588" s="26" t="s">
        <v>85</v>
      </c>
      <c r="C5588" s="26" t="s">
        <v>4392</v>
      </c>
      <c r="D5588" s="8">
        <v>1000</v>
      </c>
      <c r="E5588" s="8"/>
      <c r="F5588" s="92">
        <f t="shared" si="86"/>
        <v>5296</v>
      </c>
    </row>
    <row r="5589" spans="1:6" x14ac:dyDescent="0.25">
      <c r="A5589" s="204">
        <v>43421</v>
      </c>
      <c r="B5589" s="26" t="s">
        <v>2349</v>
      </c>
      <c r="C5589" s="26" t="s">
        <v>4596</v>
      </c>
      <c r="D5589" s="8">
        <v>1500</v>
      </c>
      <c r="E5589" s="8"/>
      <c r="F5589" s="92">
        <f t="shared" si="86"/>
        <v>3796</v>
      </c>
    </row>
    <row r="5590" spans="1:6" x14ac:dyDescent="0.25">
      <c r="A5590" s="204">
        <v>43421</v>
      </c>
      <c r="B5590" s="174" t="s">
        <v>2963</v>
      </c>
      <c r="C5590" s="174"/>
      <c r="D5590" s="71"/>
      <c r="E5590" s="58">
        <v>10000</v>
      </c>
      <c r="F5590" s="92">
        <f t="shared" si="86"/>
        <v>13796</v>
      </c>
    </row>
    <row r="5591" spans="1:6" x14ac:dyDescent="0.25">
      <c r="A5591" s="204">
        <v>43421</v>
      </c>
      <c r="B5591" s="26" t="s">
        <v>2597</v>
      </c>
      <c r="C5591" s="26" t="s">
        <v>4594</v>
      </c>
      <c r="D5591" s="8">
        <v>10000</v>
      </c>
      <c r="E5591" s="8"/>
      <c r="F5591" s="92">
        <f t="shared" si="86"/>
        <v>3796</v>
      </c>
    </row>
    <row r="5592" spans="1:6" x14ac:dyDescent="0.25">
      <c r="A5592" s="204">
        <v>43421</v>
      </c>
      <c r="B5592" s="26" t="s">
        <v>17</v>
      </c>
      <c r="C5592" s="26" t="s">
        <v>4595</v>
      </c>
      <c r="D5592" s="8">
        <v>900</v>
      </c>
      <c r="E5592" s="8"/>
      <c r="F5592" s="92">
        <f t="shared" si="86"/>
        <v>2896</v>
      </c>
    </row>
    <row r="5593" spans="1:6" x14ac:dyDescent="0.25">
      <c r="A5593" s="204">
        <v>43423</v>
      </c>
      <c r="B5593" s="460" t="s">
        <v>3448</v>
      </c>
      <c r="C5593" s="460"/>
      <c r="D5593" s="71"/>
      <c r="E5593" s="58">
        <v>25000</v>
      </c>
      <c r="F5593" s="92">
        <f t="shared" ref="F5593:F5658" si="87">F5592-D5593+E5593</f>
        <v>27896</v>
      </c>
    </row>
    <row r="5594" spans="1:6" x14ac:dyDescent="0.25">
      <c r="A5594" s="204">
        <v>43423</v>
      </c>
      <c r="B5594" s="26" t="s">
        <v>2597</v>
      </c>
      <c r="C5594" s="26" t="s">
        <v>4354</v>
      </c>
      <c r="D5594" s="8">
        <v>15000</v>
      </c>
      <c r="E5594" s="8"/>
      <c r="F5594" s="92">
        <f t="shared" si="87"/>
        <v>12896</v>
      </c>
    </row>
    <row r="5595" spans="1:6" x14ac:dyDescent="0.25">
      <c r="A5595" s="204">
        <v>43423</v>
      </c>
      <c r="B5595" s="29" t="s">
        <v>85</v>
      </c>
      <c r="C5595" s="29" t="s">
        <v>4597</v>
      </c>
      <c r="D5595" s="8">
        <v>6000</v>
      </c>
      <c r="E5595" s="8"/>
      <c r="F5595" s="92">
        <f t="shared" si="87"/>
        <v>6896</v>
      </c>
    </row>
    <row r="5596" spans="1:6" x14ac:dyDescent="0.25">
      <c r="A5596" s="204">
        <v>43423</v>
      </c>
      <c r="B5596" s="26" t="s">
        <v>248</v>
      </c>
      <c r="C5596" s="26" t="s">
        <v>1627</v>
      </c>
      <c r="D5596" s="8">
        <v>100</v>
      </c>
      <c r="E5596" s="8"/>
      <c r="F5596" s="92">
        <f t="shared" si="87"/>
        <v>6796</v>
      </c>
    </row>
    <row r="5597" spans="1:6" x14ac:dyDescent="0.25">
      <c r="A5597" s="204">
        <v>43424</v>
      </c>
      <c r="B5597" s="26" t="s">
        <v>2597</v>
      </c>
      <c r="C5597" s="26" t="s">
        <v>4599</v>
      </c>
      <c r="D5597" s="8">
        <v>2000</v>
      </c>
      <c r="E5597" s="8"/>
      <c r="F5597" s="92">
        <f t="shared" si="87"/>
        <v>4796</v>
      </c>
    </row>
    <row r="5598" spans="1:6" x14ac:dyDescent="0.25">
      <c r="A5598" s="204">
        <v>43424</v>
      </c>
      <c r="B5598" s="26" t="s">
        <v>26</v>
      </c>
      <c r="C5598" s="26" t="s">
        <v>4600</v>
      </c>
      <c r="D5598" s="8">
        <f>150+140+70+150+130+40+50+160+100+50+400+50</f>
        <v>1490</v>
      </c>
      <c r="E5598" s="8"/>
      <c r="F5598" s="92">
        <f t="shared" si="87"/>
        <v>3306</v>
      </c>
    </row>
    <row r="5599" spans="1:6" x14ac:dyDescent="0.25">
      <c r="A5599" s="204">
        <v>43424</v>
      </c>
      <c r="B5599" s="26" t="s">
        <v>4040</v>
      </c>
      <c r="C5599" s="26" t="s">
        <v>4601</v>
      </c>
      <c r="D5599" s="8">
        <v>1000</v>
      </c>
      <c r="E5599" s="8"/>
      <c r="F5599" s="92">
        <f t="shared" si="87"/>
        <v>2306</v>
      </c>
    </row>
    <row r="5600" spans="1:6" x14ac:dyDescent="0.25">
      <c r="A5600" s="204">
        <v>43426</v>
      </c>
      <c r="B5600" s="460" t="s">
        <v>3448</v>
      </c>
      <c r="C5600" s="460"/>
      <c r="D5600" s="71"/>
      <c r="E5600" s="58">
        <v>100000</v>
      </c>
      <c r="F5600" s="92">
        <f t="shared" si="87"/>
        <v>102306</v>
      </c>
    </row>
    <row r="5601" spans="1:6" x14ac:dyDescent="0.25">
      <c r="A5601" s="204">
        <v>43426</v>
      </c>
      <c r="B5601" s="29" t="s">
        <v>17</v>
      </c>
      <c r="C5601" s="29" t="s">
        <v>4603</v>
      </c>
      <c r="D5601" s="8">
        <v>50000</v>
      </c>
      <c r="E5601" s="8"/>
      <c r="F5601" s="92">
        <f t="shared" si="87"/>
        <v>52306</v>
      </c>
    </row>
    <row r="5602" spans="1:6" x14ac:dyDescent="0.25">
      <c r="A5602" s="204">
        <v>43426</v>
      </c>
      <c r="B5602" s="26" t="s">
        <v>2951</v>
      </c>
      <c r="C5602" s="26" t="s">
        <v>4618</v>
      </c>
      <c r="D5602" s="8">
        <v>6500</v>
      </c>
      <c r="E5602" s="8"/>
      <c r="F5602" s="92">
        <f t="shared" si="87"/>
        <v>45806</v>
      </c>
    </row>
    <row r="5603" spans="1:6" x14ac:dyDescent="0.25">
      <c r="A5603" s="204">
        <v>43426</v>
      </c>
      <c r="B5603" s="26" t="s">
        <v>14</v>
      </c>
      <c r="C5603" s="26" t="s">
        <v>4604</v>
      </c>
      <c r="D5603" s="8">
        <v>20000</v>
      </c>
      <c r="E5603" s="8"/>
      <c r="F5603" s="92">
        <f t="shared" si="87"/>
        <v>25806</v>
      </c>
    </row>
    <row r="5604" spans="1:6" x14ac:dyDescent="0.25">
      <c r="A5604" s="204">
        <v>43427</v>
      </c>
      <c r="B5604" s="26" t="s">
        <v>1619</v>
      </c>
      <c r="C5604" s="26" t="s">
        <v>2438</v>
      </c>
      <c r="D5604" s="8">
        <v>520</v>
      </c>
      <c r="E5604" s="8"/>
      <c r="F5604" s="92">
        <f t="shared" si="87"/>
        <v>25286</v>
      </c>
    </row>
    <row r="5605" spans="1:6" x14ac:dyDescent="0.25">
      <c r="A5605" s="204">
        <v>43427</v>
      </c>
      <c r="B5605" s="26" t="s">
        <v>1413</v>
      </c>
      <c r="C5605" s="26" t="s">
        <v>4605</v>
      </c>
      <c r="D5605" s="8">
        <v>18000</v>
      </c>
      <c r="E5605" s="8"/>
      <c r="F5605" s="92">
        <f t="shared" si="87"/>
        <v>7286</v>
      </c>
    </row>
    <row r="5606" spans="1:6" x14ac:dyDescent="0.25">
      <c r="A5606" s="204">
        <v>43427</v>
      </c>
      <c r="B5606" s="26" t="s">
        <v>2597</v>
      </c>
      <c r="C5606" s="26" t="s">
        <v>4606</v>
      </c>
      <c r="D5606" s="8">
        <v>3500</v>
      </c>
      <c r="E5606" s="8"/>
      <c r="F5606" s="92">
        <f t="shared" si="87"/>
        <v>3786</v>
      </c>
    </row>
    <row r="5607" spans="1:6" x14ac:dyDescent="0.25">
      <c r="A5607" s="204">
        <v>43431</v>
      </c>
      <c r="B5607" s="26" t="s">
        <v>2951</v>
      </c>
      <c r="C5607" s="26" t="s">
        <v>4611</v>
      </c>
      <c r="D5607" s="8">
        <v>1400</v>
      </c>
      <c r="E5607" s="8"/>
      <c r="F5607" s="92">
        <f t="shared" si="87"/>
        <v>2386</v>
      </c>
    </row>
    <row r="5608" spans="1:6" x14ac:dyDescent="0.25">
      <c r="A5608" s="204">
        <v>43431</v>
      </c>
      <c r="B5608" s="26" t="s">
        <v>26</v>
      </c>
      <c r="C5608" s="26" t="s">
        <v>4612</v>
      </c>
      <c r="D5608" s="8">
        <f>40+30+20+130+100+210+400+40+20+130+210+50</f>
        <v>1380</v>
      </c>
      <c r="E5608" s="8"/>
      <c r="F5608" s="92">
        <f t="shared" si="87"/>
        <v>1006</v>
      </c>
    </row>
    <row r="5609" spans="1:6" x14ac:dyDescent="0.25">
      <c r="A5609" s="204">
        <v>43431</v>
      </c>
      <c r="B5609" s="460" t="s">
        <v>3448</v>
      </c>
      <c r="C5609" s="460"/>
      <c r="D5609" s="71"/>
      <c r="E5609" s="58">
        <v>100000</v>
      </c>
      <c r="F5609" s="92">
        <f t="shared" si="87"/>
        <v>101006</v>
      </c>
    </row>
    <row r="5610" spans="1:6" x14ac:dyDescent="0.25">
      <c r="A5610" s="204">
        <v>43431</v>
      </c>
      <c r="B5610" s="26" t="s">
        <v>85</v>
      </c>
      <c r="C5610" s="26" t="s">
        <v>4616</v>
      </c>
      <c r="D5610" s="8">
        <v>65000</v>
      </c>
      <c r="E5610" s="8"/>
      <c r="F5610" s="92">
        <f t="shared" si="87"/>
        <v>36006</v>
      </c>
    </row>
    <row r="5611" spans="1:6" x14ac:dyDescent="0.25">
      <c r="A5611" s="204">
        <v>43431</v>
      </c>
      <c r="B5611" s="26" t="s">
        <v>85</v>
      </c>
      <c r="C5611" s="26" t="s">
        <v>4614</v>
      </c>
      <c r="D5611" s="8">
        <v>5000</v>
      </c>
      <c r="E5611" s="8"/>
      <c r="F5611" s="92">
        <f t="shared" si="87"/>
        <v>31006</v>
      </c>
    </row>
    <row r="5612" spans="1:6" x14ac:dyDescent="0.25">
      <c r="A5612" s="204">
        <v>43431</v>
      </c>
      <c r="B5612" s="26" t="s">
        <v>85</v>
      </c>
      <c r="C5612" s="26" t="s">
        <v>4615</v>
      </c>
      <c r="D5612" s="8">
        <v>6000</v>
      </c>
      <c r="E5612" s="8"/>
      <c r="F5612" s="92">
        <f t="shared" si="87"/>
        <v>25006</v>
      </c>
    </row>
    <row r="5613" spans="1:6" x14ac:dyDescent="0.25">
      <c r="A5613" s="204">
        <v>43431</v>
      </c>
      <c r="B5613" s="26" t="s">
        <v>2573</v>
      </c>
      <c r="C5613" s="26" t="s">
        <v>4617</v>
      </c>
      <c r="D5613" s="8">
        <v>210</v>
      </c>
      <c r="E5613" s="8"/>
      <c r="F5613" s="92">
        <f t="shared" si="87"/>
        <v>24796</v>
      </c>
    </row>
    <row r="5614" spans="1:6" x14ac:dyDescent="0.25">
      <c r="A5614" s="204">
        <v>43431</v>
      </c>
      <c r="B5614" s="460" t="s">
        <v>4621</v>
      </c>
      <c r="C5614" s="460"/>
      <c r="D5614" s="71"/>
      <c r="E5614" s="58">
        <v>165000</v>
      </c>
      <c r="F5614" s="92">
        <f t="shared" si="87"/>
        <v>189796</v>
      </c>
    </row>
    <row r="5615" spans="1:6" x14ac:dyDescent="0.25">
      <c r="A5615" s="204">
        <v>43431</v>
      </c>
      <c r="B5615" s="26" t="s">
        <v>2349</v>
      </c>
      <c r="C5615" s="26" t="s">
        <v>3336</v>
      </c>
      <c r="D5615" s="8">
        <v>1300</v>
      </c>
      <c r="E5615" s="8"/>
      <c r="F5615" s="92">
        <f t="shared" si="87"/>
        <v>188496</v>
      </c>
    </row>
    <row r="5616" spans="1:6" x14ac:dyDescent="0.25">
      <c r="A5616" s="204">
        <v>43431</v>
      </c>
      <c r="B5616" s="26" t="s">
        <v>85</v>
      </c>
      <c r="C5616" s="26" t="s">
        <v>4622</v>
      </c>
      <c r="D5616" s="8">
        <v>5000</v>
      </c>
      <c r="E5616" s="8"/>
      <c r="F5616" s="92">
        <f t="shared" si="87"/>
        <v>183496</v>
      </c>
    </row>
    <row r="5617" spans="1:6" x14ac:dyDescent="0.25">
      <c r="A5617" s="204">
        <v>43432</v>
      </c>
      <c r="B5617" s="26" t="s">
        <v>14</v>
      </c>
      <c r="C5617" s="26" t="s">
        <v>295</v>
      </c>
      <c r="D5617" s="8">
        <v>10000</v>
      </c>
      <c r="E5617" s="8"/>
      <c r="F5617" s="92">
        <f t="shared" si="87"/>
        <v>173496</v>
      </c>
    </row>
    <row r="5618" spans="1:6" x14ac:dyDescent="0.25">
      <c r="A5618" s="204">
        <v>43432</v>
      </c>
      <c r="B5618" s="26" t="s">
        <v>58</v>
      </c>
      <c r="C5618" s="26" t="s">
        <v>4623</v>
      </c>
      <c r="D5618" s="8">
        <v>1000</v>
      </c>
      <c r="E5618" s="8"/>
      <c r="F5618" s="92">
        <f t="shared" si="87"/>
        <v>172496</v>
      </c>
    </row>
    <row r="5619" spans="1:6" x14ac:dyDescent="0.25">
      <c r="A5619" s="204">
        <v>43432</v>
      </c>
      <c r="B5619" s="26" t="s">
        <v>2099</v>
      </c>
      <c r="C5619" s="26" t="s">
        <v>4624</v>
      </c>
      <c r="D5619" s="8">
        <v>9100</v>
      </c>
      <c r="E5619" s="8"/>
      <c r="F5619" s="92">
        <f t="shared" si="87"/>
        <v>163396</v>
      </c>
    </row>
    <row r="5620" spans="1:6" x14ac:dyDescent="0.25">
      <c r="A5620" s="204">
        <v>43432</v>
      </c>
      <c r="B5620" s="26" t="s">
        <v>2099</v>
      </c>
      <c r="C5620" s="26" t="s">
        <v>4625</v>
      </c>
      <c r="D5620" s="8">
        <v>2500</v>
      </c>
      <c r="E5620" s="8"/>
      <c r="F5620" s="92">
        <f t="shared" si="87"/>
        <v>160896</v>
      </c>
    </row>
    <row r="5621" spans="1:6" x14ac:dyDescent="0.25">
      <c r="A5621" s="204">
        <v>43432</v>
      </c>
      <c r="B5621" s="26" t="s">
        <v>0</v>
      </c>
      <c r="C5621" s="26" t="s">
        <v>4626</v>
      </c>
      <c r="D5621" s="8">
        <v>5000</v>
      </c>
      <c r="E5621" s="8"/>
      <c r="F5621" s="92">
        <f t="shared" si="87"/>
        <v>155896</v>
      </c>
    </row>
    <row r="5622" spans="1:6" x14ac:dyDescent="0.25">
      <c r="A5622" s="204">
        <v>43432</v>
      </c>
      <c r="B5622" s="26" t="s">
        <v>85</v>
      </c>
      <c r="C5622" s="26" t="s">
        <v>4627</v>
      </c>
      <c r="D5622" s="8">
        <v>5000</v>
      </c>
      <c r="E5622" s="8"/>
      <c r="F5622" s="92">
        <f t="shared" si="87"/>
        <v>150896</v>
      </c>
    </row>
    <row r="5623" spans="1:6" x14ac:dyDescent="0.25">
      <c r="A5623" s="204">
        <v>43432</v>
      </c>
      <c r="B5623" s="26" t="s">
        <v>85</v>
      </c>
      <c r="C5623" s="26" t="s">
        <v>4628</v>
      </c>
      <c r="D5623" s="8">
        <v>2000</v>
      </c>
      <c r="E5623" s="8"/>
      <c r="F5623" s="92">
        <f t="shared" si="87"/>
        <v>148896</v>
      </c>
    </row>
    <row r="5624" spans="1:6" x14ac:dyDescent="0.25">
      <c r="A5624" s="204">
        <v>43432</v>
      </c>
      <c r="B5624" s="26" t="s">
        <v>85</v>
      </c>
      <c r="C5624" s="26" t="s">
        <v>4629</v>
      </c>
      <c r="D5624" s="8">
        <v>2000</v>
      </c>
      <c r="E5624" s="8"/>
      <c r="F5624" s="92">
        <f t="shared" si="87"/>
        <v>146896</v>
      </c>
    </row>
    <row r="5625" spans="1:6" x14ac:dyDescent="0.25">
      <c r="A5625" s="204">
        <v>43432</v>
      </c>
      <c r="B5625" s="26" t="s">
        <v>14</v>
      </c>
      <c r="C5625" s="26" t="s">
        <v>4630</v>
      </c>
      <c r="D5625" s="161">
        <v>4733</v>
      </c>
      <c r="E5625" s="8"/>
      <c r="F5625" s="92">
        <f t="shared" si="87"/>
        <v>142163</v>
      </c>
    </row>
    <row r="5626" spans="1:6" x14ac:dyDescent="0.25">
      <c r="A5626" s="204">
        <v>43432</v>
      </c>
      <c r="B5626" s="26" t="s">
        <v>542</v>
      </c>
      <c r="C5626" s="26" t="s">
        <v>4631</v>
      </c>
      <c r="D5626" s="8">
        <v>1000</v>
      </c>
      <c r="E5626" s="8"/>
      <c r="F5626" s="92">
        <f t="shared" si="87"/>
        <v>141163</v>
      </c>
    </row>
    <row r="5627" spans="1:6" x14ac:dyDescent="0.25">
      <c r="A5627" s="204">
        <v>43433</v>
      </c>
      <c r="B5627" s="26" t="s">
        <v>2597</v>
      </c>
      <c r="C5627" s="26" t="s">
        <v>4633</v>
      </c>
      <c r="D5627" s="8">
        <v>15000</v>
      </c>
      <c r="E5627" s="8"/>
      <c r="F5627" s="92">
        <f t="shared" si="87"/>
        <v>126163</v>
      </c>
    </row>
    <row r="5628" spans="1:6" x14ac:dyDescent="0.25">
      <c r="A5628" s="204">
        <v>43433</v>
      </c>
      <c r="B5628" s="26" t="s">
        <v>85</v>
      </c>
      <c r="C5628" s="26" t="s">
        <v>4634</v>
      </c>
      <c r="D5628" s="8">
        <v>500</v>
      </c>
      <c r="E5628" s="8"/>
      <c r="F5628" s="92">
        <f t="shared" si="87"/>
        <v>125663</v>
      </c>
    </row>
    <row r="5629" spans="1:6" x14ac:dyDescent="0.25">
      <c r="A5629" s="204">
        <v>43433</v>
      </c>
      <c r="B5629" s="26" t="s">
        <v>1840</v>
      </c>
      <c r="C5629" s="26" t="s">
        <v>4635</v>
      </c>
      <c r="D5629" s="8">
        <v>2000</v>
      </c>
      <c r="E5629" s="8"/>
      <c r="F5629" s="92">
        <f t="shared" si="87"/>
        <v>123663</v>
      </c>
    </row>
    <row r="5630" spans="1:6" x14ac:dyDescent="0.25">
      <c r="A5630" s="204">
        <v>43433</v>
      </c>
      <c r="B5630" s="26" t="s">
        <v>3563</v>
      </c>
      <c r="C5630" s="26" t="s">
        <v>4636</v>
      </c>
      <c r="D5630" s="8">
        <v>400</v>
      </c>
      <c r="E5630" s="8"/>
      <c r="F5630" s="92">
        <f t="shared" si="87"/>
        <v>123263</v>
      </c>
    </row>
    <row r="5631" spans="1:6" x14ac:dyDescent="0.25">
      <c r="A5631" s="204">
        <v>43433</v>
      </c>
      <c r="B5631" s="26" t="s">
        <v>248</v>
      </c>
      <c r="C5631" s="26" t="s">
        <v>3950</v>
      </c>
      <c r="D5631" s="8">
        <v>300</v>
      </c>
      <c r="E5631" s="8"/>
      <c r="F5631" s="92">
        <f t="shared" si="87"/>
        <v>122963</v>
      </c>
    </row>
    <row r="5632" spans="1:6" x14ac:dyDescent="0.25">
      <c r="A5632" s="204">
        <v>43434</v>
      </c>
      <c r="B5632" s="26" t="s">
        <v>26</v>
      </c>
      <c r="C5632" s="26" t="s">
        <v>4637</v>
      </c>
      <c r="D5632" s="8">
        <f>60+300+210+160+50+20+400+40+150+20</f>
        <v>1410</v>
      </c>
      <c r="E5632" s="8"/>
      <c r="F5632" s="92">
        <f t="shared" si="87"/>
        <v>121553</v>
      </c>
    </row>
    <row r="5633" spans="1:6" x14ac:dyDescent="0.25">
      <c r="A5633" s="204">
        <v>43434</v>
      </c>
      <c r="B5633" s="26" t="s">
        <v>2597</v>
      </c>
      <c r="C5633" s="26" t="s">
        <v>4638</v>
      </c>
      <c r="D5633" s="8">
        <v>30000</v>
      </c>
      <c r="E5633" s="8"/>
      <c r="F5633" s="92">
        <f t="shared" si="87"/>
        <v>91553</v>
      </c>
    </row>
    <row r="5634" spans="1:6" x14ac:dyDescent="0.25">
      <c r="A5634" s="204">
        <v>43434</v>
      </c>
      <c r="B5634" s="26" t="s">
        <v>3829</v>
      </c>
      <c r="C5634" s="26" t="s">
        <v>3186</v>
      </c>
      <c r="D5634" s="8">
        <v>2000</v>
      </c>
      <c r="E5634" s="8"/>
      <c r="F5634" s="92">
        <f t="shared" si="87"/>
        <v>89553</v>
      </c>
    </row>
    <row r="5635" spans="1:6" x14ac:dyDescent="0.25">
      <c r="A5635" s="204">
        <v>43434</v>
      </c>
      <c r="B5635" s="26" t="s">
        <v>17</v>
      </c>
      <c r="C5635" s="26" t="s">
        <v>4639</v>
      </c>
      <c r="D5635" s="8">
        <v>15000</v>
      </c>
      <c r="E5635" s="8"/>
      <c r="F5635" s="92">
        <f t="shared" si="87"/>
        <v>74553</v>
      </c>
    </row>
    <row r="5636" spans="1:6" x14ac:dyDescent="0.25">
      <c r="A5636" s="204">
        <v>43434</v>
      </c>
      <c r="B5636" s="26" t="s">
        <v>14</v>
      </c>
      <c r="C5636" s="26" t="s">
        <v>4640</v>
      </c>
      <c r="D5636" s="8">
        <v>15000</v>
      </c>
      <c r="E5636" s="8"/>
      <c r="F5636" s="92">
        <f t="shared" si="87"/>
        <v>59553</v>
      </c>
    </row>
    <row r="5637" spans="1:6" x14ac:dyDescent="0.25">
      <c r="A5637" s="204">
        <v>43435</v>
      </c>
      <c r="B5637" s="26" t="s">
        <v>19</v>
      </c>
      <c r="C5637" s="26" t="s">
        <v>4643</v>
      </c>
      <c r="D5637" s="8">
        <v>25000</v>
      </c>
      <c r="E5637" s="8"/>
      <c r="F5637" s="92">
        <f t="shared" si="87"/>
        <v>34553</v>
      </c>
    </row>
    <row r="5638" spans="1:6" x14ac:dyDescent="0.25">
      <c r="A5638" s="204">
        <v>43435</v>
      </c>
      <c r="B5638" s="26" t="s">
        <v>17</v>
      </c>
      <c r="C5638" s="26" t="s">
        <v>4644</v>
      </c>
      <c r="D5638" s="8">
        <v>500</v>
      </c>
      <c r="E5638" s="8"/>
      <c r="F5638" s="92">
        <f t="shared" si="87"/>
        <v>34053</v>
      </c>
    </row>
    <row r="5639" spans="1:6" x14ac:dyDescent="0.25">
      <c r="A5639" s="204">
        <v>43435</v>
      </c>
      <c r="B5639" s="26" t="s">
        <v>2597</v>
      </c>
      <c r="C5639" s="26" t="s">
        <v>4645</v>
      </c>
      <c r="D5639" s="8">
        <v>20000</v>
      </c>
      <c r="E5639" s="8"/>
      <c r="F5639" s="92">
        <f t="shared" si="87"/>
        <v>14053</v>
      </c>
    </row>
    <row r="5640" spans="1:6" x14ac:dyDescent="0.25">
      <c r="A5640" s="204">
        <v>43435</v>
      </c>
      <c r="B5640" s="26" t="s">
        <v>2597</v>
      </c>
      <c r="C5640" s="26" t="s">
        <v>295</v>
      </c>
      <c r="D5640" s="8">
        <v>5000</v>
      </c>
      <c r="E5640" s="8"/>
      <c r="F5640" s="92">
        <f t="shared" si="87"/>
        <v>9053</v>
      </c>
    </row>
    <row r="5641" spans="1:6" x14ac:dyDescent="0.25">
      <c r="A5641" s="204">
        <v>43441</v>
      </c>
      <c r="B5641" s="26" t="s">
        <v>3738</v>
      </c>
      <c r="C5641" s="26" t="s">
        <v>4646</v>
      </c>
      <c r="D5641" s="8">
        <v>1330</v>
      </c>
      <c r="E5641" s="8"/>
      <c r="F5641" s="92">
        <f t="shared" si="87"/>
        <v>7723</v>
      </c>
    </row>
    <row r="5642" spans="1:6" x14ac:dyDescent="0.25">
      <c r="A5642" s="204">
        <v>43441</v>
      </c>
      <c r="B5642" s="26" t="s">
        <v>17</v>
      </c>
      <c r="C5642" s="26" t="s">
        <v>52</v>
      </c>
      <c r="D5642" s="8">
        <v>400</v>
      </c>
      <c r="E5642" s="8"/>
      <c r="F5642" s="92">
        <f t="shared" si="87"/>
        <v>7323</v>
      </c>
    </row>
    <row r="5643" spans="1:6" x14ac:dyDescent="0.25">
      <c r="A5643" s="204">
        <v>43441</v>
      </c>
      <c r="B5643" s="26" t="s">
        <v>248</v>
      </c>
      <c r="C5643" s="26" t="s">
        <v>4650</v>
      </c>
      <c r="D5643" s="8">
        <v>400</v>
      </c>
      <c r="E5643" s="8"/>
      <c r="F5643" s="92">
        <f t="shared" si="87"/>
        <v>6923</v>
      </c>
    </row>
    <row r="5644" spans="1:6" x14ac:dyDescent="0.25">
      <c r="A5644" s="204">
        <v>43441</v>
      </c>
      <c r="B5644" s="26" t="s">
        <v>248</v>
      </c>
      <c r="C5644" s="26" t="s">
        <v>4647</v>
      </c>
      <c r="D5644" s="8">
        <v>360</v>
      </c>
      <c r="E5644" s="8"/>
      <c r="F5644" s="92">
        <f t="shared" si="87"/>
        <v>6563</v>
      </c>
    </row>
    <row r="5645" spans="1:6" x14ac:dyDescent="0.25">
      <c r="A5645" s="204">
        <v>43441</v>
      </c>
      <c r="B5645" s="26" t="s">
        <v>248</v>
      </c>
      <c r="C5645" s="26" t="s">
        <v>4647</v>
      </c>
      <c r="D5645" s="8">
        <v>270</v>
      </c>
      <c r="E5645" s="8"/>
      <c r="F5645" s="92">
        <f t="shared" si="87"/>
        <v>6293</v>
      </c>
    </row>
    <row r="5646" spans="1:6" x14ac:dyDescent="0.25">
      <c r="A5646" s="204">
        <v>43441</v>
      </c>
      <c r="B5646" s="26" t="s">
        <v>14</v>
      </c>
      <c r="C5646" s="26" t="s">
        <v>4648</v>
      </c>
      <c r="D5646" s="8">
        <f>138+60+18</f>
        <v>216</v>
      </c>
      <c r="E5646" s="8"/>
      <c r="F5646" s="92">
        <f t="shared" si="87"/>
        <v>6077</v>
      </c>
    </row>
    <row r="5647" spans="1:6" x14ac:dyDescent="0.25">
      <c r="A5647" s="204">
        <v>43441</v>
      </c>
      <c r="B5647" s="26" t="s">
        <v>26</v>
      </c>
      <c r="C5647" s="26" t="s">
        <v>4649</v>
      </c>
      <c r="D5647" s="8">
        <f>280+60+400+400+130+160+120+30+40+45+30+44+130+210+190+30+30</f>
        <v>2329</v>
      </c>
      <c r="E5647" s="8"/>
      <c r="F5647" s="92">
        <f t="shared" si="87"/>
        <v>3748</v>
      </c>
    </row>
    <row r="5648" spans="1:6" x14ac:dyDescent="0.25">
      <c r="A5648" s="204">
        <v>43442</v>
      </c>
      <c r="B5648" s="26" t="s">
        <v>85</v>
      </c>
      <c r="C5648" s="26" t="s">
        <v>4651</v>
      </c>
      <c r="D5648" s="8">
        <v>1000</v>
      </c>
      <c r="E5648" s="8"/>
      <c r="F5648" s="92">
        <f t="shared" si="87"/>
        <v>2748</v>
      </c>
    </row>
    <row r="5649" spans="1:7" x14ac:dyDescent="0.25">
      <c r="A5649" s="204">
        <v>43442</v>
      </c>
      <c r="B5649" s="26" t="s">
        <v>94</v>
      </c>
      <c r="C5649" s="26" t="s">
        <v>4652</v>
      </c>
      <c r="D5649" s="8">
        <v>1000</v>
      </c>
      <c r="E5649" s="8"/>
      <c r="F5649" s="92">
        <f t="shared" si="87"/>
        <v>1748</v>
      </c>
    </row>
    <row r="5650" spans="1:7" x14ac:dyDescent="0.25">
      <c r="A5650" s="204">
        <v>43442</v>
      </c>
      <c r="B5650" s="26" t="s">
        <v>26</v>
      </c>
      <c r="C5650" s="26" t="s">
        <v>4657</v>
      </c>
      <c r="D5650" s="8">
        <v>1100</v>
      </c>
      <c r="E5650" s="8"/>
      <c r="F5650" s="92">
        <f t="shared" si="87"/>
        <v>648</v>
      </c>
    </row>
    <row r="5651" spans="1:7" x14ac:dyDescent="0.25">
      <c r="A5651" s="204">
        <v>43442</v>
      </c>
      <c r="B5651" s="460" t="s">
        <v>4669</v>
      </c>
      <c r="C5651" s="460"/>
      <c r="D5651" s="71"/>
      <c r="E5651" s="58">
        <v>194</v>
      </c>
      <c r="F5651" s="92">
        <f t="shared" si="87"/>
        <v>842</v>
      </c>
    </row>
    <row r="5652" spans="1:7" x14ac:dyDescent="0.25">
      <c r="A5652" s="204">
        <v>43448</v>
      </c>
      <c r="B5652" s="460" t="s">
        <v>4333</v>
      </c>
      <c r="C5652" s="460"/>
      <c r="D5652" s="71"/>
      <c r="E5652" s="58">
        <v>34500</v>
      </c>
      <c r="F5652" s="92">
        <f t="shared" si="87"/>
        <v>35342</v>
      </c>
    </row>
    <row r="5653" spans="1:7" x14ac:dyDescent="0.25">
      <c r="A5653" s="204">
        <v>43446</v>
      </c>
      <c r="B5653" s="26" t="s">
        <v>11</v>
      </c>
      <c r="C5653" s="26" t="s">
        <v>4660</v>
      </c>
      <c r="D5653" s="8">
        <v>2000</v>
      </c>
      <c r="E5653" s="8"/>
      <c r="F5653" s="92">
        <f t="shared" si="87"/>
        <v>33342</v>
      </c>
    </row>
    <row r="5654" spans="1:7" x14ac:dyDescent="0.25">
      <c r="A5654" s="204">
        <v>43446</v>
      </c>
      <c r="B5654" s="26" t="s">
        <v>55</v>
      </c>
      <c r="C5654" s="26" t="s">
        <v>4670</v>
      </c>
      <c r="D5654" s="8">
        <v>20000</v>
      </c>
      <c r="E5654" s="8"/>
      <c r="F5654" s="92">
        <f t="shared" si="87"/>
        <v>13342</v>
      </c>
    </row>
    <row r="5655" spans="1:7" x14ac:dyDescent="0.25">
      <c r="A5655" s="204">
        <v>43446</v>
      </c>
      <c r="B5655" s="26" t="s">
        <v>542</v>
      </c>
      <c r="C5655" s="26" t="s">
        <v>4671</v>
      </c>
      <c r="D5655" s="8">
        <v>7000</v>
      </c>
      <c r="E5655" s="8"/>
      <c r="F5655" s="92">
        <f t="shared" si="87"/>
        <v>6342</v>
      </c>
    </row>
    <row r="5656" spans="1:7" x14ac:dyDescent="0.25">
      <c r="A5656" s="204">
        <v>43446</v>
      </c>
      <c r="B5656" s="26" t="s">
        <v>26</v>
      </c>
      <c r="C5656" s="26" t="s">
        <v>4661</v>
      </c>
      <c r="D5656" s="8">
        <f>220+45+130+510+400+145+130+95+60+180+38+123+141+200+800+140+20+200+250</f>
        <v>3827</v>
      </c>
      <c r="E5656" s="8"/>
      <c r="F5656" s="92">
        <f t="shared" si="87"/>
        <v>2515</v>
      </c>
      <c r="G5656" s="25"/>
    </row>
    <row r="5657" spans="1:7" x14ac:dyDescent="0.25">
      <c r="A5657" s="204">
        <v>43448</v>
      </c>
      <c r="B5657" s="460" t="s">
        <v>4333</v>
      </c>
      <c r="C5657" s="460"/>
      <c r="D5657" s="71"/>
      <c r="E5657" s="58">
        <v>50000</v>
      </c>
      <c r="F5657" s="92">
        <f t="shared" si="87"/>
        <v>52515</v>
      </c>
    </row>
    <row r="5658" spans="1:7" x14ac:dyDescent="0.25">
      <c r="A5658" s="204">
        <v>43448</v>
      </c>
      <c r="B5658" s="26" t="s">
        <v>2597</v>
      </c>
      <c r="C5658" s="26" t="s">
        <v>4668</v>
      </c>
      <c r="D5658" s="8">
        <v>23900</v>
      </c>
      <c r="E5658" s="8"/>
      <c r="F5658" s="92">
        <f t="shared" si="87"/>
        <v>28615</v>
      </c>
    </row>
    <row r="5659" spans="1:7" x14ac:dyDescent="0.25">
      <c r="A5659" s="204">
        <v>43448</v>
      </c>
      <c r="B5659" s="26" t="s">
        <v>85</v>
      </c>
      <c r="C5659" s="26" t="s">
        <v>4665</v>
      </c>
      <c r="D5659" s="8">
        <v>10000</v>
      </c>
      <c r="E5659" s="8"/>
      <c r="F5659" s="92">
        <f t="shared" ref="F5659:F5702" si="88">F5658-D5659+E5659</f>
        <v>18615</v>
      </c>
    </row>
    <row r="5660" spans="1:7" x14ac:dyDescent="0.25">
      <c r="A5660" s="204">
        <v>43448</v>
      </c>
      <c r="B5660" s="26" t="s">
        <v>85</v>
      </c>
      <c r="C5660" s="26" t="s">
        <v>4666</v>
      </c>
      <c r="D5660" s="8">
        <v>5000</v>
      </c>
      <c r="E5660" s="8"/>
      <c r="F5660" s="92">
        <f t="shared" si="88"/>
        <v>13615</v>
      </c>
    </row>
    <row r="5661" spans="1:7" x14ac:dyDescent="0.25">
      <c r="A5661" s="204">
        <v>43449</v>
      </c>
      <c r="B5661" s="26" t="s">
        <v>2597</v>
      </c>
      <c r="C5661" s="26" t="s">
        <v>4667</v>
      </c>
      <c r="D5661" s="8">
        <v>7485</v>
      </c>
      <c r="E5661" s="8"/>
      <c r="F5661" s="92">
        <f t="shared" si="88"/>
        <v>6130</v>
      </c>
    </row>
    <row r="5662" spans="1:7" x14ac:dyDescent="0.25">
      <c r="A5662" s="204">
        <v>43449</v>
      </c>
      <c r="B5662" s="26" t="s">
        <v>85</v>
      </c>
      <c r="C5662" s="26" t="s">
        <v>4672</v>
      </c>
      <c r="D5662" s="8">
        <v>1000</v>
      </c>
      <c r="E5662" s="8"/>
      <c r="F5662" s="92">
        <f t="shared" si="88"/>
        <v>5130</v>
      </c>
    </row>
    <row r="5663" spans="1:7" x14ac:dyDescent="0.25">
      <c r="A5663" s="204">
        <v>43449</v>
      </c>
      <c r="B5663" s="26" t="s">
        <v>0</v>
      </c>
      <c r="C5663" s="26" t="s">
        <v>4673</v>
      </c>
      <c r="D5663" s="8">
        <v>3000</v>
      </c>
      <c r="E5663" s="8"/>
      <c r="F5663" s="92">
        <f t="shared" si="88"/>
        <v>2130</v>
      </c>
    </row>
    <row r="5664" spans="1:7" x14ac:dyDescent="0.25">
      <c r="A5664" s="204">
        <v>43449</v>
      </c>
      <c r="B5664" s="26" t="s">
        <v>85</v>
      </c>
      <c r="C5664" s="26" t="s">
        <v>4674</v>
      </c>
      <c r="D5664" s="8">
        <v>500</v>
      </c>
      <c r="E5664" s="8"/>
      <c r="F5664" s="92">
        <f t="shared" si="88"/>
        <v>1630</v>
      </c>
    </row>
    <row r="5665" spans="1:6" x14ac:dyDescent="0.25">
      <c r="A5665" s="204">
        <v>43451</v>
      </c>
      <c r="B5665" s="460" t="s">
        <v>4333</v>
      </c>
      <c r="C5665" s="460"/>
      <c r="D5665" s="71"/>
      <c r="E5665" s="58">
        <v>100000</v>
      </c>
      <c r="F5665" s="92">
        <f t="shared" si="88"/>
        <v>101630</v>
      </c>
    </row>
    <row r="5666" spans="1:6" x14ac:dyDescent="0.25">
      <c r="A5666" s="204">
        <v>43451</v>
      </c>
      <c r="B5666" s="29" t="s">
        <v>2597</v>
      </c>
      <c r="C5666" s="29" t="s">
        <v>4681</v>
      </c>
      <c r="D5666" s="8">
        <v>40360</v>
      </c>
      <c r="E5666" s="8"/>
      <c r="F5666" s="92">
        <f t="shared" si="88"/>
        <v>61270</v>
      </c>
    </row>
    <row r="5667" spans="1:6" x14ac:dyDescent="0.25">
      <c r="A5667" s="204">
        <v>43451</v>
      </c>
      <c r="B5667" s="26" t="s">
        <v>21</v>
      </c>
      <c r="C5667" s="26" t="s">
        <v>41</v>
      </c>
      <c r="D5667" s="8">
        <v>5000</v>
      </c>
      <c r="E5667" s="8"/>
      <c r="F5667" s="92">
        <f t="shared" si="88"/>
        <v>56270</v>
      </c>
    </row>
    <row r="5668" spans="1:6" x14ac:dyDescent="0.25">
      <c r="A5668" s="204">
        <v>43451</v>
      </c>
      <c r="B5668" s="26" t="s">
        <v>1515</v>
      </c>
      <c r="C5668" s="26" t="s">
        <v>4675</v>
      </c>
      <c r="D5668" s="8">
        <v>27000</v>
      </c>
      <c r="E5668" s="8"/>
      <c r="F5668" s="92">
        <f t="shared" si="88"/>
        <v>29270</v>
      </c>
    </row>
    <row r="5669" spans="1:6" x14ac:dyDescent="0.25">
      <c r="A5669" s="204">
        <v>43451</v>
      </c>
      <c r="B5669" s="26" t="s">
        <v>3563</v>
      </c>
      <c r="C5669" s="26" t="s">
        <v>3446</v>
      </c>
      <c r="D5669" s="8">
        <v>620</v>
      </c>
      <c r="E5669" s="8"/>
      <c r="F5669" s="92">
        <f t="shared" si="88"/>
        <v>28650</v>
      </c>
    </row>
    <row r="5670" spans="1:6" x14ac:dyDescent="0.25">
      <c r="A5670" s="204">
        <v>43451</v>
      </c>
      <c r="B5670" s="26" t="s">
        <v>2349</v>
      </c>
      <c r="C5670" s="26" t="s">
        <v>4676</v>
      </c>
      <c r="D5670" s="8">
        <v>5000</v>
      </c>
      <c r="E5670" s="8"/>
      <c r="F5670" s="92">
        <f t="shared" si="88"/>
        <v>23650</v>
      </c>
    </row>
    <row r="5671" spans="1:6" x14ac:dyDescent="0.25">
      <c r="A5671" s="204">
        <v>43451</v>
      </c>
      <c r="B5671" s="26" t="s">
        <v>111</v>
      </c>
      <c r="C5671" s="26" t="s">
        <v>27</v>
      </c>
      <c r="D5671" s="8">
        <v>3300</v>
      </c>
      <c r="E5671" s="8"/>
      <c r="F5671" s="92">
        <f t="shared" si="88"/>
        <v>20350</v>
      </c>
    </row>
    <row r="5672" spans="1:6" x14ac:dyDescent="0.25">
      <c r="A5672" s="204">
        <v>43451</v>
      </c>
      <c r="B5672" s="26" t="s">
        <v>17</v>
      </c>
      <c r="C5672" s="26" t="s">
        <v>50</v>
      </c>
      <c r="D5672" s="8">
        <v>5000</v>
      </c>
      <c r="E5672" s="8"/>
      <c r="F5672" s="92">
        <f t="shared" si="88"/>
        <v>15350</v>
      </c>
    </row>
    <row r="5673" spans="1:6" x14ac:dyDescent="0.25">
      <c r="A5673" s="204">
        <v>43451</v>
      </c>
      <c r="B5673" s="26" t="s">
        <v>85</v>
      </c>
      <c r="C5673" s="26" t="s">
        <v>4272</v>
      </c>
      <c r="D5673" s="8">
        <v>5000</v>
      </c>
      <c r="E5673" s="8"/>
      <c r="F5673" s="92">
        <f t="shared" si="88"/>
        <v>10350</v>
      </c>
    </row>
    <row r="5674" spans="1:6" x14ac:dyDescent="0.25">
      <c r="A5674" s="204">
        <v>43451</v>
      </c>
      <c r="B5674" s="26" t="s">
        <v>1840</v>
      </c>
      <c r="C5674" s="26" t="s">
        <v>4677</v>
      </c>
      <c r="D5674" s="8">
        <v>5000</v>
      </c>
      <c r="E5674" s="8"/>
      <c r="F5674" s="92">
        <f t="shared" si="88"/>
        <v>5350</v>
      </c>
    </row>
    <row r="5675" spans="1:6" x14ac:dyDescent="0.25">
      <c r="A5675" s="204">
        <v>43451</v>
      </c>
      <c r="B5675" s="26" t="s">
        <v>85</v>
      </c>
      <c r="C5675" s="26" t="s">
        <v>4678</v>
      </c>
      <c r="D5675" s="8">
        <v>1000</v>
      </c>
      <c r="E5675" s="8"/>
      <c r="F5675" s="92">
        <f t="shared" si="88"/>
        <v>4350</v>
      </c>
    </row>
    <row r="5676" spans="1:6" x14ac:dyDescent="0.25">
      <c r="A5676" s="204">
        <v>43452</v>
      </c>
      <c r="B5676" s="26" t="s">
        <v>1515</v>
      </c>
      <c r="C5676" s="26" t="s">
        <v>4679</v>
      </c>
      <c r="D5676" s="8">
        <v>2000</v>
      </c>
      <c r="E5676" s="8"/>
      <c r="F5676" s="92">
        <f t="shared" si="88"/>
        <v>2350</v>
      </c>
    </row>
    <row r="5677" spans="1:6" x14ac:dyDescent="0.25">
      <c r="A5677" s="204">
        <v>43452</v>
      </c>
      <c r="B5677" s="460" t="s">
        <v>4333</v>
      </c>
      <c r="C5677" s="460"/>
      <c r="D5677" s="71"/>
      <c r="E5677" s="58">
        <v>30000</v>
      </c>
      <c r="F5677" s="92">
        <f t="shared" si="88"/>
        <v>32350</v>
      </c>
    </row>
    <row r="5678" spans="1:6" x14ac:dyDescent="0.25">
      <c r="A5678" s="204">
        <v>43452</v>
      </c>
      <c r="B5678" s="29" t="s">
        <v>1346</v>
      </c>
      <c r="C5678" s="29" t="s">
        <v>4680</v>
      </c>
      <c r="D5678" s="8">
        <v>5000</v>
      </c>
      <c r="E5678" s="8"/>
      <c r="F5678" s="92">
        <f t="shared" si="88"/>
        <v>27350</v>
      </c>
    </row>
    <row r="5679" spans="1:6" x14ac:dyDescent="0.25">
      <c r="A5679" s="204">
        <v>43452</v>
      </c>
      <c r="B5679" s="26" t="s">
        <v>2597</v>
      </c>
      <c r="C5679" s="26" t="s">
        <v>4682</v>
      </c>
      <c r="D5679" s="8">
        <v>10918</v>
      </c>
      <c r="E5679" s="8"/>
      <c r="F5679" s="92">
        <f t="shared" si="88"/>
        <v>16432</v>
      </c>
    </row>
    <row r="5680" spans="1:6" x14ac:dyDescent="0.25">
      <c r="A5680" s="204">
        <v>43452</v>
      </c>
      <c r="B5680" s="26" t="s">
        <v>248</v>
      </c>
      <c r="C5680" s="26" t="s">
        <v>4684</v>
      </c>
      <c r="D5680" s="8">
        <v>120</v>
      </c>
      <c r="E5680" s="8"/>
      <c r="F5680" s="92">
        <f t="shared" si="88"/>
        <v>16312</v>
      </c>
    </row>
    <row r="5681" spans="1:6" x14ac:dyDescent="0.25">
      <c r="A5681" s="204">
        <v>43452</v>
      </c>
      <c r="B5681" s="26" t="s">
        <v>4043</v>
      </c>
      <c r="C5681" s="26" t="s">
        <v>3707</v>
      </c>
      <c r="D5681" s="8">
        <v>5000</v>
      </c>
      <c r="E5681" s="8"/>
      <c r="F5681" s="92">
        <f t="shared" si="88"/>
        <v>11312</v>
      </c>
    </row>
    <row r="5682" spans="1:6" x14ac:dyDescent="0.25">
      <c r="A5682" s="204">
        <v>43452</v>
      </c>
      <c r="B5682" s="26" t="s">
        <v>0</v>
      </c>
      <c r="C5682" s="26" t="s">
        <v>4685</v>
      </c>
      <c r="D5682" s="8">
        <v>5000</v>
      </c>
      <c r="E5682" s="8"/>
      <c r="F5682" s="92">
        <f t="shared" si="88"/>
        <v>6312</v>
      </c>
    </row>
    <row r="5683" spans="1:6" x14ac:dyDescent="0.25">
      <c r="A5683" s="204">
        <v>43452</v>
      </c>
      <c r="B5683" s="26" t="s">
        <v>17</v>
      </c>
      <c r="C5683" s="26" t="s">
        <v>295</v>
      </c>
      <c r="D5683" s="8">
        <v>5000</v>
      </c>
      <c r="E5683" s="8"/>
      <c r="F5683" s="92">
        <f t="shared" si="88"/>
        <v>1312</v>
      </c>
    </row>
    <row r="5684" spans="1:6" x14ac:dyDescent="0.25">
      <c r="A5684" s="204">
        <v>43452</v>
      </c>
      <c r="B5684" s="460" t="s">
        <v>4686</v>
      </c>
      <c r="C5684" s="460"/>
      <c r="D5684" s="71"/>
      <c r="E5684" s="58">
        <v>980000</v>
      </c>
      <c r="F5684" s="92">
        <f t="shared" si="88"/>
        <v>981312</v>
      </c>
    </row>
    <row r="5685" spans="1:6" x14ac:dyDescent="0.25">
      <c r="A5685" s="204">
        <v>43452</v>
      </c>
      <c r="B5685" s="26" t="s">
        <v>4692</v>
      </c>
      <c r="C5685" s="26" t="s">
        <v>41</v>
      </c>
      <c r="D5685" s="8">
        <v>132000</v>
      </c>
      <c r="E5685" s="8"/>
      <c r="F5685" s="92">
        <f t="shared" si="88"/>
        <v>849312</v>
      </c>
    </row>
    <row r="5686" spans="1:6" x14ac:dyDescent="0.25">
      <c r="A5686" s="204">
        <v>43453</v>
      </c>
      <c r="B5686" s="29" t="s">
        <v>4687</v>
      </c>
      <c r="C5686" s="29" t="s">
        <v>4688</v>
      </c>
      <c r="D5686" s="8">
        <v>30000</v>
      </c>
      <c r="E5686" s="8"/>
      <c r="F5686" s="92">
        <f t="shared" si="88"/>
        <v>819312</v>
      </c>
    </row>
    <row r="5687" spans="1:6" x14ac:dyDescent="0.25">
      <c r="A5687" s="204">
        <v>43453</v>
      </c>
      <c r="B5687" s="29" t="s">
        <v>2351</v>
      </c>
      <c r="C5687" s="26" t="s">
        <v>4689</v>
      </c>
      <c r="D5687" s="8">
        <v>50000</v>
      </c>
      <c r="E5687" s="8"/>
      <c r="F5687" s="92">
        <f t="shared" si="88"/>
        <v>769312</v>
      </c>
    </row>
    <row r="5688" spans="1:6" x14ac:dyDescent="0.25">
      <c r="A5688" s="204">
        <v>43453</v>
      </c>
      <c r="B5688" s="29" t="s">
        <v>2099</v>
      </c>
      <c r="C5688" s="26" t="s">
        <v>4690</v>
      </c>
      <c r="D5688" s="8">
        <v>16235</v>
      </c>
      <c r="E5688" s="8"/>
      <c r="F5688" s="92">
        <f t="shared" si="88"/>
        <v>753077</v>
      </c>
    </row>
    <row r="5689" spans="1:6" x14ac:dyDescent="0.25">
      <c r="A5689" s="204">
        <v>43453</v>
      </c>
      <c r="B5689" s="26" t="s">
        <v>1346</v>
      </c>
      <c r="C5689" s="26" t="s">
        <v>4691</v>
      </c>
      <c r="D5689" s="8">
        <v>14000</v>
      </c>
      <c r="E5689" s="8"/>
      <c r="F5689" s="92">
        <f t="shared" si="88"/>
        <v>739077</v>
      </c>
    </row>
    <row r="5690" spans="1:6" x14ac:dyDescent="0.25">
      <c r="A5690" s="204">
        <v>43453</v>
      </c>
      <c r="B5690" s="26" t="s">
        <v>3829</v>
      </c>
      <c r="C5690" s="26" t="s">
        <v>3336</v>
      </c>
      <c r="D5690" s="8">
        <v>3000</v>
      </c>
      <c r="E5690" s="8"/>
      <c r="F5690" s="92">
        <f t="shared" si="88"/>
        <v>736077</v>
      </c>
    </row>
    <row r="5691" spans="1:6" x14ac:dyDescent="0.25">
      <c r="A5691" s="204">
        <v>43454</v>
      </c>
      <c r="B5691" s="26" t="s">
        <v>2597</v>
      </c>
      <c r="C5691" s="26" t="s">
        <v>4694</v>
      </c>
      <c r="D5691" s="8">
        <v>16500</v>
      </c>
      <c r="E5691" s="8"/>
      <c r="F5691" s="92">
        <f t="shared" si="88"/>
        <v>719577</v>
      </c>
    </row>
    <row r="5692" spans="1:6" x14ac:dyDescent="0.25">
      <c r="A5692" s="204">
        <v>43454</v>
      </c>
      <c r="B5692" s="26" t="s">
        <v>17</v>
      </c>
      <c r="C5692" s="26" t="s">
        <v>4693</v>
      </c>
      <c r="D5692" s="8">
        <v>20000</v>
      </c>
      <c r="E5692" s="8"/>
      <c r="F5692" s="92">
        <f t="shared" si="88"/>
        <v>699577</v>
      </c>
    </row>
    <row r="5693" spans="1:6" x14ac:dyDescent="0.25">
      <c r="A5693" s="204">
        <v>43454</v>
      </c>
      <c r="B5693" s="26" t="s">
        <v>17</v>
      </c>
      <c r="C5693" s="26" t="s">
        <v>439</v>
      </c>
      <c r="D5693" s="8">
        <v>10000</v>
      </c>
      <c r="E5693" s="8"/>
      <c r="F5693" s="92">
        <f t="shared" si="88"/>
        <v>689577</v>
      </c>
    </row>
    <row r="5694" spans="1:6" x14ac:dyDescent="0.25">
      <c r="A5694" s="204">
        <v>43454</v>
      </c>
      <c r="B5694" s="26" t="s">
        <v>1319</v>
      </c>
      <c r="C5694" s="26" t="s">
        <v>4699</v>
      </c>
      <c r="D5694" s="8">
        <v>30000</v>
      </c>
      <c r="E5694" s="8"/>
      <c r="F5694" s="92">
        <f t="shared" si="88"/>
        <v>659577</v>
      </c>
    </row>
    <row r="5695" spans="1:6" x14ac:dyDescent="0.25">
      <c r="A5695" s="204">
        <v>43455</v>
      </c>
      <c r="B5695" s="26" t="s">
        <v>2597</v>
      </c>
      <c r="C5695" s="26" t="s">
        <v>3561</v>
      </c>
      <c r="D5695" s="8">
        <v>10000</v>
      </c>
      <c r="E5695" s="8"/>
      <c r="F5695" s="92">
        <f t="shared" si="88"/>
        <v>649577</v>
      </c>
    </row>
    <row r="5696" spans="1:6" x14ac:dyDescent="0.25">
      <c r="A5696" s="204">
        <v>43455</v>
      </c>
      <c r="B5696" s="26" t="s">
        <v>111</v>
      </c>
      <c r="C5696" s="26" t="s">
        <v>4695</v>
      </c>
      <c r="D5696" s="8">
        <v>100000</v>
      </c>
      <c r="E5696" s="8"/>
      <c r="F5696" s="92">
        <f t="shared" si="88"/>
        <v>549577</v>
      </c>
    </row>
    <row r="5697" spans="1:6" x14ac:dyDescent="0.25">
      <c r="A5697" s="204">
        <v>43456</v>
      </c>
      <c r="B5697" s="29" t="s">
        <v>2597</v>
      </c>
      <c r="C5697" s="29" t="s">
        <v>4696</v>
      </c>
      <c r="D5697" s="8">
        <v>20000</v>
      </c>
      <c r="E5697" s="8"/>
      <c r="F5697" s="92">
        <f t="shared" si="88"/>
        <v>529577</v>
      </c>
    </row>
    <row r="5698" spans="1:6" x14ac:dyDescent="0.25">
      <c r="A5698" s="204">
        <v>43456</v>
      </c>
      <c r="B5698" s="29" t="s">
        <v>1346</v>
      </c>
      <c r="C5698" s="29" t="s">
        <v>4697</v>
      </c>
      <c r="D5698" s="8">
        <v>2000</v>
      </c>
      <c r="E5698" s="8"/>
      <c r="F5698" s="92">
        <f t="shared" si="88"/>
        <v>527577</v>
      </c>
    </row>
    <row r="5699" spans="1:6" x14ac:dyDescent="0.25">
      <c r="A5699" s="204">
        <v>43458</v>
      </c>
      <c r="B5699" s="26" t="s">
        <v>3738</v>
      </c>
      <c r="C5699" s="26" t="s">
        <v>4698</v>
      </c>
      <c r="D5699" s="8">
        <v>1470</v>
      </c>
      <c r="E5699" s="8"/>
      <c r="F5699" s="92">
        <f t="shared" si="88"/>
        <v>526107</v>
      </c>
    </row>
    <row r="5700" spans="1:6" x14ac:dyDescent="0.25">
      <c r="A5700" s="204">
        <v>43458</v>
      </c>
      <c r="B5700" s="26" t="s">
        <v>542</v>
      </c>
      <c r="C5700" s="26" t="s">
        <v>41</v>
      </c>
      <c r="D5700" s="8">
        <v>520000</v>
      </c>
      <c r="E5700" s="8"/>
      <c r="F5700" s="92">
        <f t="shared" si="88"/>
        <v>6107</v>
      </c>
    </row>
    <row r="5701" spans="1:6" x14ac:dyDescent="0.25">
      <c r="A5701" s="204">
        <v>43458</v>
      </c>
      <c r="B5701" s="26" t="s">
        <v>2597</v>
      </c>
      <c r="C5701" s="26" t="s">
        <v>4701</v>
      </c>
      <c r="D5701" s="8">
        <v>500</v>
      </c>
      <c r="E5701" s="8"/>
      <c r="F5701" s="92">
        <f t="shared" si="88"/>
        <v>5607</v>
      </c>
    </row>
    <row r="5702" spans="1:6" x14ac:dyDescent="0.25">
      <c r="A5702" s="204">
        <v>43458</v>
      </c>
      <c r="B5702" s="26" t="s">
        <v>85</v>
      </c>
      <c r="C5702" s="26" t="s">
        <v>4702</v>
      </c>
      <c r="D5702" s="8">
        <v>1000</v>
      </c>
      <c r="E5702" s="8"/>
      <c r="F5702" s="92">
        <f t="shared" si="88"/>
        <v>4607</v>
      </c>
    </row>
    <row r="5703" spans="1:6" x14ac:dyDescent="0.25">
      <c r="A5703" s="204">
        <v>43458</v>
      </c>
      <c r="B5703" s="26" t="s">
        <v>2597</v>
      </c>
      <c r="C5703" s="26" t="s">
        <v>4703</v>
      </c>
      <c r="D5703" s="8">
        <v>250</v>
      </c>
      <c r="E5703" s="8"/>
      <c r="F5703" s="92">
        <f t="shared" ref="F5703:F5712" si="89">F5702-D5703+E5703</f>
        <v>4357</v>
      </c>
    </row>
    <row r="5704" spans="1:6" x14ac:dyDescent="0.25">
      <c r="A5704" s="204">
        <v>43458</v>
      </c>
      <c r="B5704" s="26" t="s">
        <v>4704</v>
      </c>
      <c r="C5704" s="26" t="s">
        <v>641</v>
      </c>
      <c r="D5704" s="8">
        <v>2000</v>
      </c>
      <c r="E5704" s="8"/>
      <c r="F5704" s="92">
        <f t="shared" si="89"/>
        <v>2357</v>
      </c>
    </row>
    <row r="5705" spans="1:6" x14ac:dyDescent="0.25">
      <c r="A5705" s="204">
        <v>43458</v>
      </c>
      <c r="B5705" s="26" t="s">
        <v>4704</v>
      </c>
      <c r="C5705" s="26" t="s">
        <v>2438</v>
      </c>
      <c r="D5705" s="8">
        <v>520</v>
      </c>
      <c r="E5705" s="8"/>
      <c r="F5705" s="92">
        <f t="shared" si="89"/>
        <v>1837</v>
      </c>
    </row>
    <row r="5706" spans="1:6" x14ac:dyDescent="0.25">
      <c r="A5706" s="204">
        <v>43458</v>
      </c>
      <c r="B5706" s="460" t="s">
        <v>3448</v>
      </c>
      <c r="C5706" s="460"/>
      <c r="D5706" s="71"/>
      <c r="E5706" s="58">
        <v>50000</v>
      </c>
      <c r="F5706" s="92">
        <f t="shared" si="89"/>
        <v>51837</v>
      </c>
    </row>
    <row r="5707" spans="1:6" x14ac:dyDescent="0.25">
      <c r="A5707" s="204">
        <v>43458</v>
      </c>
      <c r="B5707" s="26" t="s">
        <v>85</v>
      </c>
      <c r="C5707" s="87" t="s">
        <v>4757</v>
      </c>
      <c r="D5707" s="8">
        <v>5000</v>
      </c>
      <c r="E5707" s="8"/>
      <c r="F5707" s="92">
        <f t="shared" si="89"/>
        <v>46837</v>
      </c>
    </row>
    <row r="5708" spans="1:6" x14ac:dyDescent="0.25">
      <c r="A5708" s="204">
        <v>43461</v>
      </c>
      <c r="B5708" s="26" t="s">
        <v>3141</v>
      </c>
      <c r="C5708" s="26" t="s">
        <v>4758</v>
      </c>
      <c r="D5708" s="8">
        <v>20618</v>
      </c>
      <c r="E5708" s="8"/>
      <c r="F5708" s="92">
        <f t="shared" si="89"/>
        <v>26219</v>
      </c>
    </row>
    <row r="5709" spans="1:6" x14ac:dyDescent="0.25">
      <c r="A5709" s="204">
        <v>43461</v>
      </c>
      <c r="B5709" s="26" t="s">
        <v>85</v>
      </c>
      <c r="C5709" s="26" t="s">
        <v>4706</v>
      </c>
      <c r="D5709" s="8">
        <v>500</v>
      </c>
      <c r="E5709" s="8"/>
      <c r="F5709" s="92">
        <f t="shared" si="89"/>
        <v>25719</v>
      </c>
    </row>
    <row r="5710" spans="1:6" x14ac:dyDescent="0.25">
      <c r="A5710" s="204">
        <v>43461</v>
      </c>
      <c r="B5710" s="26" t="s">
        <v>85</v>
      </c>
      <c r="C5710" s="26" t="s">
        <v>4707</v>
      </c>
      <c r="D5710" s="8">
        <v>3000</v>
      </c>
      <c r="E5710" s="8"/>
      <c r="F5710" s="92">
        <f t="shared" si="89"/>
        <v>22719</v>
      </c>
    </row>
    <row r="5711" spans="1:6" x14ac:dyDescent="0.25">
      <c r="A5711" s="204">
        <v>43461</v>
      </c>
      <c r="B5711" s="26" t="s">
        <v>0</v>
      </c>
      <c r="C5711" s="26" t="s">
        <v>4759</v>
      </c>
      <c r="D5711" s="8">
        <v>3000</v>
      </c>
      <c r="E5711" s="8"/>
      <c r="F5711" s="92">
        <f t="shared" si="89"/>
        <v>19719</v>
      </c>
    </row>
    <row r="5712" spans="1:6" x14ac:dyDescent="0.25">
      <c r="A5712" s="204">
        <v>43462</v>
      </c>
      <c r="B5712" s="26" t="s">
        <v>14</v>
      </c>
      <c r="C5712" s="26" t="s">
        <v>3914</v>
      </c>
      <c r="D5712" s="8">
        <v>10000</v>
      </c>
      <c r="E5712" s="8"/>
      <c r="F5712" s="92">
        <f t="shared" si="89"/>
        <v>9719</v>
      </c>
    </row>
    <row r="5713" spans="1:6" x14ac:dyDescent="0.25">
      <c r="A5713" s="204">
        <v>43462</v>
      </c>
      <c r="B5713" s="26" t="s">
        <v>85</v>
      </c>
      <c r="C5713" s="26" t="s">
        <v>4714</v>
      </c>
      <c r="D5713" s="8">
        <v>1000</v>
      </c>
      <c r="E5713" s="8"/>
      <c r="F5713" s="92">
        <f t="shared" ref="F5713:F5780" si="90">F5712-D5713+E5713</f>
        <v>8719</v>
      </c>
    </row>
    <row r="5714" spans="1:6" x14ac:dyDescent="0.25">
      <c r="A5714" s="204">
        <v>43463</v>
      </c>
      <c r="B5714" s="26" t="s">
        <v>14</v>
      </c>
      <c r="C5714" s="26" t="s">
        <v>4715</v>
      </c>
      <c r="D5714" s="8">
        <v>4800</v>
      </c>
      <c r="E5714" s="8"/>
      <c r="F5714" s="92">
        <f t="shared" si="90"/>
        <v>3919</v>
      </c>
    </row>
    <row r="5715" spans="1:6" x14ac:dyDescent="0.25">
      <c r="A5715" s="204">
        <v>43463</v>
      </c>
      <c r="B5715" s="29" t="s">
        <v>111</v>
      </c>
      <c r="C5715" s="29" t="s">
        <v>641</v>
      </c>
      <c r="D5715" s="8">
        <v>1000</v>
      </c>
      <c r="E5715" s="8"/>
      <c r="F5715" s="92">
        <f t="shared" si="90"/>
        <v>2919</v>
      </c>
    </row>
    <row r="5716" spans="1:6" x14ac:dyDescent="0.25">
      <c r="A5716" s="204">
        <v>43465</v>
      </c>
      <c r="B5716" s="460" t="s">
        <v>3448</v>
      </c>
      <c r="C5716" s="460"/>
      <c r="D5716" s="71"/>
      <c r="E5716" s="58">
        <v>100000</v>
      </c>
      <c r="F5716" s="92">
        <f t="shared" si="90"/>
        <v>102919</v>
      </c>
    </row>
    <row r="5717" spans="1:6" x14ac:dyDescent="0.25">
      <c r="A5717" s="204">
        <v>43465</v>
      </c>
      <c r="B5717" s="26" t="s">
        <v>1319</v>
      </c>
      <c r="C5717" s="26" t="s">
        <v>4699</v>
      </c>
      <c r="D5717" s="8">
        <v>50000</v>
      </c>
      <c r="E5717" s="8"/>
      <c r="F5717" s="92">
        <f t="shared" si="90"/>
        <v>52919</v>
      </c>
    </row>
    <row r="5718" spans="1:6" x14ac:dyDescent="0.25">
      <c r="A5718" s="204">
        <v>43465</v>
      </c>
      <c r="B5718" s="26" t="s">
        <v>2597</v>
      </c>
      <c r="C5718" s="26" t="s">
        <v>4716</v>
      </c>
      <c r="D5718" s="8">
        <v>20000</v>
      </c>
      <c r="E5718" s="8"/>
      <c r="F5718" s="92">
        <f t="shared" si="90"/>
        <v>32919</v>
      </c>
    </row>
    <row r="5719" spans="1:6" x14ac:dyDescent="0.25">
      <c r="A5719" s="204">
        <v>43465</v>
      </c>
      <c r="B5719" s="26" t="s">
        <v>52</v>
      </c>
      <c r="C5719" s="26" t="s">
        <v>4717</v>
      </c>
      <c r="D5719" s="8">
        <f>450+2990</f>
        <v>3440</v>
      </c>
      <c r="E5719" s="8"/>
      <c r="F5719" s="92">
        <f t="shared" si="90"/>
        <v>29479</v>
      </c>
    </row>
    <row r="5720" spans="1:6" x14ac:dyDescent="0.25">
      <c r="A5720" s="204">
        <v>43465</v>
      </c>
      <c r="B5720" s="26" t="s">
        <v>85</v>
      </c>
      <c r="C5720" s="26" t="s">
        <v>4718</v>
      </c>
      <c r="D5720" s="8">
        <v>500</v>
      </c>
      <c r="E5720" s="8"/>
      <c r="F5720" s="92">
        <f t="shared" si="90"/>
        <v>28979</v>
      </c>
    </row>
    <row r="5721" spans="1:6" x14ac:dyDescent="0.25">
      <c r="A5721" s="204">
        <v>43466</v>
      </c>
      <c r="B5721" s="26" t="s">
        <v>1346</v>
      </c>
      <c r="C5721" s="26" t="s">
        <v>4697</v>
      </c>
      <c r="D5721" s="8">
        <v>890</v>
      </c>
      <c r="E5721" s="8"/>
      <c r="F5721" s="92">
        <f t="shared" si="90"/>
        <v>28089</v>
      </c>
    </row>
    <row r="5722" spans="1:6" x14ac:dyDescent="0.25">
      <c r="A5722" s="204">
        <v>43466</v>
      </c>
      <c r="B5722" s="26" t="s">
        <v>0</v>
      </c>
      <c r="C5722" s="26" t="s">
        <v>4323</v>
      </c>
      <c r="D5722" s="8">
        <v>5000</v>
      </c>
      <c r="E5722" s="8"/>
      <c r="F5722" s="92">
        <f t="shared" si="90"/>
        <v>23089</v>
      </c>
    </row>
    <row r="5723" spans="1:6" x14ac:dyDescent="0.25">
      <c r="A5723" s="204">
        <v>43466</v>
      </c>
      <c r="B5723" s="26" t="s">
        <v>4760</v>
      </c>
      <c r="C5723" s="26" t="s">
        <v>4719</v>
      </c>
      <c r="D5723" s="8">
        <v>15000</v>
      </c>
      <c r="E5723" s="8"/>
      <c r="F5723" s="92">
        <f t="shared" si="90"/>
        <v>8089</v>
      </c>
    </row>
    <row r="5724" spans="1:6" x14ac:dyDescent="0.25">
      <c r="A5724" s="204">
        <v>43467</v>
      </c>
      <c r="B5724" s="26" t="s">
        <v>74</v>
      </c>
      <c r="C5724" s="26" t="s">
        <v>4720</v>
      </c>
      <c r="D5724" s="8">
        <v>50</v>
      </c>
      <c r="E5724" s="8"/>
      <c r="F5724" s="92">
        <f t="shared" si="90"/>
        <v>8039</v>
      </c>
    </row>
    <row r="5725" spans="1:6" x14ac:dyDescent="0.25">
      <c r="A5725" s="204">
        <v>43467</v>
      </c>
      <c r="B5725" s="26" t="s">
        <v>3728</v>
      </c>
      <c r="C5725" s="26" t="s">
        <v>4761</v>
      </c>
      <c r="D5725" s="8">
        <v>4150</v>
      </c>
      <c r="E5725" s="8"/>
      <c r="F5725" s="92">
        <f t="shared" si="90"/>
        <v>3889</v>
      </c>
    </row>
    <row r="5726" spans="1:6" x14ac:dyDescent="0.25">
      <c r="A5726" s="204">
        <v>43467</v>
      </c>
      <c r="B5726" s="26" t="s">
        <v>2573</v>
      </c>
      <c r="C5726" s="26" t="s">
        <v>4032</v>
      </c>
      <c r="D5726" s="8">
        <v>215</v>
      </c>
      <c r="E5726" s="8"/>
      <c r="F5726" s="92">
        <f t="shared" si="90"/>
        <v>3674</v>
      </c>
    </row>
    <row r="5727" spans="1:6" x14ac:dyDescent="0.25">
      <c r="A5727" s="204">
        <v>43469</v>
      </c>
      <c r="B5727" s="26" t="s">
        <v>26</v>
      </c>
      <c r="C5727" s="26" t="s">
        <v>4721</v>
      </c>
      <c r="D5727" s="8">
        <f>120+300+45+260+30+50+80+150+40+50+140+180+200</f>
        <v>1645</v>
      </c>
      <c r="E5727" s="8"/>
      <c r="F5727" s="92">
        <f t="shared" si="90"/>
        <v>2029</v>
      </c>
    </row>
    <row r="5728" spans="1:6" x14ac:dyDescent="0.25">
      <c r="A5728" s="204">
        <v>43473</v>
      </c>
      <c r="B5728" s="26" t="s">
        <v>26</v>
      </c>
      <c r="C5728" s="26" t="s">
        <v>4725</v>
      </c>
      <c r="D5728" s="8">
        <f>130+140+570+260+200+80+45+70+40+45+45+45+120+15+180+40</f>
        <v>2025</v>
      </c>
      <c r="E5728" s="8"/>
      <c r="F5728" s="92">
        <f t="shared" si="90"/>
        <v>4</v>
      </c>
    </row>
    <row r="5729" spans="1:6" x14ac:dyDescent="0.25">
      <c r="A5729" s="204">
        <v>43473</v>
      </c>
      <c r="B5729" s="460" t="s">
        <v>4656</v>
      </c>
      <c r="C5729" s="460"/>
      <c r="D5729" s="71"/>
      <c r="E5729" s="58">
        <v>50000</v>
      </c>
      <c r="F5729" s="92">
        <f t="shared" si="90"/>
        <v>50004</v>
      </c>
    </row>
    <row r="5730" spans="1:6" x14ac:dyDescent="0.25">
      <c r="A5730" s="204">
        <v>43473</v>
      </c>
      <c r="B5730" s="26" t="s">
        <v>2597</v>
      </c>
      <c r="C5730" s="26" t="s">
        <v>4726</v>
      </c>
      <c r="D5730" s="8">
        <v>20126</v>
      </c>
      <c r="E5730" s="8"/>
      <c r="F5730" s="92">
        <f t="shared" si="90"/>
        <v>29878</v>
      </c>
    </row>
    <row r="5731" spans="1:6" x14ac:dyDescent="0.25">
      <c r="A5731" s="204">
        <v>43473</v>
      </c>
      <c r="B5731" s="29" t="s">
        <v>29</v>
      </c>
      <c r="C5731" s="29" t="s">
        <v>4727</v>
      </c>
      <c r="D5731" s="8">
        <v>20000</v>
      </c>
      <c r="E5731" s="8"/>
      <c r="F5731" s="92">
        <f t="shared" si="90"/>
        <v>9878</v>
      </c>
    </row>
    <row r="5732" spans="1:6" x14ac:dyDescent="0.25">
      <c r="A5732" s="204">
        <v>43474</v>
      </c>
      <c r="B5732" s="460" t="s">
        <v>4110</v>
      </c>
      <c r="C5732" s="460"/>
      <c r="D5732" s="71"/>
      <c r="E5732" s="58">
        <v>50000</v>
      </c>
      <c r="F5732" s="92">
        <f t="shared" si="90"/>
        <v>59878</v>
      </c>
    </row>
    <row r="5733" spans="1:6" x14ac:dyDescent="0.25">
      <c r="A5733" s="204">
        <v>43474</v>
      </c>
      <c r="B5733" s="26" t="s">
        <v>2597</v>
      </c>
      <c r="C5733" s="26" t="s">
        <v>4743</v>
      </c>
      <c r="D5733" s="8">
        <v>6000</v>
      </c>
      <c r="E5733" s="8"/>
      <c r="F5733" s="92">
        <f t="shared" si="90"/>
        <v>53878</v>
      </c>
    </row>
    <row r="5734" spans="1:6" x14ac:dyDescent="0.25">
      <c r="A5734" s="204">
        <v>43474</v>
      </c>
      <c r="B5734" s="26" t="s">
        <v>2597</v>
      </c>
      <c r="C5734" s="26" t="s">
        <v>4744</v>
      </c>
      <c r="D5734" s="8">
        <v>32650</v>
      </c>
      <c r="E5734" s="8"/>
      <c r="F5734" s="92">
        <f t="shared" si="90"/>
        <v>21228</v>
      </c>
    </row>
    <row r="5735" spans="1:6" x14ac:dyDescent="0.25">
      <c r="A5735" s="204">
        <v>43474</v>
      </c>
      <c r="B5735" s="26" t="s">
        <v>4728</v>
      </c>
      <c r="C5735" s="26" t="s">
        <v>4729</v>
      </c>
      <c r="D5735" s="8">
        <v>6000</v>
      </c>
      <c r="E5735" s="8"/>
      <c r="F5735" s="92">
        <f t="shared" si="90"/>
        <v>15228</v>
      </c>
    </row>
    <row r="5736" spans="1:6" x14ac:dyDescent="0.25">
      <c r="A5736" s="204">
        <v>43474</v>
      </c>
      <c r="B5736" s="26" t="s">
        <v>0</v>
      </c>
      <c r="C5736" s="26" t="s">
        <v>3616</v>
      </c>
      <c r="D5736" s="8">
        <v>3000</v>
      </c>
      <c r="E5736" s="8"/>
      <c r="F5736" s="92">
        <f t="shared" si="90"/>
        <v>12228</v>
      </c>
    </row>
    <row r="5737" spans="1:6" x14ac:dyDescent="0.25">
      <c r="A5737" s="204">
        <v>43474</v>
      </c>
      <c r="B5737" s="26" t="s">
        <v>17</v>
      </c>
      <c r="C5737" s="26" t="s">
        <v>2438</v>
      </c>
      <c r="D5737" s="8">
        <v>600</v>
      </c>
      <c r="E5737" s="8"/>
      <c r="F5737" s="92">
        <f t="shared" si="90"/>
        <v>11628</v>
      </c>
    </row>
    <row r="5738" spans="1:6" x14ac:dyDescent="0.25">
      <c r="A5738" s="204">
        <v>43474</v>
      </c>
      <c r="B5738" s="26" t="s">
        <v>17</v>
      </c>
      <c r="C5738" s="26" t="s">
        <v>4730</v>
      </c>
      <c r="D5738" s="8">
        <v>500</v>
      </c>
      <c r="E5738" s="8"/>
      <c r="F5738" s="92">
        <f t="shared" si="90"/>
        <v>11128</v>
      </c>
    </row>
    <row r="5739" spans="1:6" x14ac:dyDescent="0.25">
      <c r="A5739" s="204">
        <v>43474</v>
      </c>
      <c r="B5739" s="26" t="s">
        <v>248</v>
      </c>
      <c r="C5739" s="26" t="s">
        <v>4731</v>
      </c>
      <c r="D5739" s="8">
        <v>1000</v>
      </c>
      <c r="E5739" s="8"/>
      <c r="F5739" s="92">
        <f t="shared" si="90"/>
        <v>10128</v>
      </c>
    </row>
    <row r="5740" spans="1:6" x14ac:dyDescent="0.25">
      <c r="A5740" s="204">
        <v>43474</v>
      </c>
      <c r="B5740" s="26" t="s">
        <v>4732</v>
      </c>
      <c r="C5740" s="26" t="s">
        <v>4733</v>
      </c>
      <c r="D5740" s="8">
        <v>500</v>
      </c>
      <c r="E5740" s="8"/>
      <c r="F5740" s="92">
        <f t="shared" si="90"/>
        <v>9628</v>
      </c>
    </row>
    <row r="5741" spans="1:6" x14ac:dyDescent="0.25">
      <c r="A5741" s="204">
        <v>43474</v>
      </c>
      <c r="B5741" s="26" t="s">
        <v>4116</v>
      </c>
      <c r="C5741" s="26" t="s">
        <v>1627</v>
      </c>
      <c r="D5741" s="8">
        <v>100</v>
      </c>
      <c r="E5741" s="8"/>
      <c r="F5741" s="92">
        <f t="shared" si="90"/>
        <v>9528</v>
      </c>
    </row>
    <row r="5742" spans="1:6" x14ac:dyDescent="0.25">
      <c r="A5742" s="204">
        <v>43474</v>
      </c>
      <c r="B5742" s="26" t="s">
        <v>1461</v>
      </c>
      <c r="C5742" s="26" t="s">
        <v>4734</v>
      </c>
      <c r="D5742" s="8">
        <v>1700</v>
      </c>
      <c r="E5742" s="8"/>
      <c r="F5742" s="92">
        <f t="shared" si="90"/>
        <v>7828</v>
      </c>
    </row>
    <row r="5743" spans="1:6" x14ac:dyDescent="0.25">
      <c r="A5743" s="204">
        <v>43474</v>
      </c>
      <c r="B5743" s="26" t="s">
        <v>101</v>
      </c>
      <c r="C5743" s="26" t="s">
        <v>4735</v>
      </c>
      <c r="D5743" s="8">
        <v>1000</v>
      </c>
      <c r="E5743" s="8"/>
      <c r="F5743" s="92">
        <f t="shared" si="90"/>
        <v>6828</v>
      </c>
    </row>
    <row r="5744" spans="1:6" x14ac:dyDescent="0.25">
      <c r="A5744" s="204">
        <v>43475</v>
      </c>
      <c r="B5744" s="460" t="s">
        <v>4110</v>
      </c>
      <c r="C5744" s="460"/>
      <c r="D5744" s="71"/>
      <c r="E5744" s="58">
        <v>100000</v>
      </c>
      <c r="F5744" s="92">
        <f t="shared" si="90"/>
        <v>106828</v>
      </c>
    </row>
    <row r="5745" spans="1:6" x14ac:dyDescent="0.25">
      <c r="A5745" s="204">
        <v>43475</v>
      </c>
      <c r="B5745" s="26" t="s">
        <v>14</v>
      </c>
      <c r="C5745" s="26" t="s">
        <v>4736</v>
      </c>
      <c r="D5745" s="8">
        <v>10000</v>
      </c>
      <c r="E5745" s="8"/>
      <c r="F5745" s="92">
        <f t="shared" si="90"/>
        <v>96828</v>
      </c>
    </row>
    <row r="5746" spans="1:6" x14ac:dyDescent="0.25">
      <c r="A5746" s="204">
        <v>43475</v>
      </c>
      <c r="B5746" s="26" t="s">
        <v>14</v>
      </c>
      <c r="C5746" s="26" t="s">
        <v>3903</v>
      </c>
      <c r="D5746" s="8">
        <v>1000</v>
      </c>
      <c r="E5746" s="8"/>
      <c r="F5746" s="92">
        <f t="shared" si="90"/>
        <v>95828</v>
      </c>
    </row>
    <row r="5747" spans="1:6" x14ac:dyDescent="0.25">
      <c r="A5747" s="204">
        <v>43475</v>
      </c>
      <c r="B5747" s="26" t="s">
        <v>11</v>
      </c>
      <c r="C5747" s="26" t="s">
        <v>295</v>
      </c>
      <c r="D5747" s="8">
        <v>1600</v>
      </c>
      <c r="E5747" s="8"/>
      <c r="F5747" s="92">
        <f t="shared" si="90"/>
        <v>94228</v>
      </c>
    </row>
    <row r="5748" spans="1:6" x14ac:dyDescent="0.25">
      <c r="A5748" s="204">
        <v>43475</v>
      </c>
      <c r="B5748" s="26" t="s">
        <v>4737</v>
      </c>
      <c r="C5748" s="26" t="s">
        <v>4155</v>
      </c>
      <c r="D5748" s="8">
        <v>20000</v>
      </c>
      <c r="E5748" s="8"/>
      <c r="F5748" s="92">
        <f t="shared" si="90"/>
        <v>74228</v>
      </c>
    </row>
    <row r="5749" spans="1:6" x14ac:dyDescent="0.25">
      <c r="A5749" s="204">
        <v>43475</v>
      </c>
      <c r="B5749" s="26" t="s">
        <v>1346</v>
      </c>
      <c r="C5749" s="26" t="s">
        <v>4738</v>
      </c>
      <c r="D5749" s="8">
        <v>57400</v>
      </c>
      <c r="E5749" s="8"/>
      <c r="F5749" s="92">
        <f t="shared" si="90"/>
        <v>16828</v>
      </c>
    </row>
    <row r="5750" spans="1:6" x14ac:dyDescent="0.25">
      <c r="A5750" s="204">
        <v>43475</v>
      </c>
      <c r="B5750" s="26" t="s">
        <v>85</v>
      </c>
      <c r="C5750" s="26" t="s">
        <v>4739</v>
      </c>
      <c r="D5750" s="8">
        <v>500</v>
      </c>
      <c r="E5750" s="8"/>
      <c r="F5750" s="92">
        <f t="shared" si="90"/>
        <v>16328</v>
      </c>
    </row>
    <row r="5751" spans="1:6" x14ac:dyDescent="0.25">
      <c r="A5751" s="204">
        <v>43476</v>
      </c>
      <c r="B5751" s="26" t="s">
        <v>2597</v>
      </c>
      <c r="C5751" s="26" t="s">
        <v>4741</v>
      </c>
      <c r="D5751" s="8">
        <v>4260</v>
      </c>
      <c r="E5751" s="8"/>
      <c r="F5751" s="92">
        <f t="shared" si="90"/>
        <v>12068</v>
      </c>
    </row>
    <row r="5752" spans="1:6" x14ac:dyDescent="0.25">
      <c r="A5752" s="204">
        <v>43476</v>
      </c>
      <c r="B5752" s="26" t="s">
        <v>2597</v>
      </c>
      <c r="C5752" s="26" t="s">
        <v>4742</v>
      </c>
      <c r="D5752" s="8">
        <v>9000</v>
      </c>
      <c r="E5752" s="8"/>
      <c r="F5752" s="92">
        <f t="shared" si="90"/>
        <v>3068</v>
      </c>
    </row>
    <row r="5753" spans="1:6" x14ac:dyDescent="0.25">
      <c r="A5753" s="204">
        <v>43476</v>
      </c>
      <c r="B5753" s="29" t="s">
        <v>26</v>
      </c>
      <c r="C5753" s="29" t="s">
        <v>4740</v>
      </c>
      <c r="D5753" s="8">
        <f>480+45+130+110+230+45+110+15+60+100+180+35</f>
        <v>1540</v>
      </c>
      <c r="E5753" s="8"/>
      <c r="F5753" s="92">
        <f t="shared" si="90"/>
        <v>1528</v>
      </c>
    </row>
    <row r="5754" spans="1:6" x14ac:dyDescent="0.25">
      <c r="A5754" s="204">
        <v>43476</v>
      </c>
      <c r="B5754" s="460" t="s">
        <v>4610</v>
      </c>
      <c r="C5754" s="460"/>
      <c r="D5754" s="71"/>
      <c r="E5754" s="58">
        <v>100000</v>
      </c>
      <c r="F5754" s="92">
        <f t="shared" si="90"/>
        <v>101528</v>
      </c>
    </row>
    <row r="5755" spans="1:6" x14ac:dyDescent="0.25">
      <c r="A5755" s="204">
        <v>43476</v>
      </c>
      <c r="B5755" s="29" t="s">
        <v>542</v>
      </c>
      <c r="C5755" s="29" t="s">
        <v>4747</v>
      </c>
      <c r="D5755" s="8">
        <v>29050</v>
      </c>
      <c r="E5755" s="8"/>
      <c r="F5755" s="92">
        <f t="shared" si="90"/>
        <v>72478</v>
      </c>
    </row>
    <row r="5756" spans="1:6" x14ac:dyDescent="0.25">
      <c r="A5756" s="204">
        <v>43476</v>
      </c>
      <c r="B5756" s="29" t="s">
        <v>4116</v>
      </c>
      <c r="C5756" s="29" t="s">
        <v>2016</v>
      </c>
      <c r="D5756" s="8">
        <v>150</v>
      </c>
      <c r="E5756" s="8"/>
      <c r="F5756" s="92">
        <f t="shared" si="90"/>
        <v>72328</v>
      </c>
    </row>
    <row r="5757" spans="1:6" x14ac:dyDescent="0.25">
      <c r="A5757" s="204">
        <v>43476</v>
      </c>
      <c r="B5757" s="29" t="s">
        <v>4748</v>
      </c>
      <c r="C5757" s="29" t="s">
        <v>4749</v>
      </c>
      <c r="D5757" s="8">
        <v>10000</v>
      </c>
      <c r="E5757" s="8"/>
      <c r="F5757" s="92">
        <f t="shared" si="90"/>
        <v>62328</v>
      </c>
    </row>
    <row r="5758" spans="1:6" x14ac:dyDescent="0.25">
      <c r="A5758" s="204">
        <v>43477</v>
      </c>
      <c r="B5758" s="26" t="s">
        <v>2597</v>
      </c>
      <c r="C5758" s="26" t="s">
        <v>4750</v>
      </c>
      <c r="D5758" s="8">
        <v>4000</v>
      </c>
      <c r="E5758" s="8"/>
      <c r="F5758" s="92">
        <f t="shared" si="90"/>
        <v>58328</v>
      </c>
    </row>
    <row r="5759" spans="1:6" x14ac:dyDescent="0.25">
      <c r="A5759" s="204">
        <v>43477</v>
      </c>
      <c r="B5759" s="26" t="s">
        <v>19</v>
      </c>
      <c r="C5759" s="26" t="s">
        <v>4751</v>
      </c>
      <c r="D5759" s="8">
        <v>1000</v>
      </c>
      <c r="E5759" s="8"/>
      <c r="F5759" s="92">
        <f t="shared" si="90"/>
        <v>57328</v>
      </c>
    </row>
    <row r="5760" spans="1:6" x14ac:dyDescent="0.25">
      <c r="A5760" s="204">
        <v>43477</v>
      </c>
      <c r="B5760" s="29" t="s">
        <v>3563</v>
      </c>
      <c r="C5760" s="29" t="s">
        <v>3446</v>
      </c>
      <c r="D5760" s="8">
        <v>670</v>
      </c>
      <c r="E5760" s="8"/>
      <c r="F5760" s="92">
        <f t="shared" si="90"/>
        <v>56658</v>
      </c>
    </row>
    <row r="5761" spans="1:6" x14ac:dyDescent="0.25">
      <c r="A5761" s="204">
        <v>43477</v>
      </c>
      <c r="B5761" s="26" t="s">
        <v>1346</v>
      </c>
      <c r="C5761" s="26" t="s">
        <v>4752</v>
      </c>
      <c r="D5761" s="8">
        <v>46000</v>
      </c>
      <c r="E5761" s="8"/>
      <c r="F5761" s="92">
        <f t="shared" si="90"/>
        <v>10658</v>
      </c>
    </row>
    <row r="5762" spans="1:6" x14ac:dyDescent="0.25">
      <c r="A5762" s="204">
        <v>43479</v>
      </c>
      <c r="B5762" s="26" t="s">
        <v>85</v>
      </c>
      <c r="C5762" s="26" t="s">
        <v>4753</v>
      </c>
      <c r="D5762" s="8">
        <v>1000</v>
      </c>
      <c r="E5762" s="8"/>
      <c r="F5762" s="92">
        <f t="shared" si="90"/>
        <v>9658</v>
      </c>
    </row>
    <row r="5763" spans="1:6" x14ac:dyDescent="0.25">
      <c r="A5763" s="204">
        <v>43479</v>
      </c>
      <c r="B5763" s="26" t="s">
        <v>85</v>
      </c>
      <c r="C5763" s="26" t="s">
        <v>4754</v>
      </c>
      <c r="D5763" s="8">
        <v>500</v>
      </c>
      <c r="E5763" s="8"/>
      <c r="F5763" s="92">
        <f t="shared" si="90"/>
        <v>9158</v>
      </c>
    </row>
    <row r="5764" spans="1:6" x14ac:dyDescent="0.25">
      <c r="A5764" s="204">
        <v>43480</v>
      </c>
      <c r="B5764" s="26" t="s">
        <v>248</v>
      </c>
      <c r="C5764" s="26" t="s">
        <v>4755</v>
      </c>
      <c r="D5764" s="8">
        <v>200</v>
      </c>
      <c r="E5764" s="8"/>
      <c r="F5764" s="92">
        <f t="shared" si="90"/>
        <v>8958</v>
      </c>
    </row>
    <row r="5765" spans="1:6" x14ac:dyDescent="0.25">
      <c r="A5765" s="204">
        <v>43480</v>
      </c>
      <c r="B5765" s="460" t="s">
        <v>4610</v>
      </c>
      <c r="C5765" s="460"/>
      <c r="D5765" s="71"/>
      <c r="E5765" s="58">
        <v>50000</v>
      </c>
      <c r="F5765" s="92">
        <f>F5764-D5765+E5765</f>
        <v>58958</v>
      </c>
    </row>
    <row r="5766" spans="1:6" x14ac:dyDescent="0.25">
      <c r="A5766" s="204">
        <v>43480</v>
      </c>
      <c r="B5766" s="26" t="s">
        <v>2597</v>
      </c>
      <c r="C5766" s="26" t="s">
        <v>3146</v>
      </c>
      <c r="D5766" s="8">
        <v>10000</v>
      </c>
      <c r="E5766" s="8"/>
      <c r="F5766" s="92">
        <f>F5765-D5766+E5766</f>
        <v>48958</v>
      </c>
    </row>
    <row r="5767" spans="1:6" x14ac:dyDescent="0.25">
      <c r="A5767" s="204">
        <v>43480</v>
      </c>
      <c r="B5767" s="26" t="s">
        <v>14</v>
      </c>
      <c r="C5767" s="26" t="s">
        <v>4756</v>
      </c>
      <c r="D5767" s="8">
        <v>1500</v>
      </c>
      <c r="E5767" s="8"/>
      <c r="F5767" s="92">
        <f t="shared" si="90"/>
        <v>47458</v>
      </c>
    </row>
    <row r="5768" spans="1:6" x14ac:dyDescent="0.25">
      <c r="A5768" s="204">
        <v>43480</v>
      </c>
      <c r="B5768" s="26" t="s">
        <v>2951</v>
      </c>
      <c r="C5768" s="26" t="s">
        <v>4362</v>
      </c>
      <c r="D5768" s="8">
        <v>5280</v>
      </c>
      <c r="E5768" s="8"/>
      <c r="F5768" s="92">
        <f t="shared" si="90"/>
        <v>42178</v>
      </c>
    </row>
    <row r="5769" spans="1:6" x14ac:dyDescent="0.25">
      <c r="A5769" s="204">
        <v>43480</v>
      </c>
      <c r="B5769" s="26" t="s">
        <v>2099</v>
      </c>
      <c r="C5769" s="26" t="s">
        <v>4191</v>
      </c>
      <c r="D5769" s="57">
        <v>20000</v>
      </c>
      <c r="E5769" s="8"/>
      <c r="F5769" s="92">
        <f t="shared" si="90"/>
        <v>22178</v>
      </c>
    </row>
    <row r="5770" spans="1:6" x14ac:dyDescent="0.25">
      <c r="A5770" s="204">
        <v>43480</v>
      </c>
      <c r="B5770" s="26" t="s">
        <v>85</v>
      </c>
      <c r="C5770" s="26" t="s">
        <v>4762</v>
      </c>
      <c r="D5770" s="8">
        <v>20000</v>
      </c>
      <c r="E5770" s="8"/>
      <c r="F5770" s="92">
        <f t="shared" si="90"/>
        <v>2178</v>
      </c>
    </row>
    <row r="5771" spans="1:6" x14ac:dyDescent="0.25">
      <c r="A5771" s="204">
        <v>43480</v>
      </c>
      <c r="B5771" s="26" t="s">
        <v>4763</v>
      </c>
      <c r="C5771" s="26" t="s">
        <v>4764</v>
      </c>
      <c r="D5771" s="8">
        <v>1500</v>
      </c>
      <c r="E5771" s="8"/>
      <c r="F5771" s="92">
        <f t="shared" si="90"/>
        <v>678</v>
      </c>
    </row>
    <row r="5772" spans="1:6" x14ac:dyDescent="0.25">
      <c r="A5772" s="204">
        <v>43481</v>
      </c>
      <c r="B5772" s="460" t="s">
        <v>4610</v>
      </c>
      <c r="C5772" s="460"/>
      <c r="D5772" s="71"/>
      <c r="E5772" s="58">
        <v>100000</v>
      </c>
      <c r="F5772" s="92">
        <f t="shared" si="90"/>
        <v>100678</v>
      </c>
    </row>
    <row r="5773" spans="1:6" x14ac:dyDescent="0.25">
      <c r="A5773" s="204">
        <v>43481</v>
      </c>
      <c r="B5773" s="26" t="s">
        <v>3829</v>
      </c>
      <c r="C5773" s="26" t="s">
        <v>4765</v>
      </c>
      <c r="D5773" s="8">
        <v>3500</v>
      </c>
      <c r="E5773" s="8"/>
      <c r="F5773" s="92">
        <f t="shared" si="90"/>
        <v>97178</v>
      </c>
    </row>
    <row r="5774" spans="1:6" x14ac:dyDescent="0.25">
      <c r="A5774" s="204">
        <v>43481</v>
      </c>
      <c r="B5774" s="26" t="s">
        <v>4116</v>
      </c>
      <c r="C5774" s="26" t="s">
        <v>1627</v>
      </c>
      <c r="D5774" s="8">
        <v>200</v>
      </c>
      <c r="E5774" s="8"/>
      <c r="F5774" s="92">
        <f t="shared" si="90"/>
        <v>96978</v>
      </c>
    </row>
    <row r="5775" spans="1:6" x14ac:dyDescent="0.25">
      <c r="A5775" s="204">
        <v>43481</v>
      </c>
      <c r="B5775" s="26" t="s">
        <v>14</v>
      </c>
      <c r="C5775" s="26" t="s">
        <v>4766</v>
      </c>
      <c r="D5775" s="8">
        <v>30000</v>
      </c>
      <c r="E5775" s="8"/>
      <c r="F5775" s="92">
        <f t="shared" si="90"/>
        <v>66978</v>
      </c>
    </row>
    <row r="5776" spans="1:6" x14ac:dyDescent="0.25">
      <c r="A5776" s="204">
        <v>43481</v>
      </c>
      <c r="B5776" s="29" t="s">
        <v>4767</v>
      </c>
      <c r="C5776" s="29" t="s">
        <v>4768</v>
      </c>
      <c r="D5776" s="8">
        <v>10000</v>
      </c>
      <c r="E5776" s="8"/>
      <c r="F5776" s="92">
        <f t="shared" si="90"/>
        <v>56978</v>
      </c>
    </row>
    <row r="5777" spans="1:6" x14ac:dyDescent="0.25">
      <c r="A5777" s="204">
        <v>43481</v>
      </c>
      <c r="B5777" s="29" t="s">
        <v>2951</v>
      </c>
      <c r="C5777" s="29" t="s">
        <v>4783</v>
      </c>
      <c r="D5777" s="8">
        <v>40000</v>
      </c>
      <c r="E5777" s="8"/>
      <c r="F5777" s="92">
        <f t="shared" si="90"/>
        <v>16978</v>
      </c>
    </row>
    <row r="5778" spans="1:6" x14ac:dyDescent="0.25">
      <c r="A5778" s="204">
        <v>43481</v>
      </c>
      <c r="B5778" s="29" t="s">
        <v>1840</v>
      </c>
      <c r="C5778" s="29" t="s">
        <v>4769</v>
      </c>
      <c r="D5778" s="8">
        <v>630</v>
      </c>
      <c r="E5778" s="8"/>
      <c r="F5778" s="92">
        <f t="shared" si="90"/>
        <v>16348</v>
      </c>
    </row>
    <row r="5779" spans="1:6" x14ac:dyDescent="0.25">
      <c r="A5779" s="204">
        <v>43481</v>
      </c>
      <c r="B5779" s="29" t="s">
        <v>4778</v>
      </c>
      <c r="C5779" s="29" t="s">
        <v>4777</v>
      </c>
      <c r="D5779" s="8">
        <v>15000</v>
      </c>
      <c r="E5779" s="8"/>
      <c r="F5779" s="92">
        <f t="shared" si="90"/>
        <v>1348</v>
      </c>
    </row>
    <row r="5780" spans="1:6" x14ac:dyDescent="0.25">
      <c r="A5780" s="204">
        <v>43482</v>
      </c>
      <c r="B5780" s="460" t="s">
        <v>4610</v>
      </c>
      <c r="C5780" s="460"/>
      <c r="D5780" s="71"/>
      <c r="E5780" s="58">
        <v>50000</v>
      </c>
      <c r="F5780" s="92">
        <f t="shared" si="90"/>
        <v>51348</v>
      </c>
    </row>
    <row r="5781" spans="1:6" x14ac:dyDescent="0.25">
      <c r="A5781" s="204">
        <v>43482</v>
      </c>
      <c r="B5781" s="26" t="s">
        <v>2597</v>
      </c>
      <c r="C5781" s="26" t="s">
        <v>4770</v>
      </c>
      <c r="D5781" s="8">
        <v>10000</v>
      </c>
      <c r="E5781" s="8"/>
      <c r="F5781" s="92">
        <f t="shared" ref="F5781:F5818" si="91">F5780-D5781+E5781</f>
        <v>41348</v>
      </c>
    </row>
    <row r="5782" spans="1:6" x14ac:dyDescent="0.25">
      <c r="A5782" s="204">
        <v>43482</v>
      </c>
      <c r="B5782" s="26" t="s">
        <v>4771</v>
      </c>
      <c r="C5782" s="26" t="s">
        <v>4772</v>
      </c>
      <c r="D5782" s="8">
        <v>15000</v>
      </c>
      <c r="E5782" s="8"/>
      <c r="F5782" s="92">
        <f t="shared" si="91"/>
        <v>26348</v>
      </c>
    </row>
    <row r="5783" spans="1:6" x14ac:dyDescent="0.25">
      <c r="A5783" s="204">
        <v>43482</v>
      </c>
      <c r="B5783" s="26" t="s">
        <v>2099</v>
      </c>
      <c r="C5783" s="26" t="s">
        <v>3914</v>
      </c>
      <c r="D5783" s="8">
        <v>15500</v>
      </c>
      <c r="E5783" s="8"/>
      <c r="F5783" s="92">
        <f t="shared" si="91"/>
        <v>10848</v>
      </c>
    </row>
    <row r="5784" spans="1:6" x14ac:dyDescent="0.25">
      <c r="A5784" s="204">
        <v>43482</v>
      </c>
      <c r="B5784" s="26" t="s">
        <v>85</v>
      </c>
      <c r="C5784" s="26" t="s">
        <v>4773</v>
      </c>
      <c r="D5784" s="8">
        <v>2000</v>
      </c>
      <c r="E5784" s="8"/>
      <c r="F5784" s="92">
        <f t="shared" si="91"/>
        <v>8848</v>
      </c>
    </row>
    <row r="5785" spans="1:6" x14ac:dyDescent="0.25">
      <c r="A5785" s="204">
        <v>43482</v>
      </c>
      <c r="B5785" s="26" t="s">
        <v>85</v>
      </c>
      <c r="C5785" s="26" t="s">
        <v>4774</v>
      </c>
      <c r="D5785" s="8">
        <v>2000</v>
      </c>
      <c r="E5785" s="8"/>
      <c r="F5785" s="92">
        <f t="shared" si="91"/>
        <v>6848</v>
      </c>
    </row>
    <row r="5786" spans="1:6" x14ac:dyDescent="0.25">
      <c r="A5786" s="204">
        <v>43482</v>
      </c>
      <c r="B5786" s="26" t="s">
        <v>0</v>
      </c>
      <c r="C5786" s="26" t="s">
        <v>4775</v>
      </c>
      <c r="D5786" s="8">
        <v>2000</v>
      </c>
      <c r="E5786" s="8"/>
      <c r="F5786" s="92">
        <f t="shared" si="91"/>
        <v>4848</v>
      </c>
    </row>
    <row r="5787" spans="1:6" x14ac:dyDescent="0.25">
      <c r="A5787" s="204">
        <v>43482</v>
      </c>
      <c r="B5787" s="26" t="s">
        <v>26</v>
      </c>
      <c r="C5787" s="26" t="s">
        <v>4779</v>
      </c>
      <c r="D5787" s="8">
        <f>25+190+110+180+190+140+130+50+110+280+130+30+45+280+120+20+45+130+140+280</f>
        <v>2625</v>
      </c>
      <c r="E5787" s="8"/>
      <c r="F5787" s="92">
        <f t="shared" si="91"/>
        <v>2223</v>
      </c>
    </row>
    <row r="5788" spans="1:6" x14ac:dyDescent="0.25">
      <c r="A5788" s="204">
        <v>43482</v>
      </c>
      <c r="B5788" s="26" t="s">
        <v>2951</v>
      </c>
      <c r="C5788" s="26" t="s">
        <v>4784</v>
      </c>
      <c r="D5788" s="8">
        <v>1600</v>
      </c>
      <c r="E5788" s="8"/>
      <c r="F5788" s="92">
        <f t="shared" si="91"/>
        <v>623</v>
      </c>
    </row>
    <row r="5789" spans="1:6" x14ac:dyDescent="0.25">
      <c r="A5789" s="204">
        <v>43483</v>
      </c>
      <c r="B5789" s="460" t="s">
        <v>4610</v>
      </c>
      <c r="C5789" s="460"/>
      <c r="D5789" s="71"/>
      <c r="E5789" s="58">
        <v>100000</v>
      </c>
      <c r="F5789" s="92">
        <f t="shared" si="91"/>
        <v>100623</v>
      </c>
    </row>
    <row r="5790" spans="1:6" x14ac:dyDescent="0.25">
      <c r="A5790" s="204">
        <v>43483</v>
      </c>
      <c r="B5790" s="26" t="s">
        <v>2597</v>
      </c>
      <c r="C5790" s="26" t="s">
        <v>4780</v>
      </c>
      <c r="D5790" s="8">
        <v>35000</v>
      </c>
      <c r="E5790" s="8"/>
      <c r="F5790" s="92">
        <f t="shared" si="91"/>
        <v>65623</v>
      </c>
    </row>
    <row r="5791" spans="1:6" x14ac:dyDescent="0.25">
      <c r="A5791" s="204">
        <v>43483</v>
      </c>
      <c r="B5791" s="26" t="s">
        <v>1346</v>
      </c>
      <c r="C5791" s="26" t="s">
        <v>4781</v>
      </c>
      <c r="D5791" s="8">
        <v>4000</v>
      </c>
      <c r="E5791" s="8"/>
      <c r="F5791" s="92">
        <f t="shared" si="91"/>
        <v>61623</v>
      </c>
    </row>
    <row r="5792" spans="1:6" x14ac:dyDescent="0.25">
      <c r="A5792" s="204">
        <v>43483</v>
      </c>
      <c r="B5792" s="26" t="s">
        <v>1346</v>
      </c>
      <c r="C5792" s="26" t="s">
        <v>4782</v>
      </c>
      <c r="D5792" s="8">
        <v>6000</v>
      </c>
      <c r="E5792" s="8"/>
      <c r="F5792" s="92">
        <f t="shared" si="91"/>
        <v>55623</v>
      </c>
    </row>
    <row r="5793" spans="1:6" x14ac:dyDescent="0.25">
      <c r="A5793" s="204">
        <v>43483</v>
      </c>
      <c r="B5793" s="26" t="s">
        <v>14</v>
      </c>
      <c r="C5793" s="26" t="s">
        <v>4804</v>
      </c>
      <c r="D5793" s="8">
        <v>55000</v>
      </c>
      <c r="E5793" s="8"/>
      <c r="F5793" s="92">
        <f t="shared" si="91"/>
        <v>623</v>
      </c>
    </row>
    <row r="5794" spans="1:6" x14ac:dyDescent="0.25">
      <c r="A5794" s="204">
        <v>43483</v>
      </c>
      <c r="B5794" s="460" t="s">
        <v>4610</v>
      </c>
      <c r="C5794" s="460"/>
      <c r="D5794" s="71"/>
      <c r="E5794" s="58">
        <v>100000</v>
      </c>
      <c r="F5794" s="92">
        <f t="shared" si="91"/>
        <v>100623</v>
      </c>
    </row>
    <row r="5795" spans="1:6" x14ac:dyDescent="0.25">
      <c r="A5795" s="204">
        <v>43483</v>
      </c>
      <c r="B5795" s="26" t="s">
        <v>3829</v>
      </c>
      <c r="C5795" s="26" t="s">
        <v>4191</v>
      </c>
      <c r="D5795" s="8">
        <v>1800</v>
      </c>
      <c r="E5795" s="8"/>
      <c r="F5795" s="92">
        <f t="shared" si="91"/>
        <v>98823</v>
      </c>
    </row>
    <row r="5796" spans="1:6" x14ac:dyDescent="0.25">
      <c r="A5796" s="204">
        <v>43483</v>
      </c>
      <c r="B5796" s="26" t="s">
        <v>26</v>
      </c>
      <c r="C5796" s="26" t="s">
        <v>4791</v>
      </c>
      <c r="D5796" s="8">
        <v>200</v>
      </c>
      <c r="E5796" s="8"/>
      <c r="F5796" s="92">
        <f t="shared" si="91"/>
        <v>98623</v>
      </c>
    </row>
    <row r="5797" spans="1:6" x14ac:dyDescent="0.25">
      <c r="A5797" s="204">
        <v>43483</v>
      </c>
      <c r="B5797" s="26" t="s">
        <v>4787</v>
      </c>
      <c r="C5797" s="26" t="s">
        <v>3454</v>
      </c>
      <c r="D5797" s="8"/>
      <c r="E5797" s="8">
        <v>1840</v>
      </c>
      <c r="F5797" s="92">
        <f t="shared" si="91"/>
        <v>100463</v>
      </c>
    </row>
    <row r="5798" spans="1:6" x14ac:dyDescent="0.25">
      <c r="A5798" s="204">
        <v>43486</v>
      </c>
      <c r="B5798" s="26" t="s">
        <v>31</v>
      </c>
      <c r="C5798" s="26" t="s">
        <v>4788</v>
      </c>
      <c r="D5798" s="8">
        <v>300</v>
      </c>
      <c r="E5798" s="8"/>
      <c r="F5798" s="92">
        <f t="shared" si="91"/>
        <v>100163</v>
      </c>
    </row>
    <row r="5799" spans="1:6" x14ac:dyDescent="0.25">
      <c r="A5799" s="204">
        <v>43486</v>
      </c>
      <c r="B5799" s="26" t="s">
        <v>31</v>
      </c>
      <c r="C5799" s="26" t="s">
        <v>4789</v>
      </c>
      <c r="D5799" s="8">
        <v>100</v>
      </c>
      <c r="E5799" s="8"/>
      <c r="F5799" s="92">
        <f t="shared" si="91"/>
        <v>100063</v>
      </c>
    </row>
    <row r="5800" spans="1:6" x14ac:dyDescent="0.25">
      <c r="A5800" s="204">
        <v>43486</v>
      </c>
      <c r="B5800" s="26" t="s">
        <v>31</v>
      </c>
      <c r="C5800" s="26" t="s">
        <v>4790</v>
      </c>
      <c r="D5800" s="8">
        <v>100</v>
      </c>
      <c r="E5800" s="8"/>
      <c r="F5800" s="92">
        <f t="shared" si="91"/>
        <v>99963</v>
      </c>
    </row>
    <row r="5801" spans="1:6" x14ac:dyDescent="0.25">
      <c r="A5801" s="204">
        <v>43486</v>
      </c>
      <c r="B5801" s="26" t="s">
        <v>2099</v>
      </c>
      <c r="C5801" s="26" t="s">
        <v>3561</v>
      </c>
      <c r="D5801" s="8">
        <v>30000</v>
      </c>
      <c r="E5801" s="8"/>
      <c r="F5801" s="92">
        <f t="shared" si="91"/>
        <v>69963</v>
      </c>
    </row>
    <row r="5802" spans="1:6" x14ac:dyDescent="0.25">
      <c r="A5802" s="204">
        <v>43486</v>
      </c>
      <c r="B5802" s="26" t="s">
        <v>14</v>
      </c>
      <c r="C5802" s="26" t="s">
        <v>3561</v>
      </c>
      <c r="D5802" s="8">
        <v>10000</v>
      </c>
      <c r="E5802" s="8"/>
      <c r="F5802" s="92">
        <f t="shared" si="91"/>
        <v>59963</v>
      </c>
    </row>
    <row r="5803" spans="1:6" x14ac:dyDescent="0.25">
      <c r="A5803" s="204">
        <v>43486</v>
      </c>
      <c r="B5803" s="26" t="s">
        <v>0</v>
      </c>
      <c r="C5803" s="26" t="s">
        <v>4792</v>
      </c>
      <c r="D5803" s="8">
        <v>5000</v>
      </c>
      <c r="E5803" s="8"/>
      <c r="F5803" s="92">
        <f t="shared" si="91"/>
        <v>54963</v>
      </c>
    </row>
    <row r="5804" spans="1:6" x14ac:dyDescent="0.25">
      <c r="A5804" s="204">
        <v>43486</v>
      </c>
      <c r="B5804" s="137" t="s">
        <v>85</v>
      </c>
      <c r="C5804" s="137" t="s">
        <v>4793</v>
      </c>
      <c r="D5804" s="8">
        <v>6000</v>
      </c>
      <c r="E5804" s="8"/>
      <c r="F5804" s="92">
        <f t="shared" si="91"/>
        <v>48963</v>
      </c>
    </row>
    <row r="5805" spans="1:6" x14ac:dyDescent="0.25">
      <c r="A5805" s="204">
        <v>43486</v>
      </c>
      <c r="B5805" s="26" t="s">
        <v>61</v>
      </c>
      <c r="C5805" s="26" t="s">
        <v>4794</v>
      </c>
      <c r="D5805" s="8">
        <v>1000</v>
      </c>
      <c r="E5805" s="8"/>
      <c r="F5805" s="92">
        <f t="shared" si="91"/>
        <v>47963</v>
      </c>
    </row>
    <row r="5806" spans="1:6" x14ac:dyDescent="0.25">
      <c r="A5806" s="204">
        <v>43486</v>
      </c>
      <c r="B5806" s="26" t="s">
        <v>1790</v>
      </c>
      <c r="C5806" s="26" t="s">
        <v>4795</v>
      </c>
      <c r="D5806" s="8">
        <v>1000</v>
      </c>
      <c r="E5806" s="8"/>
      <c r="F5806" s="92">
        <f t="shared" si="91"/>
        <v>46963</v>
      </c>
    </row>
    <row r="5807" spans="1:6" x14ac:dyDescent="0.25">
      <c r="A5807" s="204">
        <v>43486</v>
      </c>
      <c r="B5807" s="26" t="s">
        <v>2597</v>
      </c>
      <c r="C5807" s="26" t="s">
        <v>4796</v>
      </c>
      <c r="D5807" s="8">
        <v>11820</v>
      </c>
      <c r="E5807" s="8"/>
      <c r="F5807" s="92">
        <f t="shared" si="91"/>
        <v>35143</v>
      </c>
    </row>
    <row r="5808" spans="1:6" x14ac:dyDescent="0.25">
      <c r="A5808" s="204">
        <v>43487</v>
      </c>
      <c r="B5808" s="26" t="s">
        <v>248</v>
      </c>
      <c r="C5808" s="26" t="s">
        <v>4797</v>
      </c>
      <c r="D5808" s="8">
        <v>2360</v>
      </c>
      <c r="E5808" s="8"/>
      <c r="F5808" s="92">
        <f t="shared" si="91"/>
        <v>32783</v>
      </c>
    </row>
    <row r="5809" spans="1:6" x14ac:dyDescent="0.25">
      <c r="A5809" s="204">
        <v>43487</v>
      </c>
      <c r="B5809" s="26" t="s">
        <v>248</v>
      </c>
      <c r="C5809" s="26" t="s">
        <v>4325</v>
      </c>
      <c r="D5809" s="8">
        <v>480</v>
      </c>
      <c r="E5809" s="8"/>
      <c r="F5809" s="92">
        <f t="shared" si="91"/>
        <v>32303</v>
      </c>
    </row>
    <row r="5810" spans="1:6" x14ac:dyDescent="0.25">
      <c r="A5810" s="204">
        <v>43487</v>
      </c>
      <c r="B5810" s="460" t="s">
        <v>4610</v>
      </c>
      <c r="C5810" s="460"/>
      <c r="D5810" s="71"/>
      <c r="E5810" s="58">
        <v>50000</v>
      </c>
      <c r="F5810" s="92">
        <f t="shared" si="91"/>
        <v>82303</v>
      </c>
    </row>
    <row r="5811" spans="1:6" x14ac:dyDescent="0.25">
      <c r="A5811" s="204">
        <v>43487</v>
      </c>
      <c r="B5811" s="26" t="s">
        <v>1346</v>
      </c>
      <c r="C5811" s="26" t="s">
        <v>4803</v>
      </c>
      <c r="D5811" s="8">
        <v>20000</v>
      </c>
      <c r="E5811" s="8"/>
      <c r="F5811" s="92">
        <f t="shared" si="91"/>
        <v>62303</v>
      </c>
    </row>
    <row r="5812" spans="1:6" x14ac:dyDescent="0.25">
      <c r="A5812" s="204">
        <v>43488</v>
      </c>
      <c r="B5812" s="26" t="s">
        <v>26</v>
      </c>
      <c r="C5812" s="26" t="s">
        <v>4798</v>
      </c>
      <c r="D5812" s="8">
        <f>250+190+400+130+160+200+130+110+110+45+48+120+110+130+200+210</f>
        <v>2543</v>
      </c>
      <c r="E5812" s="8"/>
      <c r="F5812" s="92">
        <f t="shared" si="91"/>
        <v>59760</v>
      </c>
    </row>
    <row r="5813" spans="1:6" x14ac:dyDescent="0.25">
      <c r="A5813" s="204">
        <v>43488</v>
      </c>
      <c r="B5813" s="26" t="s">
        <v>248</v>
      </c>
      <c r="C5813" s="26" t="s">
        <v>3923</v>
      </c>
      <c r="D5813" s="8">
        <v>130</v>
      </c>
      <c r="E5813" s="8"/>
      <c r="F5813" s="92">
        <f t="shared" si="91"/>
        <v>59630</v>
      </c>
    </row>
    <row r="5814" spans="1:6" x14ac:dyDescent="0.25">
      <c r="A5814" s="204">
        <v>43488</v>
      </c>
      <c r="B5814" s="26" t="s">
        <v>4799</v>
      </c>
      <c r="C5814" s="26" t="s">
        <v>4800</v>
      </c>
      <c r="D5814" s="8">
        <v>11700</v>
      </c>
      <c r="E5814" s="8"/>
      <c r="F5814" s="92">
        <f t="shared" si="91"/>
        <v>47930</v>
      </c>
    </row>
    <row r="5815" spans="1:6" x14ac:dyDescent="0.25">
      <c r="A5815" s="204">
        <v>43488</v>
      </c>
      <c r="B5815" s="460" t="s">
        <v>4802</v>
      </c>
      <c r="C5815" s="460"/>
      <c r="D5815" s="71"/>
      <c r="E5815" s="58">
        <v>5000</v>
      </c>
      <c r="F5815" s="92">
        <f t="shared" si="91"/>
        <v>52930</v>
      </c>
    </row>
    <row r="5816" spans="1:6" x14ac:dyDescent="0.25">
      <c r="A5816" s="204">
        <v>43488</v>
      </c>
      <c r="B5816" s="26" t="s">
        <v>11</v>
      </c>
      <c r="C5816" s="26" t="s">
        <v>4801</v>
      </c>
      <c r="D5816" s="8">
        <v>2000</v>
      </c>
      <c r="E5816" s="8"/>
      <c r="F5816" s="92">
        <f t="shared" si="91"/>
        <v>50930</v>
      </c>
    </row>
    <row r="5817" spans="1:6" x14ac:dyDescent="0.25">
      <c r="A5817" s="204">
        <v>43488</v>
      </c>
      <c r="B5817" s="26" t="s">
        <v>2597</v>
      </c>
      <c r="C5817" s="26" t="s">
        <v>4805</v>
      </c>
      <c r="D5817" s="8">
        <v>50000</v>
      </c>
      <c r="E5817" s="8"/>
      <c r="F5817" s="92">
        <f t="shared" si="91"/>
        <v>930</v>
      </c>
    </row>
    <row r="5818" spans="1:6" x14ac:dyDescent="0.25">
      <c r="A5818" s="204">
        <v>43490</v>
      </c>
      <c r="B5818" s="460" t="s">
        <v>4610</v>
      </c>
      <c r="C5818" s="460"/>
      <c r="D5818" s="71"/>
      <c r="E5818" s="58">
        <v>100000</v>
      </c>
      <c r="F5818" s="92">
        <f t="shared" si="91"/>
        <v>100930</v>
      </c>
    </row>
    <row r="5819" spans="1:6" x14ac:dyDescent="0.25">
      <c r="A5819" s="204">
        <v>43490</v>
      </c>
      <c r="B5819" s="26" t="s">
        <v>3141</v>
      </c>
      <c r="C5819" s="26" t="s">
        <v>4806</v>
      </c>
      <c r="D5819" s="8">
        <v>18570</v>
      </c>
      <c r="E5819" s="8"/>
      <c r="F5819" s="92">
        <f t="shared" ref="F5819:F5847" si="92">F5818-D5819+E5819</f>
        <v>82360</v>
      </c>
    </row>
    <row r="5820" spans="1:6" x14ac:dyDescent="0.25">
      <c r="A5820" s="204">
        <v>43490</v>
      </c>
      <c r="B5820" s="26" t="s">
        <v>2597</v>
      </c>
      <c r="C5820" s="26" t="s">
        <v>4816</v>
      </c>
      <c r="D5820" s="8">
        <v>20000</v>
      </c>
      <c r="E5820" s="8"/>
      <c r="F5820" s="92">
        <f t="shared" si="92"/>
        <v>62360</v>
      </c>
    </row>
    <row r="5821" spans="1:6" x14ac:dyDescent="0.25">
      <c r="A5821" s="204">
        <v>43490</v>
      </c>
      <c r="B5821" s="26" t="s">
        <v>4807</v>
      </c>
      <c r="C5821" s="26" t="s">
        <v>4808</v>
      </c>
      <c r="D5821" s="8">
        <v>25000</v>
      </c>
      <c r="E5821" s="8"/>
      <c r="F5821" s="92">
        <f t="shared" si="92"/>
        <v>37360</v>
      </c>
    </row>
    <row r="5822" spans="1:6" x14ac:dyDescent="0.25">
      <c r="A5822" s="204">
        <v>43490</v>
      </c>
      <c r="B5822" s="26" t="s">
        <v>29</v>
      </c>
      <c r="C5822" s="26" t="s">
        <v>4809</v>
      </c>
      <c r="D5822" s="8">
        <v>15000</v>
      </c>
      <c r="E5822" s="8"/>
      <c r="F5822" s="92">
        <f t="shared" si="92"/>
        <v>22360</v>
      </c>
    </row>
    <row r="5823" spans="1:6" x14ac:dyDescent="0.25">
      <c r="A5823" s="204">
        <v>43490</v>
      </c>
      <c r="B5823" s="29" t="s">
        <v>0</v>
      </c>
      <c r="C5823" s="29" t="s">
        <v>4810</v>
      </c>
      <c r="D5823" s="8">
        <v>5000</v>
      </c>
      <c r="E5823" s="8"/>
      <c r="F5823" s="92">
        <f t="shared" si="92"/>
        <v>17360</v>
      </c>
    </row>
    <row r="5824" spans="1:6" x14ac:dyDescent="0.25">
      <c r="A5824" s="204">
        <v>43490</v>
      </c>
      <c r="B5824" s="26" t="s">
        <v>542</v>
      </c>
      <c r="C5824" s="26" t="s">
        <v>4811</v>
      </c>
      <c r="D5824" s="8">
        <v>1400</v>
      </c>
      <c r="E5824" s="8"/>
      <c r="F5824" s="92">
        <f t="shared" si="92"/>
        <v>15960</v>
      </c>
    </row>
    <row r="5825" spans="1:6" x14ac:dyDescent="0.25">
      <c r="A5825" s="204">
        <v>43490</v>
      </c>
      <c r="B5825" s="26" t="s">
        <v>3829</v>
      </c>
      <c r="C5825" s="26" t="s">
        <v>3914</v>
      </c>
      <c r="D5825" s="8">
        <v>5000</v>
      </c>
      <c r="E5825" s="8"/>
      <c r="F5825" s="92">
        <f t="shared" si="92"/>
        <v>10960</v>
      </c>
    </row>
    <row r="5826" spans="1:6" x14ac:dyDescent="0.25">
      <c r="A5826" s="204">
        <v>43490</v>
      </c>
      <c r="B5826" s="29" t="s">
        <v>14</v>
      </c>
      <c r="C5826" s="29" t="s">
        <v>295</v>
      </c>
      <c r="D5826" s="8">
        <v>10000</v>
      </c>
      <c r="E5826" s="8"/>
      <c r="F5826" s="92">
        <f t="shared" si="92"/>
        <v>960</v>
      </c>
    </row>
    <row r="5827" spans="1:6" x14ac:dyDescent="0.25">
      <c r="A5827" s="204">
        <v>43491</v>
      </c>
      <c r="B5827" s="460" t="s">
        <v>2963</v>
      </c>
      <c r="C5827" s="460"/>
      <c r="D5827" s="71"/>
      <c r="E5827" s="58">
        <v>5000</v>
      </c>
      <c r="F5827" s="92">
        <f t="shared" si="92"/>
        <v>5960</v>
      </c>
    </row>
    <row r="5828" spans="1:6" x14ac:dyDescent="0.25">
      <c r="A5828" s="204">
        <v>43491</v>
      </c>
      <c r="B5828" s="26" t="s">
        <v>2951</v>
      </c>
      <c r="C5828" s="26" t="s">
        <v>4812</v>
      </c>
      <c r="D5828" s="8">
        <v>3000</v>
      </c>
      <c r="E5828" s="8"/>
      <c r="F5828" s="92">
        <f t="shared" si="92"/>
        <v>2960</v>
      </c>
    </row>
    <row r="5829" spans="1:6" x14ac:dyDescent="0.25">
      <c r="A5829" s="204">
        <v>43491</v>
      </c>
      <c r="B5829" s="26" t="s">
        <v>14</v>
      </c>
      <c r="C5829" s="26" t="s">
        <v>641</v>
      </c>
      <c r="D5829" s="8">
        <v>1000</v>
      </c>
      <c r="E5829" s="8"/>
      <c r="F5829" s="92">
        <f t="shared" si="92"/>
        <v>1960</v>
      </c>
    </row>
    <row r="5830" spans="1:6" x14ac:dyDescent="0.25">
      <c r="A5830" s="204">
        <v>43491</v>
      </c>
      <c r="B5830" s="26" t="s">
        <v>85</v>
      </c>
      <c r="C5830" s="26" t="s">
        <v>4813</v>
      </c>
      <c r="D5830" s="8">
        <v>500</v>
      </c>
      <c r="E5830" s="8"/>
      <c r="F5830" s="92">
        <f t="shared" si="92"/>
        <v>1460</v>
      </c>
    </row>
    <row r="5831" spans="1:6" x14ac:dyDescent="0.25">
      <c r="A5831" s="204">
        <v>43493</v>
      </c>
      <c r="B5831" s="460" t="s">
        <v>4610</v>
      </c>
      <c r="C5831" s="460"/>
      <c r="D5831" s="71"/>
      <c r="E5831" s="58">
        <v>50000</v>
      </c>
      <c r="F5831" s="92">
        <f t="shared" si="92"/>
        <v>51460</v>
      </c>
    </row>
    <row r="5832" spans="1:6" x14ac:dyDescent="0.25">
      <c r="A5832" s="204">
        <v>43493</v>
      </c>
      <c r="B5832" s="29" t="s">
        <v>26</v>
      </c>
      <c r="C5832" s="29" t="s">
        <v>4817</v>
      </c>
      <c r="D5832" s="8">
        <f>250+140+180+30+20+200+180+130+45+20+240+220+140+40+50</f>
        <v>1885</v>
      </c>
      <c r="E5832" s="8"/>
      <c r="F5832" s="92">
        <f t="shared" si="92"/>
        <v>49575</v>
      </c>
    </row>
    <row r="5833" spans="1:6" x14ac:dyDescent="0.25">
      <c r="A5833" s="204">
        <v>43493</v>
      </c>
      <c r="B5833" s="26" t="s">
        <v>2597</v>
      </c>
      <c r="C5833" s="26" t="s">
        <v>4818</v>
      </c>
      <c r="D5833" s="8">
        <v>46300</v>
      </c>
      <c r="E5833" s="8"/>
      <c r="F5833" s="92">
        <f t="shared" si="92"/>
        <v>3275</v>
      </c>
    </row>
    <row r="5834" spans="1:6" x14ac:dyDescent="0.25">
      <c r="A5834" s="204">
        <v>43493</v>
      </c>
      <c r="B5834" s="460" t="s">
        <v>4610</v>
      </c>
      <c r="C5834" s="460"/>
      <c r="D5834" s="71"/>
      <c r="E5834" s="58">
        <v>100000</v>
      </c>
      <c r="F5834" s="92">
        <f t="shared" si="92"/>
        <v>103275</v>
      </c>
    </row>
    <row r="5835" spans="1:6" x14ac:dyDescent="0.25">
      <c r="A5835" s="204">
        <v>43493</v>
      </c>
      <c r="B5835" s="29" t="s">
        <v>2597</v>
      </c>
      <c r="C5835" s="29" t="s">
        <v>2547</v>
      </c>
      <c r="D5835" s="8">
        <v>39860</v>
      </c>
      <c r="E5835" s="8"/>
      <c r="F5835" s="92">
        <f t="shared" si="92"/>
        <v>63415</v>
      </c>
    </row>
    <row r="5836" spans="1:6" x14ac:dyDescent="0.25">
      <c r="A5836" s="204">
        <v>43493</v>
      </c>
      <c r="B5836" s="26" t="s">
        <v>2099</v>
      </c>
      <c r="C5836" s="26" t="s">
        <v>4819</v>
      </c>
      <c r="D5836" s="8">
        <v>5000</v>
      </c>
      <c r="E5836" s="8"/>
      <c r="F5836" s="92">
        <f t="shared" si="92"/>
        <v>58415</v>
      </c>
    </row>
    <row r="5837" spans="1:6" x14ac:dyDescent="0.25">
      <c r="A5837" s="204">
        <v>43494</v>
      </c>
      <c r="B5837" s="26" t="s">
        <v>58</v>
      </c>
      <c r="C5837" s="26" t="s">
        <v>4820</v>
      </c>
      <c r="D5837" s="8">
        <v>1900</v>
      </c>
      <c r="E5837" s="8"/>
      <c r="F5837" s="92">
        <f t="shared" si="92"/>
        <v>56515</v>
      </c>
    </row>
    <row r="5838" spans="1:6" x14ac:dyDescent="0.25">
      <c r="A5838" s="204">
        <v>43494</v>
      </c>
      <c r="B5838" s="26" t="s">
        <v>3738</v>
      </c>
      <c r="C5838" s="26" t="s">
        <v>4821</v>
      </c>
      <c r="D5838" s="8">
        <v>1500</v>
      </c>
      <c r="E5838" s="8"/>
      <c r="F5838" s="92">
        <f t="shared" si="92"/>
        <v>55015</v>
      </c>
    </row>
    <row r="5839" spans="1:6" x14ac:dyDescent="0.25">
      <c r="A5839" s="204">
        <v>43494</v>
      </c>
      <c r="B5839" s="26" t="s">
        <v>14</v>
      </c>
      <c r="C5839" s="26" t="s">
        <v>2547</v>
      </c>
      <c r="D5839" s="8">
        <v>50000</v>
      </c>
      <c r="E5839" s="8"/>
      <c r="F5839" s="92">
        <f t="shared" si="92"/>
        <v>5015</v>
      </c>
    </row>
    <row r="5840" spans="1:6" x14ac:dyDescent="0.25">
      <c r="A5840" s="204">
        <v>43494</v>
      </c>
      <c r="B5840" s="26" t="s">
        <v>2351</v>
      </c>
      <c r="C5840" s="26" t="s">
        <v>4822</v>
      </c>
      <c r="D5840" s="8">
        <v>5000</v>
      </c>
      <c r="E5840" s="8"/>
      <c r="F5840" s="92">
        <f t="shared" si="92"/>
        <v>15</v>
      </c>
    </row>
    <row r="5841" spans="1:6" x14ac:dyDescent="0.25">
      <c r="A5841" s="204">
        <v>43494</v>
      </c>
      <c r="B5841" s="460" t="s">
        <v>4610</v>
      </c>
      <c r="C5841" s="460"/>
      <c r="D5841" s="71"/>
      <c r="E5841" s="58">
        <v>35000</v>
      </c>
      <c r="F5841" s="92">
        <f t="shared" si="92"/>
        <v>35015</v>
      </c>
    </row>
    <row r="5842" spans="1:6" x14ac:dyDescent="0.25">
      <c r="A5842" s="204">
        <v>43494</v>
      </c>
      <c r="B5842" s="26" t="s">
        <v>4823</v>
      </c>
      <c r="C5842" s="26" t="s">
        <v>4824</v>
      </c>
      <c r="D5842" s="8">
        <f>1650+1000</f>
        <v>2650</v>
      </c>
      <c r="E5842" s="8"/>
      <c r="F5842" s="92">
        <f t="shared" si="92"/>
        <v>32365</v>
      </c>
    </row>
    <row r="5843" spans="1:6" x14ac:dyDescent="0.25">
      <c r="A5843" s="204">
        <v>43494</v>
      </c>
      <c r="B5843" s="26" t="s">
        <v>4116</v>
      </c>
      <c r="C5843" s="26" t="s">
        <v>2016</v>
      </c>
      <c r="D5843" s="8">
        <v>150</v>
      </c>
      <c r="E5843" s="8"/>
      <c r="F5843" s="92">
        <f t="shared" si="92"/>
        <v>32215</v>
      </c>
    </row>
    <row r="5844" spans="1:6" x14ac:dyDescent="0.25">
      <c r="A5844" s="204">
        <v>43494</v>
      </c>
      <c r="B5844" s="29" t="s">
        <v>0</v>
      </c>
      <c r="C5844" s="29" t="s">
        <v>4819</v>
      </c>
      <c r="D5844" s="8">
        <v>1000</v>
      </c>
      <c r="E5844" s="8"/>
      <c r="F5844" s="92">
        <f t="shared" si="92"/>
        <v>31215</v>
      </c>
    </row>
    <row r="5845" spans="1:6" x14ac:dyDescent="0.25">
      <c r="A5845" s="204">
        <v>43496</v>
      </c>
      <c r="B5845" s="26" t="s">
        <v>26</v>
      </c>
      <c r="C5845" s="26" t="s">
        <v>4825</v>
      </c>
      <c r="D5845" s="8">
        <f>250+300+20+185+60+120+140+90+200+180+130+45</f>
        <v>1720</v>
      </c>
      <c r="E5845" s="8"/>
      <c r="F5845" s="92">
        <f t="shared" si="92"/>
        <v>29495</v>
      </c>
    </row>
    <row r="5846" spans="1:6" x14ac:dyDescent="0.25">
      <c r="A5846" s="204">
        <v>43496</v>
      </c>
      <c r="B5846" s="26" t="s">
        <v>2597</v>
      </c>
      <c r="C5846" s="26" t="s">
        <v>4826</v>
      </c>
      <c r="D5846" s="8">
        <v>27000</v>
      </c>
      <c r="E5846" s="8"/>
      <c r="F5846" s="92">
        <f t="shared" si="92"/>
        <v>2495</v>
      </c>
    </row>
    <row r="5847" spans="1:6" ht="45" x14ac:dyDescent="0.25">
      <c r="A5847" s="204">
        <v>43496</v>
      </c>
      <c r="B5847" s="26" t="s">
        <v>2597</v>
      </c>
      <c r="C5847" s="87" t="s">
        <v>4827</v>
      </c>
      <c r="D5847" s="8">
        <v>1900</v>
      </c>
      <c r="E5847" s="8"/>
      <c r="F5847" s="92">
        <f t="shared" si="92"/>
        <v>595</v>
      </c>
    </row>
    <row r="5848" spans="1:6" x14ac:dyDescent="0.25">
      <c r="A5848" s="204">
        <v>43497</v>
      </c>
      <c r="B5848" s="460" t="s">
        <v>4610</v>
      </c>
      <c r="C5848" s="460"/>
      <c r="D5848" s="71"/>
      <c r="E5848" s="58">
        <v>50000</v>
      </c>
      <c r="F5848" s="92">
        <f t="shared" ref="F5848:F5858" si="93">F5847-D5848+E5848</f>
        <v>50595</v>
      </c>
    </row>
    <row r="5849" spans="1:6" x14ac:dyDescent="0.25">
      <c r="A5849" s="204">
        <v>43497</v>
      </c>
      <c r="B5849" s="26" t="s">
        <v>111</v>
      </c>
      <c r="C5849" s="26" t="s">
        <v>4828</v>
      </c>
      <c r="D5849" s="8">
        <v>1500</v>
      </c>
      <c r="E5849" s="8"/>
      <c r="F5849" s="92">
        <f t="shared" si="93"/>
        <v>49095</v>
      </c>
    </row>
    <row r="5850" spans="1:6" x14ac:dyDescent="0.25">
      <c r="A5850" s="204">
        <v>43497</v>
      </c>
      <c r="B5850" s="26" t="s">
        <v>17</v>
      </c>
      <c r="C5850" s="26" t="s">
        <v>3914</v>
      </c>
      <c r="D5850" s="8">
        <v>10000</v>
      </c>
      <c r="E5850" s="8"/>
      <c r="F5850" s="92">
        <f t="shared" si="93"/>
        <v>39095</v>
      </c>
    </row>
    <row r="5851" spans="1:6" x14ac:dyDescent="0.25">
      <c r="A5851" s="204">
        <v>43497</v>
      </c>
      <c r="B5851" s="29" t="s">
        <v>3563</v>
      </c>
      <c r="C5851" s="26" t="s">
        <v>4829</v>
      </c>
      <c r="D5851" s="8">
        <v>3080</v>
      </c>
      <c r="E5851" s="8"/>
      <c r="F5851" s="92">
        <f t="shared" si="93"/>
        <v>36015</v>
      </c>
    </row>
    <row r="5852" spans="1:6" x14ac:dyDescent="0.25">
      <c r="A5852" s="204">
        <v>43497</v>
      </c>
      <c r="B5852" s="26" t="s">
        <v>52</v>
      </c>
      <c r="C5852" s="26" t="s">
        <v>4830</v>
      </c>
      <c r="D5852" s="8">
        <v>4400</v>
      </c>
      <c r="E5852" s="8"/>
      <c r="F5852" s="92">
        <f t="shared" si="93"/>
        <v>31615</v>
      </c>
    </row>
    <row r="5853" spans="1:6" x14ac:dyDescent="0.25">
      <c r="A5853" s="204">
        <v>43497</v>
      </c>
      <c r="B5853" s="26" t="s">
        <v>26</v>
      </c>
      <c r="C5853" s="26" t="s">
        <v>4362</v>
      </c>
      <c r="D5853" s="8">
        <v>1600</v>
      </c>
      <c r="E5853" s="8"/>
      <c r="F5853" s="92">
        <f t="shared" si="93"/>
        <v>30015</v>
      </c>
    </row>
    <row r="5854" spans="1:6" x14ac:dyDescent="0.25">
      <c r="A5854" s="204">
        <v>43497</v>
      </c>
      <c r="B5854" s="26" t="s">
        <v>29</v>
      </c>
      <c r="C5854" s="26" t="s">
        <v>3300</v>
      </c>
      <c r="D5854" s="8">
        <v>5000</v>
      </c>
      <c r="E5854" s="8"/>
      <c r="F5854" s="92">
        <f t="shared" si="93"/>
        <v>25015</v>
      </c>
    </row>
    <row r="5855" spans="1:6" x14ac:dyDescent="0.25">
      <c r="A5855" s="204">
        <v>43497</v>
      </c>
      <c r="B5855" s="26" t="s">
        <v>101</v>
      </c>
      <c r="C5855" s="26" t="s">
        <v>4323</v>
      </c>
      <c r="D5855" s="8">
        <v>1000</v>
      </c>
      <c r="E5855" s="8"/>
      <c r="F5855" s="92">
        <f t="shared" si="93"/>
        <v>24015</v>
      </c>
    </row>
    <row r="5856" spans="1:6" x14ac:dyDescent="0.25">
      <c r="A5856" s="204">
        <v>43497</v>
      </c>
      <c r="B5856" s="26" t="s">
        <v>85</v>
      </c>
      <c r="C5856" s="26" t="s">
        <v>4831</v>
      </c>
      <c r="D5856" s="8">
        <v>1000</v>
      </c>
      <c r="E5856" s="8"/>
      <c r="F5856" s="92">
        <f t="shared" si="93"/>
        <v>23015</v>
      </c>
    </row>
    <row r="5857" spans="1:6" x14ac:dyDescent="0.25">
      <c r="A5857" s="204">
        <v>43497</v>
      </c>
      <c r="B5857" s="26" t="s">
        <v>3829</v>
      </c>
      <c r="C5857" s="26" t="s">
        <v>4323</v>
      </c>
      <c r="D5857" s="8">
        <v>1000</v>
      </c>
      <c r="E5857" s="8"/>
      <c r="F5857" s="92">
        <f t="shared" si="93"/>
        <v>22015</v>
      </c>
    </row>
    <row r="5858" spans="1:6" x14ac:dyDescent="0.25">
      <c r="A5858" s="204">
        <v>43497</v>
      </c>
      <c r="B5858" s="26" t="s">
        <v>2597</v>
      </c>
      <c r="C5858" s="26" t="s">
        <v>4845</v>
      </c>
      <c r="D5858" s="8">
        <v>9450</v>
      </c>
      <c r="E5858" s="8"/>
      <c r="F5858" s="92">
        <f t="shared" si="93"/>
        <v>12565</v>
      </c>
    </row>
    <row r="5859" spans="1:6" x14ac:dyDescent="0.25">
      <c r="A5859" s="204">
        <v>43497</v>
      </c>
      <c r="B5859" s="460" t="s">
        <v>4610</v>
      </c>
      <c r="C5859" s="460"/>
      <c r="D5859" s="71"/>
      <c r="E5859" s="58">
        <v>100000</v>
      </c>
      <c r="F5859" s="92">
        <f t="shared" ref="F5859:F5886" si="94">F5858-D5859+E5859</f>
        <v>112565</v>
      </c>
    </row>
    <row r="5860" spans="1:6" x14ac:dyDescent="0.25">
      <c r="A5860" s="204">
        <v>43497</v>
      </c>
      <c r="B5860" s="26" t="s">
        <v>2099</v>
      </c>
      <c r="C5860" s="26" t="s">
        <v>4730</v>
      </c>
      <c r="D5860" s="8">
        <v>50000</v>
      </c>
      <c r="E5860" s="8"/>
      <c r="F5860" s="92">
        <f t="shared" si="94"/>
        <v>62565</v>
      </c>
    </row>
    <row r="5861" spans="1:6" x14ac:dyDescent="0.25">
      <c r="A5861" s="204">
        <v>43497</v>
      </c>
      <c r="B5861" s="26" t="s">
        <v>4832</v>
      </c>
      <c r="C5861" s="26" t="s">
        <v>4833</v>
      </c>
      <c r="D5861" s="8">
        <v>40000</v>
      </c>
      <c r="E5861" s="8"/>
      <c r="F5861" s="92">
        <f t="shared" si="94"/>
        <v>22565</v>
      </c>
    </row>
    <row r="5862" spans="1:6" x14ac:dyDescent="0.25">
      <c r="A5862" s="204">
        <v>43497</v>
      </c>
      <c r="B5862" s="26" t="s">
        <v>14</v>
      </c>
      <c r="C5862" s="26" t="s">
        <v>3146</v>
      </c>
      <c r="D5862" s="8">
        <v>10000</v>
      </c>
      <c r="E5862" s="8"/>
      <c r="F5862" s="92">
        <f t="shared" si="94"/>
        <v>12565</v>
      </c>
    </row>
    <row r="5863" spans="1:6" x14ac:dyDescent="0.25">
      <c r="A5863" s="204">
        <v>43498</v>
      </c>
      <c r="B5863" s="26" t="s">
        <v>3728</v>
      </c>
      <c r="C5863" s="26" t="s">
        <v>41</v>
      </c>
      <c r="D5863" s="8">
        <v>4150</v>
      </c>
      <c r="E5863" s="8"/>
      <c r="F5863" s="92">
        <f t="shared" si="94"/>
        <v>8415</v>
      </c>
    </row>
    <row r="5864" spans="1:6" x14ac:dyDescent="0.25">
      <c r="A5864" s="204">
        <v>43500</v>
      </c>
      <c r="B5864" s="26" t="s">
        <v>2951</v>
      </c>
      <c r="C5864" s="26" t="s">
        <v>4834</v>
      </c>
      <c r="D5864" s="8">
        <v>100</v>
      </c>
      <c r="E5864" s="8"/>
      <c r="F5864" s="92">
        <f t="shared" si="94"/>
        <v>8315</v>
      </c>
    </row>
    <row r="5865" spans="1:6" x14ac:dyDescent="0.25">
      <c r="A5865" s="204">
        <v>43500</v>
      </c>
      <c r="B5865" s="460" t="s">
        <v>4610</v>
      </c>
      <c r="C5865" s="460"/>
      <c r="D5865" s="71"/>
      <c r="E5865" s="58">
        <v>100000</v>
      </c>
      <c r="F5865" s="92">
        <f t="shared" si="94"/>
        <v>108315</v>
      </c>
    </row>
    <row r="5866" spans="1:6" x14ac:dyDescent="0.25">
      <c r="A5866" s="204">
        <v>43500</v>
      </c>
      <c r="B5866" s="26" t="s">
        <v>2597</v>
      </c>
      <c r="C5866" s="26" t="s">
        <v>4846</v>
      </c>
      <c r="D5866" s="8">
        <v>40350</v>
      </c>
      <c r="E5866" s="8"/>
      <c r="F5866" s="92">
        <f t="shared" si="94"/>
        <v>67965</v>
      </c>
    </row>
    <row r="5867" spans="1:6" x14ac:dyDescent="0.25">
      <c r="A5867" s="204">
        <v>43500</v>
      </c>
      <c r="B5867" s="26" t="s">
        <v>14</v>
      </c>
      <c r="C5867" s="26" t="s">
        <v>295</v>
      </c>
      <c r="D5867" s="8">
        <v>2000</v>
      </c>
      <c r="E5867" s="8"/>
      <c r="F5867" s="92">
        <f t="shared" si="94"/>
        <v>65965</v>
      </c>
    </row>
    <row r="5868" spans="1:6" x14ac:dyDescent="0.25">
      <c r="A5868" s="204">
        <v>43500</v>
      </c>
      <c r="B5868" s="26" t="s">
        <v>29</v>
      </c>
      <c r="C5868" s="26" t="s">
        <v>4835</v>
      </c>
      <c r="D5868" s="8">
        <v>3000</v>
      </c>
      <c r="E5868" s="8"/>
      <c r="F5868" s="92">
        <f t="shared" si="94"/>
        <v>62965</v>
      </c>
    </row>
    <row r="5869" spans="1:6" x14ac:dyDescent="0.25">
      <c r="A5869" s="204">
        <v>43500</v>
      </c>
      <c r="B5869" s="26" t="s">
        <v>1619</v>
      </c>
      <c r="C5869" s="26" t="s">
        <v>3707</v>
      </c>
      <c r="D5869" s="8">
        <v>1500</v>
      </c>
      <c r="E5869" s="8"/>
      <c r="F5869" s="92">
        <f t="shared" si="94"/>
        <v>61465</v>
      </c>
    </row>
    <row r="5870" spans="1:6" x14ac:dyDescent="0.25">
      <c r="A5870" s="204">
        <v>43500</v>
      </c>
      <c r="B5870" s="26" t="s">
        <v>1461</v>
      </c>
      <c r="C5870" s="26" t="s">
        <v>4836</v>
      </c>
      <c r="D5870" s="8">
        <v>12500</v>
      </c>
      <c r="E5870" s="8"/>
      <c r="F5870" s="92">
        <f t="shared" si="94"/>
        <v>48965</v>
      </c>
    </row>
    <row r="5871" spans="1:6" x14ac:dyDescent="0.25">
      <c r="A5871" s="204">
        <v>43500</v>
      </c>
      <c r="B5871" s="26" t="s">
        <v>1196</v>
      </c>
      <c r="C5871" s="26" t="s">
        <v>2251</v>
      </c>
      <c r="D5871" s="8">
        <v>6000</v>
      </c>
      <c r="E5871" s="8"/>
      <c r="F5871" s="92">
        <f t="shared" si="94"/>
        <v>42965</v>
      </c>
    </row>
    <row r="5872" spans="1:6" x14ac:dyDescent="0.25">
      <c r="A5872" s="204">
        <v>43500</v>
      </c>
      <c r="B5872" s="29" t="s">
        <v>3376</v>
      </c>
      <c r="C5872" s="29" t="s">
        <v>41</v>
      </c>
      <c r="D5872" s="8">
        <v>1700</v>
      </c>
      <c r="E5872" s="8"/>
      <c r="F5872" s="92">
        <f t="shared" si="94"/>
        <v>41265</v>
      </c>
    </row>
    <row r="5873" spans="1:6" x14ac:dyDescent="0.25">
      <c r="A5873" s="204">
        <v>43500</v>
      </c>
      <c r="B5873" s="26" t="s">
        <v>85</v>
      </c>
      <c r="C5873" s="26" t="s">
        <v>4837</v>
      </c>
      <c r="D5873" s="8">
        <v>2000</v>
      </c>
      <c r="E5873" s="8"/>
      <c r="F5873" s="92">
        <f t="shared" si="94"/>
        <v>39265</v>
      </c>
    </row>
    <row r="5874" spans="1:6" x14ac:dyDescent="0.25">
      <c r="A5874" s="204">
        <v>43500</v>
      </c>
      <c r="B5874" s="26" t="s">
        <v>248</v>
      </c>
      <c r="C5874" s="26" t="s">
        <v>79</v>
      </c>
      <c r="D5874" s="8">
        <v>100</v>
      </c>
      <c r="E5874" s="8"/>
      <c r="F5874" s="92">
        <f t="shared" si="94"/>
        <v>39165</v>
      </c>
    </row>
    <row r="5875" spans="1:6" x14ac:dyDescent="0.25">
      <c r="A5875" s="204">
        <v>43500</v>
      </c>
      <c r="B5875" s="26" t="s">
        <v>85</v>
      </c>
      <c r="C5875" s="26" t="s">
        <v>4831</v>
      </c>
      <c r="D5875" s="8">
        <v>3000</v>
      </c>
      <c r="E5875" s="8"/>
      <c r="F5875" s="92">
        <f t="shared" si="94"/>
        <v>36165</v>
      </c>
    </row>
    <row r="5876" spans="1:6" x14ac:dyDescent="0.25">
      <c r="A5876" s="204">
        <v>43500</v>
      </c>
      <c r="B5876" s="460" t="s">
        <v>4859</v>
      </c>
      <c r="C5876" s="460"/>
      <c r="D5876" s="71"/>
      <c r="E5876" s="58">
        <v>10000</v>
      </c>
      <c r="F5876" s="92">
        <f t="shared" si="94"/>
        <v>46165</v>
      </c>
    </row>
    <row r="5877" spans="1:6" x14ac:dyDescent="0.25">
      <c r="A5877" s="204">
        <v>43500</v>
      </c>
      <c r="B5877" s="26" t="s">
        <v>3563</v>
      </c>
      <c r="C5877" s="26" t="s">
        <v>4414</v>
      </c>
      <c r="D5877" s="8">
        <v>14700</v>
      </c>
      <c r="E5877" s="8"/>
      <c r="F5877" s="92">
        <f t="shared" si="94"/>
        <v>31465</v>
      </c>
    </row>
    <row r="5878" spans="1:6" x14ac:dyDescent="0.25">
      <c r="A5878" s="204">
        <v>43500</v>
      </c>
      <c r="B5878" s="26" t="s">
        <v>2597</v>
      </c>
      <c r="C5878" s="240" t="s">
        <v>4862</v>
      </c>
      <c r="D5878" s="16">
        <v>5000</v>
      </c>
      <c r="E5878" s="200"/>
      <c r="F5878" s="92">
        <f t="shared" si="94"/>
        <v>26465</v>
      </c>
    </row>
    <row r="5879" spans="1:6" x14ac:dyDescent="0.25">
      <c r="A5879" s="204">
        <v>43500</v>
      </c>
      <c r="B5879" s="26" t="s">
        <v>1840</v>
      </c>
      <c r="C5879" s="240" t="s">
        <v>4861</v>
      </c>
      <c r="D5879" s="16">
        <v>2000</v>
      </c>
      <c r="E5879" s="200"/>
      <c r="F5879" s="92">
        <f t="shared" si="94"/>
        <v>24465</v>
      </c>
    </row>
    <row r="5880" spans="1:6" x14ac:dyDescent="0.25">
      <c r="A5880" s="204">
        <v>43500</v>
      </c>
      <c r="B5880" s="26" t="s">
        <v>0</v>
      </c>
      <c r="C5880" s="240" t="s">
        <v>4860</v>
      </c>
      <c r="D5880" s="16">
        <v>2000</v>
      </c>
      <c r="E5880" s="200"/>
      <c r="F5880" s="92">
        <f t="shared" si="94"/>
        <v>22465</v>
      </c>
    </row>
    <row r="5881" spans="1:6" x14ac:dyDescent="0.25">
      <c r="A5881" s="204">
        <v>43500</v>
      </c>
      <c r="B5881" s="26" t="s">
        <v>17</v>
      </c>
      <c r="C5881" s="26" t="s">
        <v>4323</v>
      </c>
      <c r="D5881" s="8">
        <v>2000</v>
      </c>
      <c r="E5881" s="8"/>
      <c r="F5881" s="92">
        <f t="shared" si="94"/>
        <v>20465</v>
      </c>
    </row>
    <row r="5882" spans="1:6" x14ac:dyDescent="0.25">
      <c r="A5882" s="204">
        <v>43500</v>
      </c>
      <c r="B5882" s="26" t="s">
        <v>2597</v>
      </c>
      <c r="C5882" s="26" t="s">
        <v>4847</v>
      </c>
      <c r="D5882" s="8">
        <v>5200</v>
      </c>
      <c r="E5882" s="8"/>
      <c r="F5882" s="92">
        <f t="shared" si="94"/>
        <v>15265</v>
      </c>
    </row>
    <row r="5883" spans="1:6" x14ac:dyDescent="0.25">
      <c r="A5883" s="204">
        <v>43500</v>
      </c>
      <c r="B5883" s="460" t="s">
        <v>4863</v>
      </c>
      <c r="C5883" s="460"/>
      <c r="D5883" s="71"/>
      <c r="E5883" s="58">
        <v>1241</v>
      </c>
      <c r="F5883" s="92">
        <f t="shared" ref="F5883:F5884" si="95">F5882-D5883+E5883</f>
        <v>16506</v>
      </c>
    </row>
    <row r="5884" spans="1:6" x14ac:dyDescent="0.25">
      <c r="A5884" s="204">
        <v>43502</v>
      </c>
      <c r="B5884" s="26" t="s">
        <v>14</v>
      </c>
      <c r="C5884" s="26" t="s">
        <v>4838</v>
      </c>
      <c r="D5884" s="161">
        <v>4160</v>
      </c>
      <c r="E5884" s="8"/>
      <c r="F5884" s="92">
        <f t="shared" si="95"/>
        <v>12346</v>
      </c>
    </row>
    <row r="5885" spans="1:6" x14ac:dyDescent="0.25">
      <c r="A5885" s="204">
        <v>43502</v>
      </c>
      <c r="B5885" s="26" t="s">
        <v>4842</v>
      </c>
      <c r="C5885" s="26" t="s">
        <v>4843</v>
      </c>
      <c r="D5885" s="8">
        <v>9000</v>
      </c>
      <c r="E5885" s="8"/>
      <c r="F5885" s="92">
        <f t="shared" si="94"/>
        <v>3346</v>
      </c>
    </row>
    <row r="5886" spans="1:6" x14ac:dyDescent="0.25">
      <c r="A5886" s="204">
        <v>43507</v>
      </c>
      <c r="B5886" s="460" t="s">
        <v>4610</v>
      </c>
      <c r="C5886" s="460"/>
      <c r="D5886" s="71"/>
      <c r="E5886" s="58">
        <v>130000</v>
      </c>
      <c r="F5886" s="92">
        <f t="shared" si="94"/>
        <v>133346</v>
      </c>
    </row>
    <row r="5887" spans="1:6" x14ac:dyDescent="0.25">
      <c r="A5887" s="204">
        <v>43507</v>
      </c>
      <c r="B5887" s="29" t="s">
        <v>3141</v>
      </c>
      <c r="C5887" s="29" t="s">
        <v>4848</v>
      </c>
      <c r="D5887" s="8">
        <v>10342</v>
      </c>
      <c r="E5887" s="8"/>
      <c r="F5887" s="92">
        <f t="shared" ref="F5887:F5895" si="96">F5886-D5887+E5887</f>
        <v>123004</v>
      </c>
    </row>
    <row r="5888" spans="1:6" x14ac:dyDescent="0.25">
      <c r="A5888" s="204">
        <v>43507</v>
      </c>
      <c r="B5888" s="29" t="s">
        <v>4361</v>
      </c>
      <c r="C5888" s="29" t="s">
        <v>4852</v>
      </c>
      <c r="D5888" s="8">
        <v>20000</v>
      </c>
      <c r="E5888" s="8"/>
      <c r="F5888" s="92">
        <f t="shared" si="96"/>
        <v>103004</v>
      </c>
    </row>
    <row r="5889" spans="1:6" x14ac:dyDescent="0.25">
      <c r="A5889" s="204">
        <v>43507</v>
      </c>
      <c r="B5889" s="29" t="s">
        <v>85</v>
      </c>
      <c r="C5889" s="29" t="s">
        <v>4849</v>
      </c>
      <c r="D5889" s="8">
        <v>5500</v>
      </c>
      <c r="E5889" s="8"/>
      <c r="F5889" s="92">
        <f t="shared" si="96"/>
        <v>97504</v>
      </c>
    </row>
    <row r="5890" spans="1:6" x14ac:dyDescent="0.25">
      <c r="A5890" s="204">
        <v>43507</v>
      </c>
      <c r="B5890" s="26" t="s">
        <v>48</v>
      </c>
      <c r="C5890" s="26" t="s">
        <v>4850</v>
      </c>
      <c r="D5890" s="8">
        <v>150</v>
      </c>
      <c r="E5890" s="8"/>
      <c r="F5890" s="92">
        <f t="shared" si="96"/>
        <v>97354</v>
      </c>
    </row>
    <row r="5891" spans="1:6" x14ac:dyDescent="0.25">
      <c r="A5891" s="204">
        <v>43507</v>
      </c>
      <c r="B5891" s="26" t="s">
        <v>58</v>
      </c>
      <c r="C5891" s="26" t="s">
        <v>4851</v>
      </c>
      <c r="D5891" s="8">
        <v>300</v>
      </c>
      <c r="E5891" s="8"/>
      <c r="F5891" s="92">
        <f t="shared" si="96"/>
        <v>97054</v>
      </c>
    </row>
    <row r="5892" spans="1:6" x14ac:dyDescent="0.25">
      <c r="A5892" s="204">
        <v>43507</v>
      </c>
      <c r="B5892" s="26" t="s">
        <v>14</v>
      </c>
      <c r="C5892" s="26" t="s">
        <v>79</v>
      </c>
      <c r="D5892" s="8">
        <v>1000</v>
      </c>
      <c r="E5892" s="8"/>
      <c r="F5892" s="92">
        <f t="shared" si="96"/>
        <v>96054</v>
      </c>
    </row>
    <row r="5893" spans="1:6" x14ac:dyDescent="0.25">
      <c r="A5893" s="204">
        <v>43507</v>
      </c>
      <c r="B5893" s="26" t="s">
        <v>4853</v>
      </c>
      <c r="C5893" s="26" t="s">
        <v>4854</v>
      </c>
      <c r="D5893" s="8">
        <v>1500</v>
      </c>
      <c r="E5893" s="8"/>
      <c r="F5893" s="92">
        <f t="shared" si="96"/>
        <v>94554</v>
      </c>
    </row>
    <row r="5894" spans="1:6" x14ac:dyDescent="0.25">
      <c r="A5894" s="204">
        <v>43507</v>
      </c>
      <c r="B5894" s="26" t="s">
        <v>3550</v>
      </c>
      <c r="C5894" s="26" t="s">
        <v>4855</v>
      </c>
      <c r="D5894" s="8">
        <v>61500</v>
      </c>
      <c r="E5894" s="8"/>
      <c r="F5894" s="92">
        <f t="shared" si="96"/>
        <v>33054</v>
      </c>
    </row>
    <row r="5895" spans="1:6" x14ac:dyDescent="0.25">
      <c r="A5895" s="204">
        <v>43509</v>
      </c>
      <c r="B5895" s="26" t="s">
        <v>14</v>
      </c>
      <c r="C5895" s="26" t="s">
        <v>4856</v>
      </c>
      <c r="D5895" s="8">
        <v>5000</v>
      </c>
      <c r="E5895" s="8"/>
      <c r="F5895" s="92">
        <f t="shared" si="96"/>
        <v>28054</v>
      </c>
    </row>
    <row r="5896" spans="1:6" x14ac:dyDescent="0.25">
      <c r="A5896" s="204">
        <v>43509</v>
      </c>
      <c r="B5896" s="26" t="s">
        <v>58</v>
      </c>
      <c r="C5896" s="26" t="s">
        <v>4857</v>
      </c>
      <c r="D5896" s="8">
        <v>5000</v>
      </c>
      <c r="E5896" s="8"/>
      <c r="F5896" s="92">
        <f t="shared" ref="F5896:F5932" si="97">F5895-D5896+E5896</f>
        <v>23054</v>
      </c>
    </row>
    <row r="5897" spans="1:6" x14ac:dyDescent="0.25">
      <c r="A5897" s="204">
        <v>43509</v>
      </c>
      <c r="B5897" s="26" t="s">
        <v>0</v>
      </c>
      <c r="C5897" s="26" t="s">
        <v>3860</v>
      </c>
      <c r="D5897" s="8">
        <v>20000</v>
      </c>
      <c r="E5897" s="8"/>
      <c r="F5897" s="92">
        <f t="shared" si="97"/>
        <v>3054</v>
      </c>
    </row>
    <row r="5898" spans="1:6" ht="30" x14ac:dyDescent="0.25">
      <c r="A5898" s="204">
        <v>43509</v>
      </c>
      <c r="B5898" s="26" t="s">
        <v>26</v>
      </c>
      <c r="C5898" s="87" t="s">
        <v>4858</v>
      </c>
      <c r="D5898" s="8">
        <f>50+320+60+120+36+310+190+130+120+100+345+230+180+45+140+100+200+45+30+30+30+20+200</f>
        <v>3031</v>
      </c>
      <c r="E5898" s="8"/>
      <c r="F5898" s="92">
        <f t="shared" si="97"/>
        <v>23</v>
      </c>
    </row>
    <row r="5899" spans="1:6" x14ac:dyDescent="0.25">
      <c r="A5899" s="204">
        <v>43509</v>
      </c>
      <c r="B5899" s="460" t="s">
        <v>4864</v>
      </c>
      <c r="C5899" s="460"/>
      <c r="D5899" s="71"/>
      <c r="E5899" s="58">
        <v>450000</v>
      </c>
      <c r="F5899" s="92">
        <f t="shared" si="97"/>
        <v>450023</v>
      </c>
    </row>
    <row r="5900" spans="1:6" x14ac:dyDescent="0.25">
      <c r="A5900" s="204">
        <v>43509</v>
      </c>
      <c r="B5900" s="26" t="s">
        <v>2099</v>
      </c>
      <c r="C5900" s="26" t="s">
        <v>4865</v>
      </c>
      <c r="D5900" s="8">
        <v>20000</v>
      </c>
      <c r="E5900" s="8"/>
      <c r="F5900" s="92">
        <f t="shared" si="97"/>
        <v>430023</v>
      </c>
    </row>
    <row r="5901" spans="1:6" x14ac:dyDescent="0.25">
      <c r="A5901" s="204">
        <v>43509</v>
      </c>
      <c r="B5901" s="26" t="s">
        <v>1319</v>
      </c>
      <c r="C5901" s="26" t="s">
        <v>4866</v>
      </c>
      <c r="D5901" s="8">
        <v>20000</v>
      </c>
      <c r="E5901" s="8"/>
      <c r="F5901" s="92">
        <f t="shared" si="97"/>
        <v>410023</v>
      </c>
    </row>
    <row r="5902" spans="1:6" x14ac:dyDescent="0.25">
      <c r="A5902" s="204">
        <v>43509</v>
      </c>
      <c r="B5902" s="26" t="s">
        <v>3829</v>
      </c>
      <c r="C5902" s="26" t="s">
        <v>4867</v>
      </c>
      <c r="D5902" s="8">
        <v>10000</v>
      </c>
      <c r="E5902" s="8"/>
      <c r="F5902" s="92">
        <f t="shared" si="97"/>
        <v>400023</v>
      </c>
    </row>
    <row r="5903" spans="1:6" x14ac:dyDescent="0.25">
      <c r="A5903" s="204">
        <v>43509</v>
      </c>
      <c r="B5903" s="26" t="s">
        <v>11</v>
      </c>
      <c r="C5903" s="26" t="s">
        <v>4867</v>
      </c>
      <c r="D5903" s="8">
        <v>3000</v>
      </c>
      <c r="E5903" s="8"/>
      <c r="F5903" s="92">
        <f t="shared" si="97"/>
        <v>397023</v>
      </c>
    </row>
    <row r="5904" spans="1:6" x14ac:dyDescent="0.25">
      <c r="A5904" s="204">
        <v>43509</v>
      </c>
      <c r="B5904" s="26" t="s">
        <v>2597</v>
      </c>
      <c r="C5904" s="26" t="s">
        <v>4869</v>
      </c>
      <c r="D5904" s="8">
        <v>8140</v>
      </c>
      <c r="E5904" s="8"/>
      <c r="F5904" s="92">
        <f t="shared" si="97"/>
        <v>388883</v>
      </c>
    </row>
    <row r="5905" spans="1:6" x14ac:dyDescent="0.25">
      <c r="A5905" s="204">
        <v>43509</v>
      </c>
      <c r="B5905" s="26" t="s">
        <v>55</v>
      </c>
      <c r="C5905" s="26" t="s">
        <v>4870</v>
      </c>
      <c r="D5905" s="8">
        <v>10700</v>
      </c>
      <c r="E5905" s="8"/>
      <c r="F5905" s="92">
        <f t="shared" si="97"/>
        <v>378183</v>
      </c>
    </row>
    <row r="5906" spans="1:6" x14ac:dyDescent="0.25">
      <c r="A5906" s="204">
        <v>43509</v>
      </c>
      <c r="B5906" s="26" t="s">
        <v>4832</v>
      </c>
      <c r="C5906" s="26" t="s">
        <v>41</v>
      </c>
      <c r="D5906" s="8">
        <v>25000</v>
      </c>
      <c r="E5906" s="8"/>
      <c r="F5906" s="92">
        <f t="shared" si="97"/>
        <v>353183</v>
      </c>
    </row>
    <row r="5907" spans="1:6" x14ac:dyDescent="0.25">
      <c r="A5907" s="204">
        <v>43509</v>
      </c>
      <c r="B5907" s="26" t="s">
        <v>4871</v>
      </c>
      <c r="C5907" s="26" t="s">
        <v>4872</v>
      </c>
      <c r="D5907" s="8">
        <v>50000</v>
      </c>
      <c r="E5907" s="8"/>
      <c r="F5907" s="92">
        <f t="shared" si="97"/>
        <v>303183</v>
      </c>
    </row>
    <row r="5908" spans="1:6" x14ac:dyDescent="0.25">
      <c r="A5908" s="204">
        <v>43510</v>
      </c>
      <c r="B5908" s="26" t="s">
        <v>14</v>
      </c>
      <c r="C5908" s="26" t="s">
        <v>3146</v>
      </c>
      <c r="D5908" s="8">
        <v>20000</v>
      </c>
      <c r="E5908" s="8"/>
      <c r="F5908" s="92">
        <f t="shared" si="97"/>
        <v>283183</v>
      </c>
    </row>
    <row r="5909" spans="1:6" x14ac:dyDescent="0.25">
      <c r="A5909" s="204">
        <v>43510</v>
      </c>
      <c r="B5909" s="26" t="s">
        <v>14</v>
      </c>
      <c r="C5909" s="26" t="s">
        <v>641</v>
      </c>
      <c r="D5909" s="8">
        <v>1000</v>
      </c>
      <c r="E5909" s="8"/>
      <c r="F5909" s="92">
        <f t="shared" si="97"/>
        <v>282183</v>
      </c>
    </row>
    <row r="5910" spans="1:6" x14ac:dyDescent="0.25">
      <c r="A5910" s="204">
        <v>43510</v>
      </c>
      <c r="B5910" s="26" t="s">
        <v>26</v>
      </c>
      <c r="C5910" s="26" t="s">
        <v>4873</v>
      </c>
      <c r="D5910" s="8">
        <v>1600</v>
      </c>
      <c r="E5910" s="8"/>
      <c r="F5910" s="92">
        <f t="shared" si="97"/>
        <v>280583</v>
      </c>
    </row>
    <row r="5911" spans="1:6" x14ac:dyDescent="0.25">
      <c r="A5911" s="204">
        <v>43510</v>
      </c>
      <c r="B5911" s="26" t="s">
        <v>2597</v>
      </c>
      <c r="C5911" s="26" t="s">
        <v>4878</v>
      </c>
      <c r="D5911" s="8">
        <v>48980</v>
      </c>
      <c r="E5911" s="8"/>
      <c r="F5911" s="92">
        <f t="shared" si="97"/>
        <v>231603</v>
      </c>
    </row>
    <row r="5912" spans="1:6" x14ac:dyDescent="0.25">
      <c r="A5912" s="204">
        <v>43510</v>
      </c>
      <c r="B5912" s="26" t="s">
        <v>4875</v>
      </c>
      <c r="C5912" s="26" t="s">
        <v>4876</v>
      </c>
      <c r="D5912" s="8">
        <v>50000</v>
      </c>
      <c r="E5912" s="8"/>
      <c r="F5912" s="92">
        <f t="shared" si="97"/>
        <v>181603</v>
      </c>
    </row>
    <row r="5913" spans="1:6" x14ac:dyDescent="0.25">
      <c r="A5913" s="204">
        <v>43510</v>
      </c>
      <c r="B5913" s="26" t="s">
        <v>4778</v>
      </c>
      <c r="C5913" s="26" t="s">
        <v>4877</v>
      </c>
      <c r="D5913" s="8">
        <v>20000</v>
      </c>
      <c r="E5913" s="8"/>
      <c r="F5913" s="92">
        <f t="shared" si="97"/>
        <v>161603</v>
      </c>
    </row>
    <row r="5914" spans="1:6" x14ac:dyDescent="0.25">
      <c r="A5914" s="204">
        <v>43510</v>
      </c>
      <c r="B5914" s="26" t="s">
        <v>542</v>
      </c>
      <c r="C5914" s="26" t="s">
        <v>2334</v>
      </c>
      <c r="D5914" s="8">
        <v>5000</v>
      </c>
      <c r="E5914" s="8"/>
      <c r="F5914" s="92">
        <f t="shared" si="97"/>
        <v>156603</v>
      </c>
    </row>
    <row r="5915" spans="1:6" x14ac:dyDescent="0.25">
      <c r="A5915" s="204">
        <v>43510</v>
      </c>
      <c r="B5915" s="26" t="s">
        <v>2951</v>
      </c>
      <c r="C5915" s="26" t="s">
        <v>4879</v>
      </c>
      <c r="D5915" s="8">
        <v>13000</v>
      </c>
      <c r="E5915" s="8"/>
      <c r="F5915" s="92">
        <f t="shared" si="97"/>
        <v>143603</v>
      </c>
    </row>
    <row r="5916" spans="1:6" x14ac:dyDescent="0.25">
      <c r="A5916" s="204">
        <v>43510</v>
      </c>
      <c r="B5916" s="26" t="s">
        <v>1515</v>
      </c>
      <c r="C5916" s="26" t="s">
        <v>4880</v>
      </c>
      <c r="D5916" s="8">
        <v>5800</v>
      </c>
      <c r="E5916" s="8"/>
      <c r="F5916" s="92">
        <f t="shared" si="97"/>
        <v>137803</v>
      </c>
    </row>
    <row r="5917" spans="1:6" x14ac:dyDescent="0.25">
      <c r="A5917" s="204">
        <v>43511</v>
      </c>
      <c r="B5917" s="26" t="s">
        <v>4881</v>
      </c>
      <c r="C5917" s="26" t="s">
        <v>4882</v>
      </c>
      <c r="D5917" s="8">
        <v>50000</v>
      </c>
      <c r="E5917" s="8"/>
      <c r="F5917" s="92">
        <f t="shared" si="97"/>
        <v>87803</v>
      </c>
    </row>
    <row r="5918" spans="1:6" x14ac:dyDescent="0.25">
      <c r="A5918" s="204">
        <v>43511</v>
      </c>
      <c r="B5918" s="26" t="s">
        <v>0</v>
      </c>
      <c r="C5918" s="26" t="s">
        <v>4323</v>
      </c>
      <c r="D5918" s="8">
        <v>2000</v>
      </c>
      <c r="E5918" s="8"/>
      <c r="F5918" s="92">
        <f t="shared" si="97"/>
        <v>85803</v>
      </c>
    </row>
    <row r="5919" spans="1:6" x14ac:dyDescent="0.25">
      <c r="A5919" s="204">
        <v>43511</v>
      </c>
      <c r="B5919" s="26" t="s">
        <v>1515</v>
      </c>
      <c r="C5919" s="26" t="s">
        <v>4883</v>
      </c>
      <c r="D5919" s="8">
        <v>18000</v>
      </c>
      <c r="E5919" s="8"/>
      <c r="F5919" s="92">
        <f t="shared" si="97"/>
        <v>67803</v>
      </c>
    </row>
    <row r="5920" spans="1:6" x14ac:dyDescent="0.25">
      <c r="A5920" s="204">
        <v>43511</v>
      </c>
      <c r="B5920" s="26" t="s">
        <v>85</v>
      </c>
      <c r="C5920" s="26" t="s">
        <v>4884</v>
      </c>
      <c r="D5920" s="8">
        <v>5000</v>
      </c>
      <c r="E5920" s="8"/>
      <c r="F5920" s="92">
        <f t="shared" si="97"/>
        <v>62803</v>
      </c>
    </row>
    <row r="5921" spans="1:6" x14ac:dyDescent="0.25">
      <c r="A5921" s="204">
        <v>43511</v>
      </c>
      <c r="B5921" s="26" t="s">
        <v>85</v>
      </c>
      <c r="C5921" s="26" t="s">
        <v>4885</v>
      </c>
      <c r="D5921" s="8">
        <v>5000</v>
      </c>
      <c r="E5921" s="8"/>
      <c r="F5921" s="92">
        <f t="shared" si="97"/>
        <v>57803</v>
      </c>
    </row>
    <row r="5922" spans="1:6" x14ac:dyDescent="0.25">
      <c r="A5922" s="204">
        <v>43511</v>
      </c>
      <c r="B5922" s="26" t="s">
        <v>85</v>
      </c>
      <c r="C5922" s="26" t="s">
        <v>4886</v>
      </c>
      <c r="D5922" s="8">
        <v>5000</v>
      </c>
      <c r="E5922" s="8"/>
      <c r="F5922" s="92">
        <f t="shared" si="97"/>
        <v>52803</v>
      </c>
    </row>
    <row r="5923" spans="1:6" x14ac:dyDescent="0.25">
      <c r="A5923" s="204">
        <v>43511</v>
      </c>
      <c r="B5923" s="26" t="s">
        <v>85</v>
      </c>
      <c r="C5923" s="26" t="s">
        <v>4887</v>
      </c>
      <c r="D5923" s="8">
        <v>5000</v>
      </c>
      <c r="E5923" s="8"/>
      <c r="F5923" s="92">
        <f t="shared" si="97"/>
        <v>47803</v>
      </c>
    </row>
    <row r="5924" spans="1:6" x14ac:dyDescent="0.25">
      <c r="A5924" s="204">
        <v>43511</v>
      </c>
      <c r="B5924" s="26" t="s">
        <v>85</v>
      </c>
      <c r="C5924" s="26" t="s">
        <v>4888</v>
      </c>
      <c r="D5924" s="8">
        <v>5000</v>
      </c>
      <c r="E5924" s="8"/>
      <c r="F5924" s="92">
        <f t="shared" si="97"/>
        <v>42803</v>
      </c>
    </row>
    <row r="5925" spans="1:6" x14ac:dyDescent="0.25">
      <c r="A5925" s="204">
        <v>43511</v>
      </c>
      <c r="B5925" s="26" t="s">
        <v>85</v>
      </c>
      <c r="C5925" s="26" t="s">
        <v>4889</v>
      </c>
      <c r="D5925" s="8">
        <v>5000</v>
      </c>
      <c r="E5925" s="8"/>
      <c r="F5925" s="92">
        <f t="shared" si="97"/>
        <v>37803</v>
      </c>
    </row>
    <row r="5926" spans="1:6" x14ac:dyDescent="0.25">
      <c r="A5926" s="204">
        <v>43512</v>
      </c>
      <c r="B5926" s="26" t="s">
        <v>58</v>
      </c>
      <c r="C5926" s="26" t="s">
        <v>4892</v>
      </c>
      <c r="D5926" s="8">
        <v>5000</v>
      </c>
      <c r="E5926" s="8"/>
      <c r="F5926" s="92">
        <f t="shared" si="97"/>
        <v>32803</v>
      </c>
    </row>
    <row r="5927" spans="1:6" x14ac:dyDescent="0.25">
      <c r="A5927" s="204">
        <v>43512</v>
      </c>
      <c r="B5927" s="26" t="s">
        <v>11</v>
      </c>
      <c r="C5927" s="26" t="s">
        <v>4191</v>
      </c>
      <c r="D5927" s="8">
        <v>3000</v>
      </c>
      <c r="E5927" s="8"/>
      <c r="F5927" s="92">
        <f t="shared" si="97"/>
        <v>29803</v>
      </c>
    </row>
    <row r="5928" spans="1:6" x14ac:dyDescent="0.25">
      <c r="A5928" s="204">
        <v>43512</v>
      </c>
      <c r="B5928" s="26" t="s">
        <v>0</v>
      </c>
      <c r="C5928" s="26" t="s">
        <v>4323</v>
      </c>
      <c r="D5928" s="8">
        <v>10000</v>
      </c>
      <c r="E5928" s="8"/>
      <c r="F5928" s="92">
        <f t="shared" si="97"/>
        <v>19803</v>
      </c>
    </row>
    <row r="5929" spans="1:6" x14ac:dyDescent="0.25">
      <c r="A5929" s="204">
        <v>43512</v>
      </c>
      <c r="B5929" s="26" t="s">
        <v>0</v>
      </c>
      <c r="C5929" s="26" t="s">
        <v>4894</v>
      </c>
      <c r="D5929" s="8">
        <v>300</v>
      </c>
      <c r="E5929" s="8"/>
      <c r="F5929" s="92">
        <f t="shared" si="97"/>
        <v>19503</v>
      </c>
    </row>
    <row r="5930" spans="1:6" x14ac:dyDescent="0.25">
      <c r="A5930" s="204">
        <v>43514</v>
      </c>
      <c r="B5930" s="29" t="s">
        <v>26</v>
      </c>
      <c r="C5930" s="29" t="s">
        <v>4895</v>
      </c>
      <c r="D5930" s="8">
        <f>228+110+360+130+180+45+40+450+550+650+470+370+450+110</f>
        <v>4143</v>
      </c>
      <c r="E5930" s="8"/>
      <c r="F5930" s="92">
        <f t="shared" si="97"/>
        <v>15360</v>
      </c>
    </row>
    <row r="5931" spans="1:6" x14ac:dyDescent="0.25">
      <c r="A5931" s="204">
        <v>43514</v>
      </c>
      <c r="B5931" s="29" t="s">
        <v>26</v>
      </c>
      <c r="C5931" s="26" t="s">
        <v>4896</v>
      </c>
      <c r="D5931" s="8">
        <v>500</v>
      </c>
      <c r="E5931" s="8"/>
      <c r="F5931" s="92">
        <f t="shared" si="97"/>
        <v>14860</v>
      </c>
    </row>
    <row r="5932" spans="1:6" x14ac:dyDescent="0.25">
      <c r="A5932" s="204">
        <v>43514</v>
      </c>
      <c r="B5932" s="26" t="s">
        <v>14</v>
      </c>
      <c r="C5932" s="26" t="s">
        <v>2547</v>
      </c>
      <c r="D5932" s="8">
        <v>10000</v>
      </c>
      <c r="E5932" s="8"/>
      <c r="F5932" s="92">
        <f t="shared" si="97"/>
        <v>4860</v>
      </c>
    </row>
    <row r="5933" spans="1:6" x14ac:dyDescent="0.25">
      <c r="A5933" s="204">
        <v>43514</v>
      </c>
      <c r="B5933" s="460" t="s">
        <v>5066</v>
      </c>
      <c r="C5933" s="460"/>
      <c r="D5933" s="71"/>
      <c r="E5933" s="58">
        <v>300000</v>
      </c>
      <c r="F5933" s="92">
        <f t="shared" ref="F5933:F5947" si="98">F5932-D5933+E5933</f>
        <v>304860</v>
      </c>
    </row>
    <row r="5934" spans="1:6" x14ac:dyDescent="0.25">
      <c r="A5934" s="204">
        <v>43514</v>
      </c>
      <c r="B5934" s="26" t="s">
        <v>4897</v>
      </c>
      <c r="C5934" s="26" t="s">
        <v>4898</v>
      </c>
      <c r="D5934" s="8">
        <v>71000</v>
      </c>
      <c r="E5934" s="8"/>
      <c r="F5934" s="92">
        <f t="shared" si="98"/>
        <v>233860</v>
      </c>
    </row>
    <row r="5935" spans="1:6" x14ac:dyDescent="0.25">
      <c r="A5935" s="204">
        <v>43514</v>
      </c>
      <c r="B5935" s="26" t="s">
        <v>1346</v>
      </c>
      <c r="C5935" s="26" t="s">
        <v>4899</v>
      </c>
      <c r="D5935" s="8">
        <v>5000</v>
      </c>
      <c r="E5935" s="8"/>
      <c r="F5935" s="92">
        <f t="shared" si="98"/>
        <v>228860</v>
      </c>
    </row>
    <row r="5936" spans="1:6" x14ac:dyDescent="0.25">
      <c r="A5936" s="204">
        <v>43514</v>
      </c>
      <c r="B5936" s="26" t="s">
        <v>1346</v>
      </c>
      <c r="C5936" s="26" t="s">
        <v>4900</v>
      </c>
      <c r="D5936" s="8">
        <v>23000</v>
      </c>
      <c r="E5936" s="8"/>
      <c r="F5936" s="92">
        <f t="shared" si="98"/>
        <v>205860</v>
      </c>
    </row>
    <row r="5937" spans="1:6" x14ac:dyDescent="0.25">
      <c r="A5937" s="204">
        <v>43514</v>
      </c>
      <c r="B5937" s="26" t="s">
        <v>1461</v>
      </c>
      <c r="C5937" s="26" t="s">
        <v>4901</v>
      </c>
      <c r="D5937" s="8">
        <v>16000</v>
      </c>
      <c r="E5937" s="8"/>
      <c r="F5937" s="92">
        <f t="shared" si="98"/>
        <v>189860</v>
      </c>
    </row>
    <row r="5938" spans="1:6" x14ac:dyDescent="0.25">
      <c r="A5938" s="204">
        <v>43514</v>
      </c>
      <c r="B5938" s="26" t="s">
        <v>4902</v>
      </c>
      <c r="C5938" s="26" t="s">
        <v>4903</v>
      </c>
      <c r="D5938" s="8">
        <v>25000</v>
      </c>
      <c r="E5938" s="8"/>
      <c r="F5938" s="92">
        <f t="shared" si="98"/>
        <v>164860</v>
      </c>
    </row>
    <row r="5939" spans="1:6" x14ac:dyDescent="0.25">
      <c r="A5939" s="204">
        <v>43514</v>
      </c>
      <c r="B5939" s="26" t="s">
        <v>4904</v>
      </c>
      <c r="C5939" s="26" t="s">
        <v>4905</v>
      </c>
      <c r="D5939" s="8">
        <v>50000</v>
      </c>
      <c r="E5939" s="8"/>
      <c r="F5939" s="92">
        <f t="shared" si="98"/>
        <v>114860</v>
      </c>
    </row>
    <row r="5940" spans="1:6" x14ac:dyDescent="0.25">
      <c r="A5940" s="204">
        <v>43514</v>
      </c>
      <c r="B5940" s="26" t="s">
        <v>3829</v>
      </c>
      <c r="C5940" s="26" t="s">
        <v>4191</v>
      </c>
      <c r="D5940" s="8">
        <v>3500</v>
      </c>
      <c r="E5940" s="8"/>
      <c r="F5940" s="92">
        <f t="shared" si="98"/>
        <v>111360</v>
      </c>
    </row>
    <row r="5941" spans="1:6" x14ac:dyDescent="0.25">
      <c r="A5941" s="204">
        <v>43514</v>
      </c>
      <c r="B5941" s="26" t="s">
        <v>4906</v>
      </c>
      <c r="C5941" s="26" t="s">
        <v>50</v>
      </c>
      <c r="D5941" s="8">
        <v>1000</v>
      </c>
      <c r="E5941" s="8"/>
      <c r="F5941" s="92">
        <f t="shared" si="98"/>
        <v>110360</v>
      </c>
    </row>
    <row r="5942" spans="1:6" x14ac:dyDescent="0.25">
      <c r="A5942" s="204">
        <v>43514</v>
      </c>
      <c r="B5942" s="26" t="s">
        <v>248</v>
      </c>
      <c r="C5942" s="26" t="s">
        <v>2016</v>
      </c>
      <c r="D5942" s="8">
        <v>100</v>
      </c>
      <c r="E5942" s="8"/>
      <c r="F5942" s="92">
        <f t="shared" si="98"/>
        <v>110260</v>
      </c>
    </row>
    <row r="5943" spans="1:6" x14ac:dyDescent="0.25">
      <c r="A5943" s="204">
        <v>43514</v>
      </c>
      <c r="B5943" s="26" t="s">
        <v>85</v>
      </c>
      <c r="C5943" s="26" t="s">
        <v>4907</v>
      </c>
      <c r="D5943" s="8">
        <v>3000</v>
      </c>
      <c r="E5943" s="8"/>
      <c r="F5943" s="92">
        <f t="shared" si="98"/>
        <v>107260</v>
      </c>
    </row>
    <row r="5944" spans="1:6" x14ac:dyDescent="0.25">
      <c r="A5944" s="204">
        <v>43514</v>
      </c>
      <c r="B5944" s="26" t="s">
        <v>4881</v>
      </c>
      <c r="C5944" s="26" t="s">
        <v>4908</v>
      </c>
      <c r="D5944" s="8">
        <v>100000</v>
      </c>
      <c r="E5944" s="8"/>
      <c r="F5944" s="92">
        <f t="shared" si="98"/>
        <v>7260</v>
      </c>
    </row>
    <row r="5945" spans="1:6" x14ac:dyDescent="0.25">
      <c r="A5945" s="204">
        <v>43515</v>
      </c>
      <c r="B5945" s="26" t="s">
        <v>2951</v>
      </c>
      <c r="C5945" s="26" t="s">
        <v>4909</v>
      </c>
      <c r="D5945" s="8">
        <v>360</v>
      </c>
      <c r="E5945" s="8"/>
      <c r="F5945" s="92">
        <f t="shared" si="98"/>
        <v>6900</v>
      </c>
    </row>
    <row r="5946" spans="1:6" x14ac:dyDescent="0.25">
      <c r="A5946" s="204">
        <v>43515</v>
      </c>
      <c r="B5946" s="26" t="s">
        <v>26</v>
      </c>
      <c r="C5946" s="26" t="s">
        <v>4910</v>
      </c>
      <c r="D5946" s="8">
        <v>160</v>
      </c>
      <c r="E5946" s="8"/>
      <c r="F5946" s="92">
        <f t="shared" si="98"/>
        <v>6740</v>
      </c>
    </row>
    <row r="5947" spans="1:6" x14ac:dyDescent="0.25">
      <c r="A5947" s="204">
        <v>43515</v>
      </c>
      <c r="B5947" s="26" t="s">
        <v>4875</v>
      </c>
      <c r="C5947" s="26" t="s">
        <v>4912</v>
      </c>
      <c r="D5947" s="8">
        <v>200</v>
      </c>
      <c r="E5947" s="8"/>
      <c r="F5947" s="92">
        <f t="shared" si="98"/>
        <v>6540</v>
      </c>
    </row>
    <row r="5948" spans="1:6" x14ac:dyDescent="0.25">
      <c r="A5948" s="204">
        <v>43515</v>
      </c>
      <c r="B5948" s="460" t="s">
        <v>2963</v>
      </c>
      <c r="C5948" s="460"/>
      <c r="D5948" s="71"/>
      <c r="E5948" s="58">
        <v>20000</v>
      </c>
      <c r="F5948" s="92">
        <f t="shared" ref="F5948:F5972" si="99">F5947-D5948+E5948</f>
        <v>26540</v>
      </c>
    </row>
    <row r="5949" spans="1:6" x14ac:dyDescent="0.25">
      <c r="A5949" s="204">
        <v>43515</v>
      </c>
      <c r="B5949" s="26" t="s">
        <v>2597</v>
      </c>
      <c r="C5949" s="26" t="s">
        <v>3146</v>
      </c>
      <c r="D5949" s="8">
        <v>10000</v>
      </c>
      <c r="E5949" s="8"/>
      <c r="F5949" s="92">
        <f t="shared" si="99"/>
        <v>16540</v>
      </c>
    </row>
    <row r="5950" spans="1:6" x14ac:dyDescent="0.25">
      <c r="A5950" s="204">
        <v>43516</v>
      </c>
      <c r="B5950" s="460" t="s">
        <v>4913</v>
      </c>
      <c r="C5950" s="460"/>
      <c r="D5950" s="71"/>
      <c r="E5950" s="58">
        <v>500000</v>
      </c>
      <c r="F5950" s="92">
        <f t="shared" si="99"/>
        <v>516540</v>
      </c>
    </row>
    <row r="5951" spans="1:6" x14ac:dyDescent="0.25">
      <c r="A5951" s="204">
        <v>43516</v>
      </c>
      <c r="B5951" s="29" t="s">
        <v>4881</v>
      </c>
      <c r="C5951" s="29" t="s">
        <v>4914</v>
      </c>
      <c r="D5951" s="8">
        <v>308400</v>
      </c>
      <c r="E5951" s="8"/>
      <c r="F5951" s="92">
        <f t="shared" si="99"/>
        <v>208140</v>
      </c>
    </row>
    <row r="5952" spans="1:6" x14ac:dyDescent="0.25">
      <c r="A5952" s="204">
        <v>43516</v>
      </c>
      <c r="B5952" s="29" t="s">
        <v>4915</v>
      </c>
      <c r="C5952" s="29" t="s">
        <v>4916</v>
      </c>
      <c r="D5952" s="8">
        <v>180500</v>
      </c>
      <c r="E5952" s="8"/>
      <c r="F5952" s="92">
        <f t="shared" si="99"/>
        <v>27640</v>
      </c>
    </row>
    <row r="5953" spans="1:6" x14ac:dyDescent="0.25">
      <c r="A5953" s="204">
        <v>43516</v>
      </c>
      <c r="B5953" s="26" t="s">
        <v>26</v>
      </c>
      <c r="C5953" s="26" t="s">
        <v>4917</v>
      </c>
      <c r="D5953" s="8">
        <v>300</v>
      </c>
      <c r="E5953" s="8"/>
      <c r="F5953" s="92">
        <f t="shared" si="99"/>
        <v>27340</v>
      </c>
    </row>
    <row r="5954" spans="1:6" x14ac:dyDescent="0.25">
      <c r="A5954" s="204">
        <v>43516</v>
      </c>
      <c r="B5954" s="26" t="s">
        <v>26</v>
      </c>
      <c r="C5954" s="26" t="s">
        <v>4918</v>
      </c>
      <c r="D5954" s="8">
        <v>300</v>
      </c>
      <c r="E5954" s="8"/>
      <c r="F5954" s="92">
        <f t="shared" si="99"/>
        <v>27040</v>
      </c>
    </row>
    <row r="5955" spans="1:6" x14ac:dyDescent="0.25">
      <c r="A5955" s="204">
        <v>43516</v>
      </c>
      <c r="B5955" s="460" t="s">
        <v>5065</v>
      </c>
      <c r="C5955" s="460"/>
      <c r="D5955" s="71"/>
      <c r="E5955" s="58">
        <v>300000</v>
      </c>
      <c r="F5955" s="92">
        <f t="shared" si="99"/>
        <v>327040</v>
      </c>
    </row>
    <row r="5956" spans="1:6" x14ac:dyDescent="0.25">
      <c r="A5956" s="204">
        <v>43516</v>
      </c>
      <c r="B5956" s="26" t="s">
        <v>3738</v>
      </c>
      <c r="C5956" s="26" t="s">
        <v>4698</v>
      </c>
      <c r="D5956" s="8">
        <v>1000</v>
      </c>
      <c r="E5956" s="8"/>
      <c r="F5956" s="92">
        <f t="shared" si="99"/>
        <v>326040</v>
      </c>
    </row>
    <row r="5957" spans="1:6" x14ac:dyDescent="0.25">
      <c r="A5957" s="204">
        <v>43516</v>
      </c>
      <c r="B5957" s="26" t="s">
        <v>85</v>
      </c>
      <c r="C5957" s="26" t="s">
        <v>4919</v>
      </c>
      <c r="D5957" s="8">
        <v>1500</v>
      </c>
      <c r="E5957" s="8"/>
      <c r="F5957" s="92">
        <f t="shared" si="99"/>
        <v>324540</v>
      </c>
    </row>
    <row r="5958" spans="1:6" x14ac:dyDescent="0.25">
      <c r="A5958" s="204">
        <v>43516</v>
      </c>
      <c r="B5958" s="26" t="s">
        <v>4904</v>
      </c>
      <c r="C5958" s="26" t="s">
        <v>4920</v>
      </c>
      <c r="D5958" s="8">
        <v>63000</v>
      </c>
      <c r="E5958" s="8"/>
      <c r="F5958" s="92">
        <f t="shared" si="99"/>
        <v>261540</v>
      </c>
    </row>
    <row r="5959" spans="1:6" x14ac:dyDescent="0.25">
      <c r="A5959" s="204">
        <v>43516</v>
      </c>
      <c r="B5959" s="26" t="s">
        <v>2597</v>
      </c>
      <c r="C5959" s="26" t="s">
        <v>4729</v>
      </c>
      <c r="D5959" s="8">
        <v>22500</v>
      </c>
      <c r="E5959" s="8"/>
      <c r="F5959" s="92">
        <f t="shared" si="99"/>
        <v>239040</v>
      </c>
    </row>
    <row r="5960" spans="1:6" x14ac:dyDescent="0.25">
      <c r="A5960" s="204">
        <v>43516</v>
      </c>
      <c r="B5960" s="26" t="s">
        <v>2597</v>
      </c>
      <c r="C5960" s="26" t="s">
        <v>4922</v>
      </c>
      <c r="D5960" s="8">
        <v>22136</v>
      </c>
      <c r="E5960" s="8"/>
      <c r="F5960" s="92">
        <f t="shared" si="99"/>
        <v>216904</v>
      </c>
    </row>
    <row r="5961" spans="1:6" x14ac:dyDescent="0.25">
      <c r="A5961" s="204">
        <v>43517</v>
      </c>
      <c r="B5961" s="26" t="s">
        <v>26</v>
      </c>
      <c r="C5961" s="26" t="s">
        <v>4923</v>
      </c>
      <c r="D5961" s="8">
        <v>100</v>
      </c>
      <c r="E5961" s="8"/>
      <c r="F5961" s="92">
        <f t="shared" si="99"/>
        <v>216804</v>
      </c>
    </row>
    <row r="5962" spans="1:6" x14ac:dyDescent="0.25">
      <c r="A5962" s="204">
        <v>43517</v>
      </c>
      <c r="B5962" s="26" t="s">
        <v>4728</v>
      </c>
      <c r="C5962" s="26" t="s">
        <v>4924</v>
      </c>
      <c r="D5962" s="8">
        <v>200</v>
      </c>
      <c r="E5962" s="8"/>
      <c r="F5962" s="92">
        <f t="shared" si="99"/>
        <v>216604</v>
      </c>
    </row>
    <row r="5963" spans="1:6" x14ac:dyDescent="0.25">
      <c r="A5963" s="204">
        <v>43517</v>
      </c>
      <c r="B5963" s="26" t="s">
        <v>4832</v>
      </c>
      <c r="C5963" s="26" t="s">
        <v>4925</v>
      </c>
      <c r="D5963" s="8">
        <v>46300</v>
      </c>
      <c r="E5963" s="8"/>
      <c r="F5963" s="92">
        <f t="shared" si="99"/>
        <v>170304</v>
      </c>
    </row>
    <row r="5964" spans="1:6" x14ac:dyDescent="0.25">
      <c r="A5964" s="204">
        <v>43517</v>
      </c>
      <c r="B5964" s="26" t="s">
        <v>0</v>
      </c>
      <c r="C5964" s="26" t="s">
        <v>4926</v>
      </c>
      <c r="D5964" s="8">
        <v>10000</v>
      </c>
      <c r="E5964" s="8"/>
      <c r="F5964" s="92">
        <f t="shared" si="99"/>
        <v>160304</v>
      </c>
    </row>
    <row r="5965" spans="1:6" x14ac:dyDescent="0.25">
      <c r="A5965" s="204">
        <v>43517</v>
      </c>
      <c r="B5965" s="460" t="s">
        <v>5064</v>
      </c>
      <c r="C5965" s="460"/>
      <c r="D5965" s="71"/>
      <c r="E5965" s="58">
        <v>300000</v>
      </c>
      <c r="F5965" s="92">
        <f t="shared" si="99"/>
        <v>460304</v>
      </c>
    </row>
    <row r="5966" spans="1:6" x14ac:dyDescent="0.25">
      <c r="A5966" s="204">
        <v>43517</v>
      </c>
      <c r="B5966" s="26" t="s">
        <v>4807</v>
      </c>
      <c r="C5966" s="26" t="s">
        <v>4928</v>
      </c>
      <c r="D5966" s="8">
        <v>400000</v>
      </c>
      <c r="E5966" s="8"/>
      <c r="F5966" s="92">
        <f t="shared" si="99"/>
        <v>60304</v>
      </c>
    </row>
    <row r="5967" spans="1:6" x14ac:dyDescent="0.25">
      <c r="A5967" s="204">
        <v>43517</v>
      </c>
      <c r="B5967" s="26" t="s">
        <v>4927</v>
      </c>
      <c r="C5967" s="26" t="s">
        <v>4929</v>
      </c>
      <c r="D5967" s="8">
        <v>10000</v>
      </c>
      <c r="E5967" s="8"/>
      <c r="F5967" s="92">
        <f t="shared" si="99"/>
        <v>50304</v>
      </c>
    </row>
    <row r="5968" spans="1:6" x14ac:dyDescent="0.25">
      <c r="A5968" s="204">
        <v>43517</v>
      </c>
      <c r="B5968" s="26" t="s">
        <v>3563</v>
      </c>
      <c r="C5968" s="26" t="s">
        <v>3539</v>
      </c>
      <c r="D5968" s="8">
        <v>650</v>
      </c>
      <c r="E5968" s="8"/>
      <c r="F5968" s="92">
        <f t="shared" si="99"/>
        <v>49654</v>
      </c>
    </row>
    <row r="5969" spans="1:6" x14ac:dyDescent="0.25">
      <c r="A5969" s="204">
        <v>43518</v>
      </c>
      <c r="B5969" s="26" t="s">
        <v>2951</v>
      </c>
      <c r="C5969" s="26" t="s">
        <v>51</v>
      </c>
      <c r="D5969" s="8">
        <v>5000</v>
      </c>
      <c r="E5969" s="8"/>
      <c r="F5969" s="92">
        <f t="shared" si="99"/>
        <v>44654</v>
      </c>
    </row>
    <row r="5970" spans="1:6" x14ac:dyDescent="0.25">
      <c r="A5970" s="204">
        <v>43518</v>
      </c>
      <c r="B5970" s="26" t="s">
        <v>2597</v>
      </c>
      <c r="C5970" s="26" t="s">
        <v>4930</v>
      </c>
      <c r="D5970" s="8">
        <v>19040</v>
      </c>
      <c r="E5970" s="8"/>
      <c r="F5970" s="92">
        <f t="shared" si="99"/>
        <v>25614</v>
      </c>
    </row>
    <row r="5971" spans="1:6" x14ac:dyDescent="0.25">
      <c r="A5971" s="204">
        <v>43518</v>
      </c>
      <c r="B5971" s="26" t="s">
        <v>14</v>
      </c>
      <c r="C5971" s="26" t="s">
        <v>295</v>
      </c>
      <c r="D5971" s="8">
        <v>5000</v>
      </c>
      <c r="E5971" s="8"/>
      <c r="F5971" s="92">
        <f t="shared" si="99"/>
        <v>20614</v>
      </c>
    </row>
    <row r="5972" spans="1:6" x14ac:dyDescent="0.25">
      <c r="A5972" s="204">
        <v>43518</v>
      </c>
      <c r="B5972" s="26" t="s">
        <v>4932</v>
      </c>
      <c r="C5972" s="26" t="s">
        <v>4933</v>
      </c>
      <c r="D5972" s="8">
        <v>5500</v>
      </c>
      <c r="E5972" s="8"/>
      <c r="F5972" s="92">
        <f t="shared" si="99"/>
        <v>15114</v>
      </c>
    </row>
    <row r="5973" spans="1:6" x14ac:dyDescent="0.25">
      <c r="A5973" s="204">
        <v>43518</v>
      </c>
      <c r="B5973" s="460" t="s">
        <v>3448</v>
      </c>
      <c r="C5973" s="460"/>
      <c r="D5973" s="71"/>
      <c r="E5973" s="58">
        <v>500000</v>
      </c>
      <c r="F5973" s="92">
        <f t="shared" ref="F5973:F5981" si="100">F5972-D5973+E5973</f>
        <v>515114</v>
      </c>
    </row>
    <row r="5974" spans="1:6" x14ac:dyDescent="0.25">
      <c r="A5974" s="204">
        <v>43518</v>
      </c>
      <c r="B5974" s="26" t="s">
        <v>4934</v>
      </c>
      <c r="C5974" s="26" t="s">
        <v>4940</v>
      </c>
      <c r="D5974" s="8">
        <v>450000</v>
      </c>
      <c r="E5974" s="8"/>
      <c r="F5974" s="92">
        <f t="shared" si="100"/>
        <v>65114</v>
      </c>
    </row>
    <row r="5975" spans="1:6" x14ac:dyDescent="0.25">
      <c r="A5975" s="204">
        <v>43518</v>
      </c>
      <c r="B5975" s="26" t="s">
        <v>111</v>
      </c>
      <c r="C5975" s="26" t="s">
        <v>4935</v>
      </c>
      <c r="D5975" s="8">
        <v>8300</v>
      </c>
      <c r="E5975" s="8"/>
      <c r="F5975" s="92">
        <f t="shared" si="100"/>
        <v>56814</v>
      </c>
    </row>
    <row r="5976" spans="1:6" x14ac:dyDescent="0.25">
      <c r="A5976" s="204">
        <v>43518</v>
      </c>
      <c r="B5976" s="26" t="s">
        <v>1619</v>
      </c>
      <c r="C5976" s="26" t="s">
        <v>4936</v>
      </c>
      <c r="D5976" s="8">
        <v>520</v>
      </c>
      <c r="E5976" s="8"/>
      <c r="F5976" s="92">
        <f t="shared" si="100"/>
        <v>56294</v>
      </c>
    </row>
    <row r="5977" spans="1:6" x14ac:dyDescent="0.25">
      <c r="A5977" s="204">
        <v>43518</v>
      </c>
      <c r="B5977" s="26" t="s">
        <v>2827</v>
      </c>
      <c r="C5977" s="26" t="s">
        <v>4941</v>
      </c>
      <c r="D5977" s="8">
        <v>4000</v>
      </c>
      <c r="E5977" s="8"/>
      <c r="F5977" s="92">
        <f t="shared" si="100"/>
        <v>52294</v>
      </c>
    </row>
    <row r="5978" spans="1:6" x14ac:dyDescent="0.25">
      <c r="A5978" s="204">
        <v>43518</v>
      </c>
      <c r="B5978" s="26" t="s">
        <v>2597</v>
      </c>
      <c r="C5978" s="26" t="s">
        <v>4943</v>
      </c>
      <c r="D5978" s="8">
        <v>15915</v>
      </c>
      <c r="E5978" s="8"/>
      <c r="F5978" s="92">
        <f t="shared" si="100"/>
        <v>36379</v>
      </c>
    </row>
    <row r="5979" spans="1:6" x14ac:dyDescent="0.25">
      <c r="A5979" s="204">
        <v>43518</v>
      </c>
      <c r="B5979" s="26" t="s">
        <v>14</v>
      </c>
      <c r="C5979" s="26" t="s">
        <v>4937</v>
      </c>
      <c r="D5979" s="8">
        <v>25000</v>
      </c>
      <c r="E5979" s="8"/>
      <c r="F5979" s="92">
        <f t="shared" si="100"/>
        <v>11379</v>
      </c>
    </row>
    <row r="5980" spans="1:6" x14ac:dyDescent="0.25">
      <c r="A5980" s="204">
        <v>43518</v>
      </c>
      <c r="B5980" s="26" t="s">
        <v>4938</v>
      </c>
      <c r="C5980" s="26" t="s">
        <v>41</v>
      </c>
      <c r="D5980" s="8">
        <v>100</v>
      </c>
      <c r="E5980" s="8"/>
      <c r="F5980" s="92">
        <f t="shared" si="100"/>
        <v>11279</v>
      </c>
    </row>
    <row r="5981" spans="1:6" x14ac:dyDescent="0.25">
      <c r="A5981" s="204">
        <v>43519</v>
      </c>
      <c r="B5981" s="26" t="s">
        <v>26</v>
      </c>
      <c r="C5981" s="26" t="s">
        <v>4939</v>
      </c>
      <c r="D5981" s="8">
        <v>640</v>
      </c>
      <c r="E5981" s="8"/>
      <c r="F5981" s="92">
        <f t="shared" si="100"/>
        <v>10639</v>
      </c>
    </row>
    <row r="5982" spans="1:6" x14ac:dyDescent="0.25">
      <c r="A5982" s="204">
        <v>43521</v>
      </c>
      <c r="B5982" s="460" t="s">
        <v>3448</v>
      </c>
      <c r="C5982" s="460"/>
      <c r="D5982" s="71"/>
      <c r="E5982" s="58">
        <v>50000</v>
      </c>
      <c r="F5982" s="92">
        <f t="shared" ref="F5982:F5987" si="101">F5981-D5982+E5982</f>
        <v>60639</v>
      </c>
    </row>
    <row r="5983" spans="1:6" x14ac:dyDescent="0.25">
      <c r="A5983" s="204">
        <v>43521</v>
      </c>
      <c r="B5983" s="26" t="s">
        <v>2597</v>
      </c>
      <c r="C5983" s="26" t="s">
        <v>4945</v>
      </c>
      <c r="D5983" s="8">
        <v>19970</v>
      </c>
      <c r="E5983" s="8"/>
      <c r="F5983" s="92">
        <f t="shared" si="101"/>
        <v>40669</v>
      </c>
    </row>
    <row r="5984" spans="1:6" x14ac:dyDescent="0.25">
      <c r="A5984" s="204">
        <v>43521</v>
      </c>
      <c r="B5984" s="26" t="s">
        <v>4871</v>
      </c>
      <c r="C5984" s="26" t="s">
        <v>4946</v>
      </c>
      <c r="D5984" s="8">
        <v>7850</v>
      </c>
      <c r="E5984" s="8"/>
      <c r="F5984" s="92">
        <f t="shared" si="101"/>
        <v>32819</v>
      </c>
    </row>
    <row r="5985" spans="1:6" x14ac:dyDescent="0.25">
      <c r="A5985" s="204">
        <v>43521</v>
      </c>
      <c r="B5985" s="26" t="s">
        <v>85</v>
      </c>
      <c r="C5985" s="26" t="s">
        <v>4947</v>
      </c>
      <c r="D5985" s="8">
        <v>2000</v>
      </c>
      <c r="E5985" s="8"/>
      <c r="F5985" s="92">
        <f t="shared" si="101"/>
        <v>30819</v>
      </c>
    </row>
    <row r="5986" spans="1:6" x14ac:dyDescent="0.25">
      <c r="A5986" s="204">
        <v>43521</v>
      </c>
      <c r="B5986" s="26" t="s">
        <v>85</v>
      </c>
      <c r="C5986" s="26" t="s">
        <v>4948</v>
      </c>
      <c r="D5986" s="8">
        <v>2000</v>
      </c>
      <c r="E5986" s="8"/>
      <c r="F5986" s="92">
        <f t="shared" si="101"/>
        <v>28819</v>
      </c>
    </row>
    <row r="5987" spans="1:6" x14ac:dyDescent="0.25">
      <c r="A5987" s="204">
        <v>43521</v>
      </c>
      <c r="B5987" s="26" t="s">
        <v>19</v>
      </c>
      <c r="C5987" s="26" t="s">
        <v>4950</v>
      </c>
      <c r="D5987" s="8">
        <v>20000</v>
      </c>
      <c r="E5987" s="8"/>
      <c r="F5987" s="92">
        <f t="shared" si="101"/>
        <v>8819</v>
      </c>
    </row>
    <row r="5988" spans="1:6" x14ac:dyDescent="0.25">
      <c r="A5988" s="204">
        <v>43521</v>
      </c>
      <c r="B5988" s="460" t="s">
        <v>3448</v>
      </c>
      <c r="C5988" s="460"/>
      <c r="D5988" s="71"/>
      <c r="E5988" s="58">
        <v>100000</v>
      </c>
      <c r="F5988" s="92">
        <f t="shared" ref="F5988:F6000" si="102">F5987-D5988+E5988</f>
        <v>108819</v>
      </c>
    </row>
    <row r="5989" spans="1:6" x14ac:dyDescent="0.25">
      <c r="A5989" s="204">
        <v>43521</v>
      </c>
      <c r="B5989" s="29" t="s">
        <v>14</v>
      </c>
      <c r="C5989" s="29" t="s">
        <v>295</v>
      </c>
      <c r="D5989" s="8">
        <v>50000</v>
      </c>
      <c r="E5989" s="8"/>
      <c r="F5989" s="92">
        <f t="shared" si="102"/>
        <v>58819</v>
      </c>
    </row>
    <row r="5990" spans="1:6" x14ac:dyDescent="0.25">
      <c r="A5990" s="204">
        <v>43521</v>
      </c>
      <c r="B5990" s="26" t="s">
        <v>85</v>
      </c>
      <c r="C5990" s="26" t="s">
        <v>4951</v>
      </c>
      <c r="D5990" s="8">
        <v>5000</v>
      </c>
      <c r="E5990" s="8"/>
      <c r="F5990" s="92">
        <f t="shared" si="102"/>
        <v>53819</v>
      </c>
    </row>
    <row r="5991" spans="1:6" x14ac:dyDescent="0.25">
      <c r="A5991" s="204">
        <v>43521</v>
      </c>
      <c r="B5991" s="26" t="s">
        <v>26</v>
      </c>
      <c r="C5991" s="26" t="s">
        <v>4952</v>
      </c>
      <c r="D5991" s="8">
        <f>140+100+20+50+50+30+100+80+17</f>
        <v>587</v>
      </c>
      <c r="E5991" s="8"/>
      <c r="F5991" s="92">
        <f t="shared" si="102"/>
        <v>53232</v>
      </c>
    </row>
    <row r="5992" spans="1:6" ht="45" x14ac:dyDescent="0.25">
      <c r="A5992" s="204">
        <v>43522</v>
      </c>
      <c r="B5992" s="26" t="s">
        <v>1790</v>
      </c>
      <c r="C5992" s="87" t="s">
        <v>4959</v>
      </c>
      <c r="D5992" s="8">
        <v>3500</v>
      </c>
      <c r="E5992" s="8"/>
      <c r="F5992" s="92">
        <f t="shared" si="102"/>
        <v>49732</v>
      </c>
    </row>
    <row r="5993" spans="1:6" x14ac:dyDescent="0.25">
      <c r="A5993" s="204">
        <v>43522</v>
      </c>
      <c r="B5993" s="26" t="s">
        <v>3829</v>
      </c>
      <c r="C5993" s="26" t="s">
        <v>4953</v>
      </c>
      <c r="D5993" s="8">
        <v>5000</v>
      </c>
      <c r="E5993" s="8"/>
      <c r="F5993" s="92">
        <f t="shared" si="102"/>
        <v>44732</v>
      </c>
    </row>
    <row r="5994" spans="1:6" x14ac:dyDescent="0.25">
      <c r="A5994" s="204">
        <v>43522</v>
      </c>
      <c r="B5994" s="26" t="s">
        <v>85</v>
      </c>
      <c r="C5994" s="26" t="s">
        <v>4954</v>
      </c>
      <c r="D5994" s="8">
        <v>4000</v>
      </c>
      <c r="E5994" s="8"/>
      <c r="F5994" s="92">
        <f t="shared" si="102"/>
        <v>40732</v>
      </c>
    </row>
    <row r="5995" spans="1:6" x14ac:dyDescent="0.25">
      <c r="A5995" s="204">
        <v>43522</v>
      </c>
      <c r="B5995" s="26" t="s">
        <v>17</v>
      </c>
      <c r="C5995" s="26" t="s">
        <v>4956</v>
      </c>
      <c r="D5995" s="8">
        <v>18730</v>
      </c>
      <c r="E5995" s="8"/>
      <c r="F5995" s="92">
        <f t="shared" si="102"/>
        <v>22002</v>
      </c>
    </row>
    <row r="5996" spans="1:6" x14ac:dyDescent="0.25">
      <c r="A5996" s="204">
        <v>43522</v>
      </c>
      <c r="B5996" s="26" t="s">
        <v>2099</v>
      </c>
      <c r="C5996" s="26" t="s">
        <v>4956</v>
      </c>
      <c r="D5996" s="8">
        <v>18200</v>
      </c>
      <c r="E5996" s="8"/>
      <c r="F5996" s="92">
        <f t="shared" si="102"/>
        <v>3802</v>
      </c>
    </row>
    <row r="5997" spans="1:6" x14ac:dyDescent="0.25">
      <c r="A5997" s="204">
        <v>43522</v>
      </c>
      <c r="B5997" s="460" t="s">
        <v>5064</v>
      </c>
      <c r="C5997" s="460"/>
      <c r="D5997" s="71"/>
      <c r="E5997" s="58">
        <v>50000</v>
      </c>
      <c r="F5997" s="92">
        <f t="shared" si="102"/>
        <v>53802</v>
      </c>
    </row>
    <row r="5998" spans="1:6" x14ac:dyDescent="0.25">
      <c r="A5998" s="204">
        <v>43522</v>
      </c>
      <c r="B5998" s="26" t="s">
        <v>2099</v>
      </c>
      <c r="C5998" s="26" t="s">
        <v>4957</v>
      </c>
      <c r="D5998" s="8">
        <v>20000</v>
      </c>
      <c r="E5998" s="8"/>
      <c r="F5998" s="92">
        <f t="shared" si="102"/>
        <v>33802</v>
      </c>
    </row>
    <row r="5999" spans="1:6" x14ac:dyDescent="0.25">
      <c r="A5999" s="204">
        <v>43522</v>
      </c>
      <c r="B5999" s="26" t="s">
        <v>85</v>
      </c>
      <c r="C5999" s="26" t="s">
        <v>4955</v>
      </c>
      <c r="D5999" s="8">
        <v>1000</v>
      </c>
      <c r="E5999" s="8"/>
      <c r="F5999" s="92">
        <f t="shared" si="102"/>
        <v>32802</v>
      </c>
    </row>
    <row r="6000" spans="1:6" x14ac:dyDescent="0.25">
      <c r="A6000" s="204">
        <v>43522</v>
      </c>
      <c r="B6000" s="26" t="s">
        <v>3141</v>
      </c>
      <c r="C6000" s="26" t="s">
        <v>4958</v>
      </c>
      <c r="D6000" s="8">
        <f>9500+4530</f>
        <v>14030</v>
      </c>
      <c r="E6000" s="8"/>
      <c r="F6000" s="92">
        <f t="shared" si="102"/>
        <v>18772</v>
      </c>
    </row>
    <row r="6001" spans="1:7" x14ac:dyDescent="0.25">
      <c r="A6001" s="204">
        <v>43523</v>
      </c>
      <c r="B6001" s="460" t="s">
        <v>3448</v>
      </c>
      <c r="C6001" s="460"/>
      <c r="D6001" s="71"/>
      <c r="E6001" s="58">
        <v>500000</v>
      </c>
      <c r="F6001" s="92">
        <f t="shared" ref="F6001:F6057" si="103">F6000-D6001+E6001</f>
        <v>518772</v>
      </c>
    </row>
    <row r="6002" spans="1:7" x14ac:dyDescent="0.25">
      <c r="A6002" s="204">
        <v>43523</v>
      </c>
      <c r="B6002" s="29" t="s">
        <v>542</v>
      </c>
      <c r="C6002" s="29" t="s">
        <v>4960</v>
      </c>
      <c r="D6002" s="8">
        <v>100000</v>
      </c>
      <c r="E6002" s="8"/>
      <c r="F6002" s="92">
        <f t="shared" si="103"/>
        <v>418772</v>
      </c>
    </row>
    <row r="6003" spans="1:7" x14ac:dyDescent="0.25">
      <c r="A6003" s="204">
        <v>43523</v>
      </c>
      <c r="B6003" s="29" t="s">
        <v>4875</v>
      </c>
      <c r="C6003" s="29" t="s">
        <v>4961</v>
      </c>
      <c r="D6003" s="8">
        <v>101000</v>
      </c>
      <c r="E6003" s="8"/>
      <c r="F6003" s="92">
        <f t="shared" si="103"/>
        <v>317772</v>
      </c>
    </row>
    <row r="6004" spans="1:7" x14ac:dyDescent="0.25">
      <c r="A6004" s="204">
        <v>43523</v>
      </c>
      <c r="B6004" s="29" t="s">
        <v>2597</v>
      </c>
      <c r="C6004" s="29" t="s">
        <v>4962</v>
      </c>
      <c r="D6004" s="8">
        <v>10430</v>
      </c>
      <c r="E6004" s="8"/>
      <c r="F6004" s="92">
        <f t="shared" si="103"/>
        <v>307342</v>
      </c>
    </row>
    <row r="6005" spans="1:7" x14ac:dyDescent="0.25">
      <c r="A6005" s="204">
        <v>43523</v>
      </c>
      <c r="B6005" s="29" t="s">
        <v>2597</v>
      </c>
      <c r="C6005" s="26" t="s">
        <v>4963</v>
      </c>
      <c r="D6005" s="8">
        <v>4000</v>
      </c>
      <c r="E6005" s="8"/>
      <c r="F6005" s="92">
        <f t="shared" si="103"/>
        <v>303342</v>
      </c>
    </row>
    <row r="6006" spans="1:7" x14ac:dyDescent="0.25">
      <c r="A6006" s="204">
        <v>43523</v>
      </c>
      <c r="B6006" s="26" t="s">
        <v>2099</v>
      </c>
      <c r="C6006" s="26" t="s">
        <v>4964</v>
      </c>
      <c r="D6006" s="8">
        <v>50000</v>
      </c>
      <c r="E6006" s="8"/>
      <c r="F6006" s="92">
        <f t="shared" si="103"/>
        <v>253342</v>
      </c>
    </row>
    <row r="6007" spans="1:7" x14ac:dyDescent="0.25">
      <c r="A6007" s="204">
        <v>43524</v>
      </c>
      <c r="B6007" s="26" t="s">
        <v>58</v>
      </c>
      <c r="C6007" s="26" t="s">
        <v>4967</v>
      </c>
      <c r="D6007" s="8">
        <v>10000</v>
      </c>
      <c r="E6007" s="8"/>
      <c r="F6007" s="92">
        <f t="shared" si="103"/>
        <v>243342</v>
      </c>
    </row>
    <row r="6008" spans="1:7" x14ac:dyDescent="0.25">
      <c r="A6008" s="204">
        <v>43524</v>
      </c>
      <c r="B6008" s="26" t="s">
        <v>19</v>
      </c>
      <c r="C6008" s="26" t="s">
        <v>4969</v>
      </c>
      <c r="D6008" s="8">
        <v>60000</v>
      </c>
      <c r="E6008" s="8"/>
      <c r="F6008" s="92">
        <f t="shared" si="103"/>
        <v>183342</v>
      </c>
    </row>
    <row r="6009" spans="1:7" x14ac:dyDescent="0.25">
      <c r="A6009" s="204">
        <v>43524</v>
      </c>
      <c r="B6009" s="26" t="s">
        <v>85</v>
      </c>
      <c r="C6009" s="26" t="s">
        <v>4970</v>
      </c>
      <c r="D6009" s="8">
        <v>4000</v>
      </c>
      <c r="E6009" s="8"/>
      <c r="F6009" s="92">
        <f t="shared" si="103"/>
        <v>179342</v>
      </c>
    </row>
    <row r="6010" spans="1:7" x14ac:dyDescent="0.25">
      <c r="A6010" s="204">
        <v>43525</v>
      </c>
      <c r="B6010" s="26" t="s">
        <v>4971</v>
      </c>
      <c r="C6010" s="26" t="s">
        <v>41</v>
      </c>
      <c r="D6010" s="8">
        <v>500</v>
      </c>
      <c r="E6010" s="8"/>
      <c r="F6010" s="92">
        <f t="shared" si="103"/>
        <v>178842</v>
      </c>
    </row>
    <row r="6011" spans="1:7" x14ac:dyDescent="0.25">
      <c r="A6011" s="204">
        <v>43525</v>
      </c>
      <c r="B6011" s="26" t="s">
        <v>85</v>
      </c>
      <c r="C6011" s="26" t="s">
        <v>4972</v>
      </c>
      <c r="D6011" s="8">
        <v>20000</v>
      </c>
      <c r="E6011" s="8"/>
      <c r="F6011" s="92">
        <f t="shared" si="103"/>
        <v>158842</v>
      </c>
    </row>
    <row r="6012" spans="1:7" x14ac:dyDescent="0.25">
      <c r="A6012" s="204">
        <v>43525</v>
      </c>
      <c r="B6012" s="26" t="s">
        <v>2597</v>
      </c>
      <c r="C6012" s="26" t="s">
        <v>4974</v>
      </c>
      <c r="D6012" s="8">
        <v>10000</v>
      </c>
      <c r="E6012" s="8"/>
      <c r="F6012" s="92">
        <f t="shared" si="103"/>
        <v>148842</v>
      </c>
    </row>
    <row r="6013" spans="1:7" x14ac:dyDescent="0.25">
      <c r="A6013" s="204">
        <v>43526</v>
      </c>
      <c r="B6013" s="26" t="s">
        <v>26</v>
      </c>
      <c r="C6013" s="26" t="s">
        <v>4952</v>
      </c>
      <c r="D6013" s="8">
        <f>1400+30+50+180+100</f>
        <v>1760</v>
      </c>
      <c r="E6013" s="8"/>
      <c r="F6013" s="92">
        <f t="shared" si="103"/>
        <v>147082</v>
      </c>
      <c r="G6013" s="25"/>
    </row>
    <row r="6014" spans="1:7" x14ac:dyDescent="0.25">
      <c r="A6014" s="204">
        <v>43526</v>
      </c>
      <c r="B6014" s="26" t="s">
        <v>3738</v>
      </c>
      <c r="C6014" s="26" t="s">
        <v>4973</v>
      </c>
      <c r="D6014" s="8">
        <v>2000</v>
      </c>
      <c r="E6014" s="8"/>
      <c r="F6014" s="92">
        <f t="shared" si="103"/>
        <v>145082</v>
      </c>
    </row>
    <row r="6015" spans="1:7" x14ac:dyDescent="0.25">
      <c r="A6015" s="204">
        <v>43526</v>
      </c>
      <c r="B6015" s="26" t="s">
        <v>2597</v>
      </c>
      <c r="C6015" s="26" t="s">
        <v>4992</v>
      </c>
      <c r="D6015" s="8">
        <v>5000</v>
      </c>
      <c r="E6015" s="8"/>
      <c r="F6015" s="92">
        <f t="shared" si="103"/>
        <v>140082</v>
      </c>
    </row>
    <row r="6016" spans="1:7" x14ac:dyDescent="0.25">
      <c r="A6016" s="204">
        <v>43526</v>
      </c>
      <c r="B6016" s="26" t="s">
        <v>111</v>
      </c>
      <c r="C6016" s="26" t="s">
        <v>4975</v>
      </c>
      <c r="D6016" s="8">
        <v>12500</v>
      </c>
      <c r="E6016" s="8"/>
      <c r="F6016" s="92">
        <f t="shared" si="103"/>
        <v>127582</v>
      </c>
    </row>
    <row r="6017" spans="1:6" x14ac:dyDescent="0.25">
      <c r="A6017" s="204">
        <v>43526</v>
      </c>
      <c r="B6017" s="26" t="s">
        <v>111</v>
      </c>
      <c r="C6017" s="26" t="s">
        <v>4976</v>
      </c>
      <c r="D6017" s="8">
        <v>5000</v>
      </c>
      <c r="E6017" s="8"/>
      <c r="F6017" s="92">
        <f t="shared" si="103"/>
        <v>122582</v>
      </c>
    </row>
    <row r="6018" spans="1:6" x14ac:dyDescent="0.25">
      <c r="A6018" s="204">
        <v>43527</v>
      </c>
      <c r="B6018" s="26" t="s">
        <v>542</v>
      </c>
      <c r="C6018" s="26" t="s">
        <v>4977</v>
      </c>
      <c r="D6018" s="8">
        <v>935</v>
      </c>
      <c r="E6018" s="8"/>
      <c r="F6018" s="92">
        <f t="shared" si="103"/>
        <v>121647</v>
      </c>
    </row>
    <row r="6019" spans="1:6" x14ac:dyDescent="0.25">
      <c r="A6019" s="204">
        <v>43527</v>
      </c>
      <c r="B6019" s="26" t="s">
        <v>14</v>
      </c>
      <c r="C6019" s="26" t="s">
        <v>4978</v>
      </c>
      <c r="D6019" s="8">
        <v>50</v>
      </c>
      <c r="E6019" s="8"/>
      <c r="F6019" s="92">
        <f t="shared" si="103"/>
        <v>121597</v>
      </c>
    </row>
    <row r="6020" spans="1:6" x14ac:dyDescent="0.25">
      <c r="A6020" s="204">
        <v>43527</v>
      </c>
      <c r="B6020" s="26" t="s">
        <v>3563</v>
      </c>
      <c r="C6020" s="26" t="s">
        <v>4979</v>
      </c>
      <c r="D6020" s="8">
        <v>40000</v>
      </c>
      <c r="E6020" s="8"/>
      <c r="F6020" s="92">
        <f t="shared" si="103"/>
        <v>81597</v>
      </c>
    </row>
    <row r="6021" spans="1:6" x14ac:dyDescent="0.25">
      <c r="A6021" s="204">
        <v>43527</v>
      </c>
      <c r="B6021" s="26" t="s">
        <v>4980</v>
      </c>
      <c r="C6021" s="26" t="s">
        <v>2314</v>
      </c>
      <c r="D6021" s="8">
        <v>21030</v>
      </c>
      <c r="E6021" s="8"/>
      <c r="F6021" s="92">
        <f t="shared" si="103"/>
        <v>60567</v>
      </c>
    </row>
    <row r="6022" spans="1:6" x14ac:dyDescent="0.25">
      <c r="A6022" s="204">
        <v>43527</v>
      </c>
      <c r="B6022" s="26" t="s">
        <v>55</v>
      </c>
      <c r="C6022" s="26" t="s">
        <v>4220</v>
      </c>
      <c r="D6022" s="8">
        <v>30000</v>
      </c>
      <c r="E6022" s="8"/>
      <c r="F6022" s="92">
        <f t="shared" si="103"/>
        <v>30567</v>
      </c>
    </row>
    <row r="6023" spans="1:6" x14ac:dyDescent="0.25">
      <c r="A6023" s="204">
        <v>43527</v>
      </c>
      <c r="B6023" s="26" t="s">
        <v>2597</v>
      </c>
      <c r="C6023" s="26" t="s">
        <v>4981</v>
      </c>
      <c r="D6023" s="8">
        <v>1200</v>
      </c>
      <c r="E6023" s="8"/>
      <c r="F6023" s="92">
        <f t="shared" si="103"/>
        <v>29367</v>
      </c>
    </row>
    <row r="6024" spans="1:6" x14ac:dyDescent="0.25">
      <c r="A6024" s="204">
        <v>43528</v>
      </c>
      <c r="B6024" s="26" t="s">
        <v>4982</v>
      </c>
      <c r="C6024" s="26" t="s">
        <v>4983</v>
      </c>
      <c r="D6024" s="8">
        <v>10000</v>
      </c>
      <c r="E6024" s="8"/>
      <c r="F6024" s="92">
        <f t="shared" si="103"/>
        <v>19367</v>
      </c>
    </row>
    <row r="6025" spans="1:6" x14ac:dyDescent="0.25">
      <c r="A6025" s="204">
        <v>43528</v>
      </c>
      <c r="B6025" s="29" t="s">
        <v>248</v>
      </c>
      <c r="C6025" s="29" t="s">
        <v>4984</v>
      </c>
      <c r="D6025" s="8">
        <v>10000</v>
      </c>
      <c r="E6025" s="8"/>
      <c r="F6025" s="92">
        <f t="shared" si="103"/>
        <v>9367</v>
      </c>
    </row>
    <row r="6026" spans="1:6" x14ac:dyDescent="0.25">
      <c r="A6026" s="204">
        <v>43528</v>
      </c>
      <c r="B6026" s="460" t="s">
        <v>4669</v>
      </c>
      <c r="C6026" s="460"/>
      <c r="D6026" s="71"/>
      <c r="E6026" s="58">
        <v>459</v>
      </c>
      <c r="F6026" s="92">
        <f t="shared" si="103"/>
        <v>9826</v>
      </c>
    </row>
    <row r="6027" spans="1:6" x14ac:dyDescent="0.25">
      <c r="A6027" s="204">
        <v>43529</v>
      </c>
      <c r="B6027" s="26" t="s">
        <v>3563</v>
      </c>
      <c r="C6027" s="26" t="s">
        <v>4829</v>
      </c>
      <c r="D6027" s="8">
        <v>1270</v>
      </c>
      <c r="E6027" s="8"/>
      <c r="F6027" s="92">
        <f t="shared" si="103"/>
        <v>8556</v>
      </c>
    </row>
    <row r="6028" spans="1:6" x14ac:dyDescent="0.25">
      <c r="A6028" s="204">
        <v>43529</v>
      </c>
      <c r="B6028" s="26" t="s">
        <v>4116</v>
      </c>
      <c r="C6028" s="26" t="s">
        <v>2016</v>
      </c>
      <c r="D6028" s="8">
        <v>50</v>
      </c>
      <c r="E6028" s="8"/>
      <c r="F6028" s="92">
        <f t="shared" si="103"/>
        <v>8506</v>
      </c>
    </row>
    <row r="6029" spans="1:6" x14ac:dyDescent="0.25">
      <c r="A6029" s="204">
        <v>43529</v>
      </c>
      <c r="B6029" s="460" t="s">
        <v>3448</v>
      </c>
      <c r="C6029" s="460"/>
      <c r="D6029" s="71"/>
      <c r="E6029" s="58">
        <v>50000</v>
      </c>
      <c r="F6029" s="92">
        <f t="shared" si="103"/>
        <v>58506</v>
      </c>
    </row>
    <row r="6030" spans="1:6" x14ac:dyDescent="0.25">
      <c r="A6030" s="204">
        <v>43529</v>
      </c>
      <c r="B6030" s="26" t="s">
        <v>2597</v>
      </c>
      <c r="C6030" s="26" t="s">
        <v>3146</v>
      </c>
      <c r="D6030" s="8">
        <v>20820</v>
      </c>
      <c r="E6030" s="8"/>
      <c r="F6030" s="92">
        <f t="shared" si="103"/>
        <v>37686</v>
      </c>
    </row>
    <row r="6031" spans="1:6" x14ac:dyDescent="0.25">
      <c r="A6031" s="204">
        <v>43529</v>
      </c>
      <c r="B6031" s="26" t="s">
        <v>2597</v>
      </c>
      <c r="C6031" s="26" t="s">
        <v>3146</v>
      </c>
      <c r="D6031" s="8">
        <v>30200</v>
      </c>
      <c r="E6031" s="8"/>
      <c r="F6031" s="92">
        <f t="shared" si="103"/>
        <v>7486</v>
      </c>
    </row>
    <row r="6032" spans="1:6" x14ac:dyDescent="0.25">
      <c r="A6032" s="204">
        <v>43530</v>
      </c>
      <c r="B6032" s="460" t="s">
        <v>3448</v>
      </c>
      <c r="C6032" s="460"/>
      <c r="D6032" s="71"/>
      <c r="E6032" s="58">
        <v>100000</v>
      </c>
      <c r="F6032" s="92">
        <f t="shared" si="103"/>
        <v>107486</v>
      </c>
    </row>
    <row r="6033" spans="1:6" x14ac:dyDescent="0.25">
      <c r="A6033" s="204">
        <v>43530</v>
      </c>
      <c r="B6033" s="26" t="s">
        <v>4985</v>
      </c>
      <c r="C6033" s="26" t="s">
        <v>4986</v>
      </c>
      <c r="D6033" s="8">
        <v>40000</v>
      </c>
      <c r="E6033" s="8"/>
      <c r="F6033" s="92">
        <f t="shared" si="103"/>
        <v>67486</v>
      </c>
    </row>
    <row r="6034" spans="1:6" x14ac:dyDescent="0.25">
      <c r="A6034" s="204">
        <v>43530</v>
      </c>
      <c r="B6034" s="26" t="s">
        <v>4987</v>
      </c>
      <c r="C6034" s="26" t="s">
        <v>4988</v>
      </c>
      <c r="D6034" s="8">
        <v>900</v>
      </c>
      <c r="E6034" s="8"/>
      <c r="F6034" s="92">
        <f t="shared" si="103"/>
        <v>66586</v>
      </c>
    </row>
    <row r="6035" spans="1:6" x14ac:dyDescent="0.25">
      <c r="A6035" s="204">
        <v>43530</v>
      </c>
      <c r="B6035" s="26" t="s">
        <v>4251</v>
      </c>
      <c r="C6035" s="26" t="s">
        <v>4989</v>
      </c>
      <c r="D6035" s="8">
        <v>20000</v>
      </c>
      <c r="E6035" s="8"/>
      <c r="F6035" s="92">
        <f t="shared" si="103"/>
        <v>46586</v>
      </c>
    </row>
    <row r="6036" spans="1:6" x14ac:dyDescent="0.25">
      <c r="A6036" s="204">
        <v>43531</v>
      </c>
      <c r="B6036" s="26" t="s">
        <v>55</v>
      </c>
      <c r="C6036" s="26" t="s">
        <v>4990</v>
      </c>
      <c r="D6036" s="8">
        <v>5775</v>
      </c>
      <c r="E6036" s="8"/>
      <c r="F6036" s="92">
        <f t="shared" si="103"/>
        <v>40811</v>
      </c>
    </row>
    <row r="6037" spans="1:6" x14ac:dyDescent="0.25">
      <c r="A6037" s="204">
        <v>43531</v>
      </c>
      <c r="B6037" s="26" t="s">
        <v>94</v>
      </c>
      <c r="C6037" s="26" t="s">
        <v>3906</v>
      </c>
      <c r="D6037" s="8">
        <v>5000</v>
      </c>
      <c r="E6037" s="8"/>
      <c r="F6037" s="92">
        <f t="shared" si="103"/>
        <v>35811</v>
      </c>
    </row>
    <row r="6038" spans="1:6" x14ac:dyDescent="0.25">
      <c r="A6038" s="204">
        <v>43531</v>
      </c>
      <c r="B6038" s="26" t="s">
        <v>14</v>
      </c>
      <c r="C6038" s="26" t="s">
        <v>4991</v>
      </c>
      <c r="D6038" s="8">
        <v>554</v>
      </c>
      <c r="E6038" s="8"/>
      <c r="F6038" s="92">
        <f t="shared" si="103"/>
        <v>35257</v>
      </c>
    </row>
    <row r="6039" spans="1:6" x14ac:dyDescent="0.25">
      <c r="A6039" s="204">
        <v>43531</v>
      </c>
      <c r="B6039" s="26" t="s">
        <v>111</v>
      </c>
      <c r="C6039" s="26" t="s">
        <v>4993</v>
      </c>
      <c r="D6039" s="8">
        <v>600</v>
      </c>
      <c r="E6039" s="8"/>
      <c r="F6039" s="92">
        <f t="shared" si="103"/>
        <v>34657</v>
      </c>
    </row>
    <row r="6040" spans="1:6" x14ac:dyDescent="0.25">
      <c r="A6040" s="204">
        <v>43531</v>
      </c>
      <c r="B6040" s="26" t="s">
        <v>4987</v>
      </c>
      <c r="C6040" s="26" t="s">
        <v>4952</v>
      </c>
      <c r="D6040" s="8">
        <v>2300</v>
      </c>
      <c r="E6040" s="8"/>
      <c r="F6040" s="92">
        <f t="shared" si="103"/>
        <v>32357</v>
      </c>
    </row>
    <row r="6041" spans="1:6" x14ac:dyDescent="0.25">
      <c r="A6041" s="204">
        <v>43532</v>
      </c>
      <c r="B6041" s="26" t="s">
        <v>2597</v>
      </c>
      <c r="C6041" s="26" t="s">
        <v>4994</v>
      </c>
      <c r="D6041" s="8">
        <v>10720</v>
      </c>
      <c r="E6041" s="8"/>
      <c r="F6041" s="92">
        <f t="shared" si="103"/>
        <v>21637</v>
      </c>
    </row>
    <row r="6042" spans="1:6" x14ac:dyDescent="0.25">
      <c r="A6042" s="204">
        <v>43532</v>
      </c>
      <c r="B6042" s="26" t="s">
        <v>0</v>
      </c>
      <c r="C6042" s="26" t="s">
        <v>4995</v>
      </c>
      <c r="D6042" s="8">
        <v>3000</v>
      </c>
      <c r="E6042" s="8"/>
      <c r="F6042" s="92">
        <f t="shared" si="103"/>
        <v>18637</v>
      </c>
    </row>
    <row r="6043" spans="1:6" x14ac:dyDescent="0.25">
      <c r="A6043" s="204">
        <v>43532</v>
      </c>
      <c r="B6043" s="26" t="s">
        <v>248</v>
      </c>
      <c r="C6043" s="26" t="s">
        <v>4996</v>
      </c>
      <c r="D6043" s="8">
        <v>360</v>
      </c>
      <c r="E6043" s="8"/>
      <c r="F6043" s="92">
        <f t="shared" si="103"/>
        <v>18277</v>
      </c>
    </row>
    <row r="6044" spans="1:6" x14ac:dyDescent="0.25">
      <c r="A6044" s="204">
        <v>43532</v>
      </c>
      <c r="B6044" s="26" t="s">
        <v>1790</v>
      </c>
      <c r="C6044" s="26" t="s">
        <v>4997</v>
      </c>
      <c r="D6044" s="8">
        <v>1500</v>
      </c>
      <c r="E6044" s="8"/>
      <c r="F6044" s="92">
        <f t="shared" si="103"/>
        <v>16777</v>
      </c>
    </row>
    <row r="6045" spans="1:6" x14ac:dyDescent="0.25">
      <c r="A6045" s="204">
        <v>43533</v>
      </c>
      <c r="B6045" s="460" t="s">
        <v>4998</v>
      </c>
      <c r="C6045" s="460"/>
      <c r="D6045" s="71"/>
      <c r="E6045" s="58">
        <v>16000</v>
      </c>
      <c r="F6045" s="92">
        <f t="shared" si="103"/>
        <v>32777</v>
      </c>
    </row>
    <row r="6046" spans="1:6" x14ac:dyDescent="0.25">
      <c r="A6046" s="204">
        <v>43533</v>
      </c>
      <c r="B6046" s="138" t="s">
        <v>4999</v>
      </c>
      <c r="C6046" s="138" t="s">
        <v>5000</v>
      </c>
      <c r="D6046" s="139">
        <v>20000</v>
      </c>
      <c r="E6046" s="8"/>
      <c r="F6046" s="92">
        <f t="shared" si="103"/>
        <v>12777</v>
      </c>
    </row>
    <row r="6047" spans="1:6" x14ac:dyDescent="0.25">
      <c r="A6047" s="204">
        <v>43533</v>
      </c>
      <c r="B6047" s="26" t="s">
        <v>2597</v>
      </c>
      <c r="C6047" s="26" t="s">
        <v>5002</v>
      </c>
      <c r="D6047" s="8">
        <v>11500</v>
      </c>
      <c r="E6047" s="8"/>
      <c r="F6047" s="92">
        <f t="shared" si="103"/>
        <v>1277</v>
      </c>
    </row>
    <row r="6048" spans="1:6" x14ac:dyDescent="0.25">
      <c r="A6048" s="204">
        <v>43535</v>
      </c>
      <c r="B6048" s="26" t="s">
        <v>3563</v>
      </c>
      <c r="C6048" s="26" t="s">
        <v>5004</v>
      </c>
      <c r="D6048" s="8">
        <v>630</v>
      </c>
      <c r="E6048" s="8"/>
      <c r="F6048" s="92">
        <f t="shared" si="103"/>
        <v>647</v>
      </c>
    </row>
    <row r="6049" spans="1:6" ht="30" x14ac:dyDescent="0.25">
      <c r="A6049" s="204">
        <v>43535</v>
      </c>
      <c r="B6049" s="26" t="s">
        <v>4116</v>
      </c>
      <c r="C6049" s="87" t="s">
        <v>5015</v>
      </c>
      <c r="D6049" s="8">
        <v>100</v>
      </c>
      <c r="E6049" s="8"/>
      <c r="F6049" s="92">
        <f t="shared" si="103"/>
        <v>547</v>
      </c>
    </row>
    <row r="6050" spans="1:6" x14ac:dyDescent="0.25">
      <c r="A6050" s="204">
        <v>43536</v>
      </c>
      <c r="B6050" s="460" t="s">
        <v>3448</v>
      </c>
      <c r="C6050" s="460"/>
      <c r="D6050" s="71"/>
      <c r="E6050" s="58">
        <v>50000</v>
      </c>
      <c r="F6050" s="92">
        <f t="shared" si="103"/>
        <v>50547</v>
      </c>
    </row>
    <row r="6051" spans="1:6" x14ac:dyDescent="0.25">
      <c r="A6051" s="204">
        <v>43536</v>
      </c>
      <c r="B6051" s="26" t="s">
        <v>2597</v>
      </c>
      <c r="C6051" s="26" t="s">
        <v>5002</v>
      </c>
      <c r="D6051" s="8">
        <v>20000</v>
      </c>
      <c r="E6051" s="8"/>
      <c r="F6051" s="92">
        <f t="shared" si="103"/>
        <v>30547</v>
      </c>
    </row>
    <row r="6052" spans="1:6" x14ac:dyDescent="0.25">
      <c r="A6052" s="204">
        <v>43536</v>
      </c>
      <c r="B6052" s="26" t="s">
        <v>0</v>
      </c>
      <c r="C6052" s="26" t="s">
        <v>4323</v>
      </c>
      <c r="D6052" s="8">
        <v>2000</v>
      </c>
      <c r="E6052" s="8"/>
      <c r="F6052" s="92">
        <f t="shared" si="103"/>
        <v>28547</v>
      </c>
    </row>
    <row r="6053" spans="1:6" x14ac:dyDescent="0.25">
      <c r="A6053" s="204">
        <v>43536</v>
      </c>
      <c r="B6053" s="26" t="s">
        <v>14</v>
      </c>
      <c r="C6053" s="26" t="s">
        <v>4323</v>
      </c>
      <c r="D6053" s="8">
        <v>15000</v>
      </c>
      <c r="E6053" s="8"/>
      <c r="F6053" s="92">
        <f t="shared" si="103"/>
        <v>13547</v>
      </c>
    </row>
    <row r="6054" spans="1:6" x14ac:dyDescent="0.25">
      <c r="A6054" s="204">
        <v>43536</v>
      </c>
      <c r="B6054" s="26" t="s">
        <v>1790</v>
      </c>
      <c r="C6054" s="26" t="s">
        <v>5005</v>
      </c>
      <c r="D6054" s="8">
        <v>1000</v>
      </c>
      <c r="E6054" s="8"/>
      <c r="F6054" s="92">
        <f t="shared" si="103"/>
        <v>12547</v>
      </c>
    </row>
    <row r="6055" spans="1:6" x14ac:dyDescent="0.25">
      <c r="A6055" s="204">
        <v>43536</v>
      </c>
      <c r="B6055" s="26" t="s">
        <v>2951</v>
      </c>
      <c r="C6055" s="26" t="s">
        <v>5006</v>
      </c>
      <c r="D6055" s="8">
        <v>4400</v>
      </c>
      <c r="E6055" s="8"/>
      <c r="F6055" s="92">
        <f t="shared" si="103"/>
        <v>8147</v>
      </c>
    </row>
    <row r="6056" spans="1:6" x14ac:dyDescent="0.25">
      <c r="A6056" s="204">
        <v>43536</v>
      </c>
      <c r="B6056" s="26" t="s">
        <v>11</v>
      </c>
      <c r="C6056" s="26" t="s">
        <v>5007</v>
      </c>
      <c r="D6056" s="8">
        <v>2000</v>
      </c>
      <c r="E6056" s="8"/>
      <c r="F6056" s="92">
        <f t="shared" si="103"/>
        <v>6147</v>
      </c>
    </row>
    <row r="6057" spans="1:6" x14ac:dyDescent="0.25">
      <c r="A6057" s="204">
        <v>43536</v>
      </c>
      <c r="B6057" s="87" t="s">
        <v>4778</v>
      </c>
      <c r="C6057" s="26" t="s">
        <v>3615</v>
      </c>
      <c r="D6057" s="8">
        <v>5000</v>
      </c>
      <c r="E6057" s="8"/>
      <c r="F6057" s="92">
        <f t="shared" si="103"/>
        <v>1147</v>
      </c>
    </row>
    <row r="6058" spans="1:6" x14ac:dyDescent="0.25">
      <c r="A6058" s="204">
        <v>43538</v>
      </c>
      <c r="B6058" s="460" t="s">
        <v>3448</v>
      </c>
      <c r="C6058" s="460"/>
      <c r="D6058" s="71"/>
      <c r="E6058" s="58">
        <v>100000</v>
      </c>
      <c r="F6058" s="92">
        <f t="shared" ref="F6058:F6071" si="104">F6057-D6058+E6058</f>
        <v>101147</v>
      </c>
    </row>
    <row r="6059" spans="1:6" x14ac:dyDescent="0.25">
      <c r="A6059" s="204">
        <v>43538</v>
      </c>
      <c r="B6059" s="26" t="s">
        <v>85</v>
      </c>
      <c r="C6059" s="26" t="s">
        <v>5009</v>
      </c>
      <c r="D6059" s="8">
        <v>5000</v>
      </c>
      <c r="E6059" s="8"/>
      <c r="F6059" s="92">
        <f t="shared" si="104"/>
        <v>96147</v>
      </c>
    </row>
    <row r="6060" spans="1:6" x14ac:dyDescent="0.25">
      <c r="A6060" s="204">
        <v>43538</v>
      </c>
      <c r="B6060" s="26" t="s">
        <v>1840</v>
      </c>
      <c r="C6060" s="26" t="s">
        <v>5010</v>
      </c>
      <c r="D6060" s="8">
        <v>16000</v>
      </c>
      <c r="E6060" s="8"/>
      <c r="F6060" s="92">
        <f t="shared" si="104"/>
        <v>80147</v>
      </c>
    </row>
    <row r="6061" spans="1:6" x14ac:dyDescent="0.25">
      <c r="A6061" s="204">
        <v>43538</v>
      </c>
      <c r="B6061" s="26" t="s">
        <v>1840</v>
      </c>
      <c r="C6061" s="26" t="s">
        <v>5011</v>
      </c>
      <c r="D6061" s="8">
        <v>3000</v>
      </c>
      <c r="E6061" s="8"/>
      <c r="F6061" s="92">
        <f t="shared" si="104"/>
        <v>77147</v>
      </c>
    </row>
    <row r="6062" spans="1:6" x14ac:dyDescent="0.25">
      <c r="A6062" s="204">
        <v>43538</v>
      </c>
      <c r="B6062" s="26" t="s">
        <v>5022</v>
      </c>
      <c r="C6062" s="26" t="s">
        <v>5012</v>
      </c>
      <c r="D6062" s="8">
        <v>15000</v>
      </c>
      <c r="E6062" s="8"/>
      <c r="F6062" s="92">
        <f t="shared" si="104"/>
        <v>62147</v>
      </c>
    </row>
    <row r="6063" spans="1:6" x14ac:dyDescent="0.25">
      <c r="A6063" s="204">
        <v>43538</v>
      </c>
      <c r="B6063" s="26" t="s">
        <v>2099</v>
      </c>
      <c r="C6063" s="26" t="s">
        <v>5013</v>
      </c>
      <c r="D6063" s="8">
        <v>10000</v>
      </c>
      <c r="E6063" s="8"/>
      <c r="F6063" s="92">
        <f t="shared" si="104"/>
        <v>52147</v>
      </c>
    </row>
    <row r="6064" spans="1:6" ht="45" x14ac:dyDescent="0.25">
      <c r="A6064" s="204">
        <v>43538</v>
      </c>
      <c r="B6064" s="26" t="s">
        <v>26</v>
      </c>
      <c r="C6064" s="87" t="s">
        <v>5014</v>
      </c>
      <c r="D6064" s="8">
        <f>140+60+150+100+850+150+70+50+170+250+78+50+60+200+120+80+20+20</f>
        <v>2618</v>
      </c>
      <c r="E6064" s="8"/>
      <c r="F6064" s="92">
        <f t="shared" si="104"/>
        <v>49529</v>
      </c>
    </row>
    <row r="6065" spans="1:6" x14ac:dyDescent="0.25">
      <c r="A6065" s="204">
        <v>43538</v>
      </c>
      <c r="B6065" s="26" t="s">
        <v>58</v>
      </c>
      <c r="C6065" s="26" t="s">
        <v>4857</v>
      </c>
      <c r="D6065" s="8">
        <v>10000</v>
      </c>
      <c r="E6065" s="8"/>
      <c r="F6065" s="92">
        <f t="shared" si="104"/>
        <v>39529</v>
      </c>
    </row>
    <row r="6066" spans="1:6" x14ac:dyDescent="0.25">
      <c r="A6066" s="204">
        <v>43538</v>
      </c>
      <c r="B6066" s="26" t="s">
        <v>4116</v>
      </c>
      <c r="C6066" s="26" t="s">
        <v>2016</v>
      </c>
      <c r="D6066" s="8">
        <v>100</v>
      </c>
      <c r="E6066" s="8"/>
      <c r="F6066" s="92">
        <f t="shared" si="104"/>
        <v>39429</v>
      </c>
    </row>
    <row r="6067" spans="1:6" x14ac:dyDescent="0.25">
      <c r="A6067" s="204">
        <v>43538</v>
      </c>
      <c r="B6067" s="26" t="s">
        <v>248</v>
      </c>
      <c r="C6067" s="26" t="s">
        <v>5016</v>
      </c>
      <c r="D6067" s="8">
        <v>420</v>
      </c>
      <c r="E6067" s="8"/>
      <c r="F6067" s="92">
        <f t="shared" si="104"/>
        <v>39009</v>
      </c>
    </row>
    <row r="6068" spans="1:6" x14ac:dyDescent="0.25">
      <c r="A6068" s="204">
        <v>43538</v>
      </c>
      <c r="B6068" s="26" t="s">
        <v>542</v>
      </c>
      <c r="C6068" s="26" t="s">
        <v>41</v>
      </c>
      <c r="D6068" s="8">
        <v>25000</v>
      </c>
      <c r="E6068" s="8"/>
      <c r="F6068" s="92">
        <f t="shared" si="104"/>
        <v>14009</v>
      </c>
    </row>
    <row r="6069" spans="1:6" x14ac:dyDescent="0.25">
      <c r="A6069" s="204">
        <v>43539</v>
      </c>
      <c r="B6069" s="26" t="s">
        <v>3829</v>
      </c>
      <c r="C6069" s="26" t="s">
        <v>4323</v>
      </c>
      <c r="D6069" s="8">
        <v>1000</v>
      </c>
      <c r="E6069" s="8"/>
      <c r="F6069" s="92">
        <f t="shared" si="104"/>
        <v>13009</v>
      </c>
    </row>
    <row r="6070" spans="1:6" x14ac:dyDescent="0.25">
      <c r="A6070" s="204">
        <v>43539</v>
      </c>
      <c r="B6070" s="137" t="s">
        <v>2597</v>
      </c>
      <c r="C6070" s="137" t="s">
        <v>3146</v>
      </c>
      <c r="D6070" s="139">
        <v>9000</v>
      </c>
      <c r="E6070" s="8"/>
      <c r="F6070" s="92">
        <f t="shared" si="104"/>
        <v>4009</v>
      </c>
    </row>
    <row r="6071" spans="1:6" x14ac:dyDescent="0.25">
      <c r="A6071" s="204">
        <v>43539</v>
      </c>
      <c r="B6071" s="26" t="s">
        <v>1682</v>
      </c>
      <c r="C6071" s="26" t="s">
        <v>5019</v>
      </c>
      <c r="D6071" s="8">
        <v>1000</v>
      </c>
      <c r="E6071" s="8"/>
      <c r="F6071" s="92">
        <f t="shared" si="104"/>
        <v>3009</v>
      </c>
    </row>
    <row r="6072" spans="1:6" x14ac:dyDescent="0.25">
      <c r="A6072" s="204">
        <v>43539</v>
      </c>
      <c r="B6072" s="460" t="s">
        <v>3448</v>
      </c>
      <c r="C6072" s="460"/>
      <c r="D6072" s="71"/>
      <c r="E6072" s="58">
        <v>100000</v>
      </c>
      <c r="F6072" s="92">
        <f t="shared" ref="F6072:F6088" si="105">F6071-D6072+E6072</f>
        <v>103009</v>
      </c>
    </row>
    <row r="6073" spans="1:6" x14ac:dyDescent="0.25">
      <c r="A6073" s="204">
        <v>43539</v>
      </c>
      <c r="B6073" s="26" t="s">
        <v>58</v>
      </c>
      <c r="C6073" s="26" t="s">
        <v>4323</v>
      </c>
      <c r="D6073" s="8">
        <v>2000</v>
      </c>
      <c r="E6073" s="8"/>
      <c r="F6073" s="92">
        <f t="shared" si="105"/>
        <v>101009</v>
      </c>
    </row>
    <row r="6074" spans="1:6" x14ac:dyDescent="0.25">
      <c r="A6074" s="204">
        <v>43540</v>
      </c>
      <c r="B6074" s="26" t="s">
        <v>2099</v>
      </c>
      <c r="C6074" s="26" t="s">
        <v>5021</v>
      </c>
      <c r="D6074" s="8">
        <v>20000</v>
      </c>
      <c r="E6074" s="8"/>
      <c r="F6074" s="92">
        <f t="shared" si="105"/>
        <v>81009</v>
      </c>
    </row>
    <row r="6075" spans="1:6" x14ac:dyDescent="0.25">
      <c r="A6075" s="204">
        <v>43540</v>
      </c>
      <c r="B6075" s="26" t="s">
        <v>85</v>
      </c>
      <c r="C6075" s="26" t="s">
        <v>5020</v>
      </c>
      <c r="D6075" s="8">
        <v>10000</v>
      </c>
      <c r="E6075" s="8"/>
      <c r="F6075" s="92">
        <f t="shared" si="105"/>
        <v>71009</v>
      </c>
    </row>
    <row r="6076" spans="1:6" x14ac:dyDescent="0.25">
      <c r="A6076" s="204">
        <v>43540</v>
      </c>
      <c r="B6076" s="26" t="s">
        <v>4875</v>
      </c>
      <c r="C6076" s="26" t="s">
        <v>5024</v>
      </c>
      <c r="D6076" s="8">
        <v>10000</v>
      </c>
      <c r="E6076" s="8"/>
      <c r="F6076" s="92">
        <f t="shared" si="105"/>
        <v>61009</v>
      </c>
    </row>
    <row r="6077" spans="1:6" x14ac:dyDescent="0.25">
      <c r="A6077" s="204">
        <v>43540</v>
      </c>
      <c r="B6077" s="26" t="s">
        <v>3563</v>
      </c>
      <c r="C6077" s="26" t="s">
        <v>3446</v>
      </c>
      <c r="D6077" s="8">
        <v>490</v>
      </c>
      <c r="E6077" s="8"/>
      <c r="F6077" s="92">
        <f t="shared" si="105"/>
        <v>60519</v>
      </c>
    </row>
    <row r="6078" spans="1:6" x14ac:dyDescent="0.25">
      <c r="A6078" s="204">
        <v>43540</v>
      </c>
      <c r="B6078" s="26" t="s">
        <v>26</v>
      </c>
      <c r="C6078" s="26" t="s">
        <v>5025</v>
      </c>
      <c r="D6078" s="8">
        <v>1200</v>
      </c>
      <c r="E6078" s="8"/>
      <c r="F6078" s="92">
        <f t="shared" si="105"/>
        <v>59319</v>
      </c>
    </row>
    <row r="6079" spans="1:6" x14ac:dyDescent="0.25">
      <c r="A6079" s="204">
        <v>43540</v>
      </c>
      <c r="B6079" s="26" t="s">
        <v>0</v>
      </c>
      <c r="C6079" s="26" t="s">
        <v>5026</v>
      </c>
      <c r="D6079" s="8">
        <v>15000</v>
      </c>
      <c r="E6079" s="8"/>
      <c r="F6079" s="92">
        <f t="shared" si="105"/>
        <v>44319</v>
      </c>
    </row>
    <row r="6080" spans="1:6" x14ac:dyDescent="0.25">
      <c r="A6080" s="204">
        <v>43542</v>
      </c>
      <c r="B6080" s="26" t="s">
        <v>1619</v>
      </c>
      <c r="C6080" s="26" t="s">
        <v>1011</v>
      </c>
      <c r="D6080" s="8">
        <v>1500</v>
      </c>
      <c r="E6080" s="8"/>
      <c r="F6080" s="92">
        <f t="shared" si="105"/>
        <v>42819</v>
      </c>
    </row>
    <row r="6081" spans="1:6" x14ac:dyDescent="0.25">
      <c r="A6081" s="204">
        <v>43542</v>
      </c>
      <c r="B6081" s="26" t="s">
        <v>1790</v>
      </c>
      <c r="C6081" s="26" t="s">
        <v>4601</v>
      </c>
      <c r="D6081" s="8">
        <v>1000</v>
      </c>
      <c r="E6081" s="8"/>
      <c r="F6081" s="92">
        <f t="shared" si="105"/>
        <v>41819</v>
      </c>
    </row>
    <row r="6082" spans="1:6" x14ac:dyDescent="0.25">
      <c r="A6082" s="204">
        <v>43542</v>
      </c>
      <c r="B6082" s="137" t="s">
        <v>2597</v>
      </c>
      <c r="C6082" s="137" t="s">
        <v>3146</v>
      </c>
      <c r="D6082" s="139">
        <v>19000</v>
      </c>
      <c r="E6082" s="8"/>
      <c r="F6082" s="92">
        <f t="shared" si="105"/>
        <v>22819</v>
      </c>
    </row>
    <row r="6083" spans="1:6" x14ac:dyDescent="0.25">
      <c r="A6083" s="204">
        <v>43542</v>
      </c>
      <c r="B6083" s="26" t="s">
        <v>5027</v>
      </c>
      <c r="C6083" s="26" t="s">
        <v>5028</v>
      </c>
      <c r="D6083" s="8">
        <v>4170</v>
      </c>
      <c r="E6083" s="8"/>
      <c r="F6083" s="92">
        <f t="shared" si="105"/>
        <v>18649</v>
      </c>
    </row>
    <row r="6084" spans="1:6" x14ac:dyDescent="0.25">
      <c r="A6084" s="204">
        <v>43542</v>
      </c>
      <c r="B6084" s="26" t="s">
        <v>29</v>
      </c>
      <c r="C6084" s="26" t="s">
        <v>5029</v>
      </c>
      <c r="D6084" s="8">
        <v>6000</v>
      </c>
      <c r="E6084" s="8"/>
      <c r="F6084" s="92">
        <f t="shared" si="105"/>
        <v>12649</v>
      </c>
    </row>
    <row r="6085" spans="1:6" x14ac:dyDescent="0.25">
      <c r="A6085" s="204">
        <v>43542</v>
      </c>
      <c r="B6085" s="26" t="s">
        <v>85</v>
      </c>
      <c r="C6085" s="26" t="s">
        <v>5032</v>
      </c>
      <c r="D6085" s="8">
        <v>5000</v>
      </c>
      <c r="E6085" s="8"/>
      <c r="F6085" s="92">
        <f t="shared" si="105"/>
        <v>7649</v>
      </c>
    </row>
    <row r="6086" spans="1:6" x14ac:dyDescent="0.25">
      <c r="A6086" s="204">
        <v>43543</v>
      </c>
      <c r="B6086" s="26" t="s">
        <v>3563</v>
      </c>
      <c r="C6086" s="26" t="s">
        <v>5030</v>
      </c>
      <c r="D6086" s="8">
        <v>580</v>
      </c>
      <c r="E6086" s="8"/>
      <c r="F6086" s="92">
        <f t="shared" si="105"/>
        <v>7069</v>
      </c>
    </row>
    <row r="6087" spans="1:6" x14ac:dyDescent="0.25">
      <c r="A6087" s="204">
        <v>43543</v>
      </c>
      <c r="B6087" s="137" t="s">
        <v>2597</v>
      </c>
      <c r="C6087" s="137" t="s">
        <v>3561</v>
      </c>
      <c r="D6087" s="139">
        <v>6000</v>
      </c>
      <c r="E6087" s="8"/>
      <c r="F6087" s="92">
        <f t="shared" si="105"/>
        <v>1069</v>
      </c>
    </row>
    <row r="6088" spans="1:6" x14ac:dyDescent="0.25">
      <c r="A6088" s="204">
        <v>43543</v>
      </c>
      <c r="B6088" s="26" t="s">
        <v>1619</v>
      </c>
      <c r="C6088" s="26" t="s">
        <v>2438</v>
      </c>
      <c r="D6088" s="8">
        <v>520</v>
      </c>
      <c r="E6088" s="8"/>
      <c r="F6088" s="92">
        <f t="shared" si="105"/>
        <v>549</v>
      </c>
    </row>
    <row r="6089" spans="1:6" x14ac:dyDescent="0.25">
      <c r="A6089" s="204">
        <v>43543</v>
      </c>
      <c r="B6089" s="460" t="s">
        <v>5062</v>
      </c>
      <c r="C6089" s="460"/>
      <c r="D6089" s="71"/>
      <c r="E6089" s="58">
        <v>300000</v>
      </c>
      <c r="F6089" s="92">
        <f t="shared" ref="F6089:F6159" si="106">F6088-D6089+E6089</f>
        <v>300549</v>
      </c>
    </row>
    <row r="6090" spans="1:6" x14ac:dyDescent="0.25">
      <c r="A6090" s="204">
        <v>43544</v>
      </c>
      <c r="B6090" s="26" t="s">
        <v>14</v>
      </c>
      <c r="C6090" s="26" t="s">
        <v>3336</v>
      </c>
      <c r="D6090" s="8">
        <v>5000</v>
      </c>
      <c r="E6090" s="8"/>
      <c r="F6090" s="92">
        <f t="shared" si="106"/>
        <v>295549</v>
      </c>
    </row>
    <row r="6091" spans="1:6" x14ac:dyDescent="0.25">
      <c r="A6091" s="204">
        <v>43544</v>
      </c>
      <c r="B6091" s="26" t="s">
        <v>57</v>
      </c>
      <c r="C6091" s="26" t="s">
        <v>5256</v>
      </c>
      <c r="D6091" s="8">
        <v>1000</v>
      </c>
      <c r="E6091" s="8"/>
      <c r="F6091" s="92">
        <f t="shared" si="106"/>
        <v>294549</v>
      </c>
    </row>
    <row r="6092" spans="1:6" x14ac:dyDescent="0.25">
      <c r="A6092" s="204">
        <v>43544</v>
      </c>
      <c r="B6092" s="26" t="s">
        <v>4871</v>
      </c>
      <c r="C6092" s="26" t="s">
        <v>5031</v>
      </c>
      <c r="D6092" s="8">
        <v>30000</v>
      </c>
      <c r="E6092" s="8"/>
      <c r="F6092" s="92">
        <f t="shared" si="106"/>
        <v>264549</v>
      </c>
    </row>
    <row r="6093" spans="1:6" x14ac:dyDescent="0.25">
      <c r="A6093" s="204">
        <v>43544</v>
      </c>
      <c r="B6093" s="26" t="s">
        <v>2099</v>
      </c>
      <c r="C6093" s="26" t="s">
        <v>4953</v>
      </c>
      <c r="D6093" s="8">
        <v>50000</v>
      </c>
      <c r="E6093" s="8"/>
      <c r="F6093" s="92">
        <f t="shared" si="106"/>
        <v>214549</v>
      </c>
    </row>
    <row r="6094" spans="1:6" x14ac:dyDescent="0.25">
      <c r="A6094" s="204">
        <v>43545</v>
      </c>
      <c r="B6094" s="26" t="s">
        <v>3829</v>
      </c>
      <c r="C6094" s="26" t="s">
        <v>5033</v>
      </c>
      <c r="D6094" s="8">
        <v>3000</v>
      </c>
      <c r="E6094" s="8"/>
      <c r="F6094" s="92">
        <f t="shared" si="106"/>
        <v>211549</v>
      </c>
    </row>
    <row r="6095" spans="1:6" x14ac:dyDescent="0.25">
      <c r="A6095" s="204">
        <v>43545</v>
      </c>
      <c r="B6095" s="46" t="s">
        <v>1840</v>
      </c>
      <c r="C6095" s="46" t="s">
        <v>4847</v>
      </c>
      <c r="D6095" s="140">
        <v>10000</v>
      </c>
      <c r="E6095" s="8"/>
      <c r="F6095" s="92">
        <f t="shared" si="106"/>
        <v>201549</v>
      </c>
    </row>
    <row r="6096" spans="1:6" x14ac:dyDescent="0.25">
      <c r="A6096" s="204">
        <v>43545</v>
      </c>
      <c r="B6096" s="26" t="s">
        <v>85</v>
      </c>
      <c r="C6096" s="26" t="s">
        <v>5034</v>
      </c>
      <c r="D6096" s="8">
        <v>2000</v>
      </c>
      <c r="E6096" s="8"/>
      <c r="F6096" s="92">
        <f t="shared" si="106"/>
        <v>199549</v>
      </c>
    </row>
    <row r="6097" spans="1:6" x14ac:dyDescent="0.25">
      <c r="A6097" s="204">
        <v>43545</v>
      </c>
      <c r="B6097" s="26" t="s">
        <v>1413</v>
      </c>
      <c r="C6097" s="26" t="s">
        <v>5035</v>
      </c>
      <c r="D6097" s="8">
        <v>6600</v>
      </c>
      <c r="E6097" s="8"/>
      <c r="F6097" s="92">
        <f t="shared" si="106"/>
        <v>192949</v>
      </c>
    </row>
    <row r="6098" spans="1:6" x14ac:dyDescent="0.25">
      <c r="A6098" s="204">
        <v>43545</v>
      </c>
      <c r="B6098" s="26" t="s">
        <v>111</v>
      </c>
      <c r="C6098" s="26" t="s">
        <v>5036</v>
      </c>
      <c r="D6098" s="8">
        <v>34380</v>
      </c>
      <c r="E6098" s="8"/>
      <c r="F6098" s="92">
        <f t="shared" si="106"/>
        <v>158569</v>
      </c>
    </row>
    <row r="6099" spans="1:6" x14ac:dyDescent="0.25">
      <c r="A6099" s="204">
        <v>43545</v>
      </c>
      <c r="B6099" s="26" t="s">
        <v>5119</v>
      </c>
      <c r="C6099" s="26" t="s">
        <v>5037</v>
      </c>
      <c r="D6099" s="8">
        <v>1440</v>
      </c>
      <c r="E6099" s="8"/>
      <c r="F6099" s="92">
        <f t="shared" si="106"/>
        <v>157129</v>
      </c>
    </row>
    <row r="6100" spans="1:6" x14ac:dyDescent="0.25">
      <c r="A6100" s="204">
        <v>43545</v>
      </c>
      <c r="B6100" s="26" t="s">
        <v>85</v>
      </c>
      <c r="C6100" s="26" t="s">
        <v>5116</v>
      </c>
      <c r="D6100" s="8">
        <v>15000</v>
      </c>
      <c r="E6100" s="8"/>
      <c r="F6100" s="92">
        <f t="shared" si="106"/>
        <v>142129</v>
      </c>
    </row>
    <row r="6101" spans="1:6" x14ac:dyDescent="0.25">
      <c r="A6101" s="204">
        <v>43545</v>
      </c>
      <c r="B6101" s="26" t="s">
        <v>3550</v>
      </c>
      <c r="C6101" s="26" t="s">
        <v>41</v>
      </c>
      <c r="D6101" s="8">
        <v>25000</v>
      </c>
      <c r="E6101" s="8"/>
      <c r="F6101" s="92">
        <f t="shared" si="106"/>
        <v>117129</v>
      </c>
    </row>
    <row r="6102" spans="1:6" x14ac:dyDescent="0.25">
      <c r="A6102" s="204">
        <v>43545</v>
      </c>
      <c r="B6102" s="26" t="s">
        <v>85</v>
      </c>
      <c r="C6102" s="26" t="s">
        <v>5120</v>
      </c>
      <c r="D6102" s="8">
        <v>1000</v>
      </c>
      <c r="E6102" s="8"/>
      <c r="F6102" s="92">
        <f t="shared" si="106"/>
        <v>116129</v>
      </c>
    </row>
    <row r="6103" spans="1:6" x14ac:dyDescent="0.25">
      <c r="A6103" s="204">
        <v>43545</v>
      </c>
      <c r="B6103" s="26" t="s">
        <v>14</v>
      </c>
      <c r="C6103" s="26" t="s">
        <v>295</v>
      </c>
      <c r="D6103" s="8">
        <v>13000</v>
      </c>
      <c r="E6103" s="8"/>
      <c r="F6103" s="92">
        <f t="shared" si="106"/>
        <v>103129</v>
      </c>
    </row>
    <row r="6104" spans="1:6" x14ac:dyDescent="0.25">
      <c r="A6104" s="204">
        <v>43546</v>
      </c>
      <c r="B6104" s="26" t="s">
        <v>58</v>
      </c>
      <c r="C6104" s="26" t="s">
        <v>5038</v>
      </c>
      <c r="D6104" s="8">
        <v>5000</v>
      </c>
      <c r="E6104" s="8"/>
      <c r="F6104" s="92">
        <f t="shared" si="106"/>
        <v>98129</v>
      </c>
    </row>
    <row r="6105" spans="1:6" x14ac:dyDescent="0.25">
      <c r="A6105" s="204">
        <v>43546</v>
      </c>
      <c r="B6105" s="26" t="s">
        <v>4116</v>
      </c>
      <c r="C6105" s="26" t="s">
        <v>5039</v>
      </c>
      <c r="D6105" s="8">
        <v>200</v>
      </c>
      <c r="E6105" s="8"/>
      <c r="F6105" s="92">
        <f t="shared" si="106"/>
        <v>97929</v>
      </c>
    </row>
    <row r="6106" spans="1:6" x14ac:dyDescent="0.25">
      <c r="A6106" s="204">
        <v>43546</v>
      </c>
      <c r="B6106" s="26" t="s">
        <v>85</v>
      </c>
      <c r="C6106" s="26" t="s">
        <v>5040</v>
      </c>
      <c r="D6106" s="8">
        <v>5000</v>
      </c>
      <c r="E6106" s="8"/>
      <c r="F6106" s="92">
        <f t="shared" si="106"/>
        <v>92929</v>
      </c>
    </row>
    <row r="6107" spans="1:6" x14ac:dyDescent="0.25">
      <c r="A6107" s="204">
        <v>43546</v>
      </c>
      <c r="B6107" s="26" t="s">
        <v>2099</v>
      </c>
      <c r="C6107" s="26" t="s">
        <v>5041</v>
      </c>
      <c r="D6107" s="8">
        <v>29143</v>
      </c>
      <c r="E6107" s="8"/>
      <c r="F6107" s="92">
        <f t="shared" si="106"/>
        <v>63786</v>
      </c>
    </row>
    <row r="6108" spans="1:6" x14ac:dyDescent="0.25">
      <c r="A6108" s="204">
        <v>43546</v>
      </c>
      <c r="B6108" s="26" t="s">
        <v>2099</v>
      </c>
      <c r="C6108" s="26" t="s">
        <v>5054</v>
      </c>
      <c r="D6108" s="8">
        <v>20000</v>
      </c>
      <c r="E6108" s="8"/>
      <c r="F6108" s="92">
        <f t="shared" si="106"/>
        <v>43786</v>
      </c>
    </row>
    <row r="6109" spans="1:6" x14ac:dyDescent="0.25">
      <c r="A6109" s="204">
        <v>43546</v>
      </c>
      <c r="B6109" s="26" t="s">
        <v>14</v>
      </c>
      <c r="C6109" s="26" t="s">
        <v>295</v>
      </c>
      <c r="D6109" s="8">
        <v>30000</v>
      </c>
      <c r="E6109" s="8"/>
      <c r="F6109" s="92">
        <f t="shared" si="106"/>
        <v>13786</v>
      </c>
    </row>
    <row r="6110" spans="1:6" x14ac:dyDescent="0.25">
      <c r="A6110" s="204">
        <v>43546</v>
      </c>
      <c r="B6110" s="26" t="s">
        <v>58</v>
      </c>
      <c r="C6110" s="26" t="s">
        <v>5121</v>
      </c>
      <c r="D6110" s="8">
        <v>5000</v>
      </c>
      <c r="E6110" s="8"/>
      <c r="F6110" s="92">
        <f t="shared" si="106"/>
        <v>8786</v>
      </c>
    </row>
    <row r="6111" spans="1:6" x14ac:dyDescent="0.25">
      <c r="A6111" s="204">
        <v>43549</v>
      </c>
      <c r="B6111" s="26" t="s">
        <v>2951</v>
      </c>
      <c r="C6111" s="26" t="s">
        <v>5042</v>
      </c>
      <c r="D6111" s="8">
        <v>100</v>
      </c>
      <c r="E6111" s="8"/>
      <c r="F6111" s="92">
        <f t="shared" si="106"/>
        <v>8686</v>
      </c>
    </row>
    <row r="6112" spans="1:6" x14ac:dyDescent="0.25">
      <c r="A6112" s="204">
        <v>43549</v>
      </c>
      <c r="B6112" s="460" t="s">
        <v>4369</v>
      </c>
      <c r="C6112" s="460"/>
      <c r="D6112" s="71"/>
      <c r="E6112" s="58">
        <v>200000</v>
      </c>
      <c r="F6112" s="92">
        <f t="shared" si="106"/>
        <v>208686</v>
      </c>
    </row>
    <row r="6113" spans="1:6" x14ac:dyDescent="0.25">
      <c r="A6113" s="204">
        <v>43549</v>
      </c>
      <c r="B6113" s="26" t="s">
        <v>4871</v>
      </c>
      <c r="C6113" s="26" t="s">
        <v>5048</v>
      </c>
      <c r="D6113" s="8">
        <v>40000</v>
      </c>
      <c r="E6113" s="8"/>
      <c r="F6113" s="92">
        <f t="shared" si="106"/>
        <v>168686</v>
      </c>
    </row>
    <row r="6114" spans="1:6" x14ac:dyDescent="0.25">
      <c r="A6114" s="204">
        <v>43549</v>
      </c>
      <c r="B6114" s="26" t="s">
        <v>85</v>
      </c>
      <c r="C6114" s="26" t="s">
        <v>5043</v>
      </c>
      <c r="D6114" s="8">
        <v>15500</v>
      </c>
      <c r="E6114" s="8"/>
      <c r="F6114" s="92">
        <f t="shared" si="106"/>
        <v>153186</v>
      </c>
    </row>
    <row r="6115" spans="1:6" x14ac:dyDescent="0.25">
      <c r="A6115" s="204">
        <v>43549</v>
      </c>
      <c r="B6115" s="26" t="s">
        <v>3141</v>
      </c>
      <c r="C6115" s="26" t="s">
        <v>41</v>
      </c>
      <c r="D6115" s="8">
        <f>11454+4120</f>
        <v>15574</v>
      </c>
      <c r="E6115" s="8"/>
      <c r="F6115" s="92">
        <f t="shared" si="106"/>
        <v>137612</v>
      </c>
    </row>
    <row r="6116" spans="1:6" x14ac:dyDescent="0.25">
      <c r="A6116" s="204">
        <v>43549</v>
      </c>
      <c r="B6116" s="26" t="s">
        <v>85</v>
      </c>
      <c r="C6116" s="26" t="s">
        <v>5049</v>
      </c>
      <c r="D6116" s="8">
        <v>10000</v>
      </c>
      <c r="E6116" s="8"/>
      <c r="F6116" s="92">
        <f t="shared" si="106"/>
        <v>127612</v>
      </c>
    </row>
    <row r="6117" spans="1:6" x14ac:dyDescent="0.25">
      <c r="A6117" s="204">
        <v>43549</v>
      </c>
      <c r="B6117" s="26" t="s">
        <v>85</v>
      </c>
      <c r="C6117" s="26" t="s">
        <v>5050</v>
      </c>
      <c r="D6117" s="8">
        <v>7000</v>
      </c>
      <c r="E6117" s="8"/>
      <c r="F6117" s="92">
        <f t="shared" si="106"/>
        <v>120612</v>
      </c>
    </row>
    <row r="6118" spans="1:6" x14ac:dyDescent="0.25">
      <c r="A6118" s="204">
        <v>43550</v>
      </c>
      <c r="B6118" s="26" t="s">
        <v>0</v>
      </c>
      <c r="C6118" s="26" t="s">
        <v>295</v>
      </c>
      <c r="D6118" s="8">
        <v>3000</v>
      </c>
      <c r="E6118" s="8"/>
      <c r="F6118" s="92">
        <f t="shared" si="106"/>
        <v>117612</v>
      </c>
    </row>
    <row r="6119" spans="1:6" x14ac:dyDescent="0.25">
      <c r="A6119" s="204">
        <v>43550</v>
      </c>
      <c r="B6119" s="26" t="s">
        <v>4116</v>
      </c>
      <c r="C6119" s="26" t="s">
        <v>5051</v>
      </c>
      <c r="D6119" s="8">
        <v>100</v>
      </c>
      <c r="E6119" s="8"/>
      <c r="F6119" s="92">
        <f t="shared" si="106"/>
        <v>117512</v>
      </c>
    </row>
    <row r="6120" spans="1:6" x14ac:dyDescent="0.25">
      <c r="A6120" s="204">
        <v>43550</v>
      </c>
      <c r="B6120" s="26" t="s">
        <v>3563</v>
      </c>
      <c r="C6120" s="26" t="s">
        <v>5052</v>
      </c>
      <c r="D6120" s="8">
        <v>10800</v>
      </c>
      <c r="E6120" s="8"/>
      <c r="F6120" s="92">
        <f t="shared" si="106"/>
        <v>106712</v>
      </c>
    </row>
    <row r="6121" spans="1:6" x14ac:dyDescent="0.25">
      <c r="A6121" s="204">
        <v>43551</v>
      </c>
      <c r="B6121" s="26" t="s">
        <v>14</v>
      </c>
      <c r="C6121" s="26" t="s">
        <v>41</v>
      </c>
      <c r="D6121" s="8">
        <v>500</v>
      </c>
      <c r="E6121" s="8"/>
      <c r="F6121" s="92">
        <f t="shared" si="106"/>
        <v>106212</v>
      </c>
    </row>
    <row r="6122" spans="1:6" x14ac:dyDescent="0.25">
      <c r="A6122" s="204">
        <v>43551</v>
      </c>
      <c r="B6122" s="26" t="s">
        <v>58</v>
      </c>
      <c r="C6122" s="26" t="s">
        <v>5122</v>
      </c>
      <c r="D6122" s="8">
        <v>5125</v>
      </c>
      <c r="E6122" s="8"/>
      <c r="F6122" s="92">
        <f t="shared" si="106"/>
        <v>101087</v>
      </c>
    </row>
    <row r="6123" spans="1:6" x14ac:dyDescent="0.25">
      <c r="A6123" s="204">
        <v>43551</v>
      </c>
      <c r="B6123" s="460" t="s">
        <v>5064</v>
      </c>
      <c r="C6123" s="460"/>
      <c r="D6123" s="71"/>
      <c r="E6123" s="58">
        <v>100000</v>
      </c>
      <c r="F6123" s="92">
        <f t="shared" si="106"/>
        <v>201087</v>
      </c>
    </row>
    <row r="6124" spans="1:6" x14ac:dyDescent="0.25">
      <c r="A6124" s="204">
        <v>43551</v>
      </c>
      <c r="B6124" s="26" t="s">
        <v>2099</v>
      </c>
      <c r="C6124" s="26" t="s">
        <v>5053</v>
      </c>
      <c r="D6124" s="8">
        <v>20000</v>
      </c>
      <c r="E6124" s="8"/>
      <c r="F6124" s="92">
        <f t="shared" si="106"/>
        <v>181087</v>
      </c>
    </row>
    <row r="6125" spans="1:6" x14ac:dyDescent="0.25">
      <c r="A6125" s="204">
        <v>43551</v>
      </c>
      <c r="B6125" s="26" t="s">
        <v>0</v>
      </c>
      <c r="C6125" s="26" t="s">
        <v>5055</v>
      </c>
      <c r="D6125" s="8">
        <v>5000</v>
      </c>
      <c r="E6125" s="8"/>
      <c r="F6125" s="92">
        <f t="shared" si="106"/>
        <v>176087</v>
      </c>
    </row>
    <row r="6126" spans="1:6" x14ac:dyDescent="0.25">
      <c r="A6126" s="204">
        <v>43551</v>
      </c>
      <c r="B6126" s="26" t="s">
        <v>58</v>
      </c>
      <c r="C6126" s="26" t="s">
        <v>5056</v>
      </c>
      <c r="D6126" s="8">
        <v>1250</v>
      </c>
      <c r="E6126" s="8"/>
      <c r="F6126" s="92">
        <f t="shared" si="106"/>
        <v>174837</v>
      </c>
    </row>
    <row r="6127" spans="1:6" x14ac:dyDescent="0.25">
      <c r="A6127" s="204">
        <v>43551</v>
      </c>
      <c r="B6127" s="26" t="s">
        <v>248</v>
      </c>
      <c r="C6127" s="26" t="s">
        <v>5082</v>
      </c>
      <c r="D6127" s="8">
        <v>900</v>
      </c>
      <c r="E6127" s="8"/>
      <c r="F6127" s="92">
        <f t="shared" si="106"/>
        <v>173937</v>
      </c>
    </row>
    <row r="6128" spans="1:6" x14ac:dyDescent="0.25">
      <c r="A6128" s="204">
        <v>43551</v>
      </c>
      <c r="B6128" s="26" t="s">
        <v>85</v>
      </c>
      <c r="C6128" s="26" t="s">
        <v>5057</v>
      </c>
      <c r="D6128" s="8">
        <v>500</v>
      </c>
      <c r="E6128" s="8"/>
      <c r="F6128" s="92">
        <f t="shared" si="106"/>
        <v>173437</v>
      </c>
    </row>
    <row r="6129" spans="1:7" x14ac:dyDescent="0.25">
      <c r="A6129" s="204">
        <v>43551</v>
      </c>
      <c r="B6129" s="26" t="s">
        <v>2349</v>
      </c>
      <c r="C6129" s="26" t="s">
        <v>5058</v>
      </c>
      <c r="D6129" s="8">
        <v>1200</v>
      </c>
      <c r="E6129" s="8"/>
      <c r="F6129" s="92">
        <f t="shared" si="106"/>
        <v>172237</v>
      </c>
    </row>
    <row r="6130" spans="1:7" x14ac:dyDescent="0.25">
      <c r="A6130" s="204">
        <v>43552</v>
      </c>
      <c r="B6130" s="26" t="s">
        <v>14</v>
      </c>
      <c r="C6130" s="26" t="s">
        <v>295</v>
      </c>
      <c r="D6130" s="8">
        <v>25000</v>
      </c>
      <c r="E6130" s="8"/>
      <c r="F6130" s="92">
        <f t="shared" si="106"/>
        <v>147237</v>
      </c>
    </row>
    <row r="6131" spans="1:7" x14ac:dyDescent="0.25">
      <c r="A6131" s="204">
        <v>43552</v>
      </c>
      <c r="B6131" s="26" t="s">
        <v>26</v>
      </c>
      <c r="C6131" s="26" t="s">
        <v>5059</v>
      </c>
      <c r="D6131" s="8">
        <f>350+140+170+220+110+60+750+140+70+90+50+210+25+120+70+65+70+50+10+190+60+110</f>
        <v>3130</v>
      </c>
      <c r="E6131" s="8"/>
      <c r="F6131" s="92">
        <f t="shared" si="106"/>
        <v>144107</v>
      </c>
    </row>
    <row r="6132" spans="1:7" x14ac:dyDescent="0.25">
      <c r="A6132" s="204">
        <v>43553</v>
      </c>
      <c r="B6132" s="26" t="s">
        <v>26</v>
      </c>
      <c r="C6132" s="26" t="s">
        <v>5061</v>
      </c>
      <c r="D6132" s="8">
        <v>2500</v>
      </c>
      <c r="E6132" s="8"/>
      <c r="F6132" s="92">
        <f t="shared" si="106"/>
        <v>141607</v>
      </c>
    </row>
    <row r="6133" spans="1:7" x14ac:dyDescent="0.25">
      <c r="A6133" s="204">
        <v>43554</v>
      </c>
      <c r="B6133" s="26" t="s">
        <v>29</v>
      </c>
      <c r="C6133" s="26" t="s">
        <v>5068</v>
      </c>
      <c r="D6133" s="8">
        <v>1000</v>
      </c>
      <c r="E6133" s="8"/>
      <c r="F6133" s="92">
        <f t="shared" si="106"/>
        <v>140607</v>
      </c>
    </row>
    <row r="6134" spans="1:7" x14ac:dyDescent="0.25">
      <c r="A6134" s="204">
        <v>43554</v>
      </c>
      <c r="B6134" s="26" t="s">
        <v>3738</v>
      </c>
      <c r="C6134" s="26" t="s">
        <v>5069</v>
      </c>
      <c r="D6134" s="8">
        <v>1500</v>
      </c>
      <c r="E6134" s="8"/>
      <c r="F6134" s="92">
        <f t="shared" si="106"/>
        <v>139107</v>
      </c>
    </row>
    <row r="6135" spans="1:7" x14ac:dyDescent="0.25">
      <c r="A6135" s="204">
        <v>43554</v>
      </c>
      <c r="B6135" s="26" t="s">
        <v>58</v>
      </c>
      <c r="C6135" s="26" t="s">
        <v>5070</v>
      </c>
      <c r="D6135" s="8">
        <v>26000</v>
      </c>
      <c r="E6135" s="8"/>
      <c r="F6135" s="92">
        <f t="shared" si="106"/>
        <v>113107</v>
      </c>
    </row>
    <row r="6136" spans="1:7" x14ac:dyDescent="0.25">
      <c r="A6136" s="204">
        <v>43554</v>
      </c>
      <c r="B6136" s="26" t="s">
        <v>85</v>
      </c>
      <c r="C6136" s="26" t="s">
        <v>5071</v>
      </c>
      <c r="D6136" s="8">
        <v>3000</v>
      </c>
      <c r="E6136" s="8"/>
      <c r="F6136" s="92">
        <f t="shared" si="106"/>
        <v>110107</v>
      </c>
    </row>
    <row r="6137" spans="1:7" x14ac:dyDescent="0.25">
      <c r="A6137" s="204">
        <v>43554</v>
      </c>
      <c r="B6137" s="26" t="s">
        <v>2099</v>
      </c>
      <c r="C6137" s="26" t="s">
        <v>5072</v>
      </c>
      <c r="D6137" s="8">
        <v>50000</v>
      </c>
      <c r="E6137" s="8"/>
      <c r="F6137" s="92">
        <f t="shared" si="106"/>
        <v>60107</v>
      </c>
    </row>
    <row r="6138" spans="1:7" x14ac:dyDescent="0.25">
      <c r="A6138" s="204">
        <v>43554</v>
      </c>
      <c r="B6138" s="26" t="s">
        <v>248</v>
      </c>
      <c r="C6138" s="26" t="s">
        <v>5073</v>
      </c>
      <c r="D6138" s="8">
        <v>1080</v>
      </c>
      <c r="E6138" s="8"/>
      <c r="F6138" s="92">
        <f t="shared" si="106"/>
        <v>59027</v>
      </c>
    </row>
    <row r="6139" spans="1:7" x14ac:dyDescent="0.25">
      <c r="A6139" s="204">
        <v>43556</v>
      </c>
      <c r="B6139" s="26" t="s">
        <v>2573</v>
      </c>
      <c r="C6139" s="26" t="s">
        <v>4829</v>
      </c>
      <c r="D6139" s="8">
        <v>230</v>
      </c>
      <c r="E6139" s="8"/>
      <c r="F6139" s="92">
        <f t="shared" si="106"/>
        <v>58797</v>
      </c>
    </row>
    <row r="6140" spans="1:7" x14ac:dyDescent="0.25">
      <c r="A6140" s="241">
        <v>43556</v>
      </c>
      <c r="B6140" s="33" t="s">
        <v>14</v>
      </c>
      <c r="C6140" s="33" t="s">
        <v>295</v>
      </c>
      <c r="D6140" s="27">
        <v>15000</v>
      </c>
      <c r="E6140" s="27"/>
      <c r="F6140" s="92">
        <f t="shared" si="106"/>
        <v>43797</v>
      </c>
    </row>
    <row r="6141" spans="1:7" x14ac:dyDescent="0.25">
      <c r="A6141" s="204">
        <v>43556</v>
      </c>
      <c r="B6141" s="26" t="s">
        <v>14</v>
      </c>
      <c r="C6141" s="26" t="s">
        <v>5074</v>
      </c>
      <c r="D6141" s="8">
        <v>1000</v>
      </c>
      <c r="E6141" s="8"/>
      <c r="F6141" s="92">
        <f t="shared" si="106"/>
        <v>42797</v>
      </c>
      <c r="G6141" s="26"/>
    </row>
    <row r="6142" spans="1:7" x14ac:dyDescent="0.25">
      <c r="A6142" s="204">
        <v>43557</v>
      </c>
      <c r="B6142" s="26" t="s">
        <v>5079</v>
      </c>
      <c r="C6142" s="26" t="s">
        <v>5078</v>
      </c>
      <c r="D6142" s="8">
        <v>140</v>
      </c>
      <c r="E6142" s="8"/>
      <c r="F6142" s="92">
        <f t="shared" si="106"/>
        <v>42657</v>
      </c>
      <c r="G6142" s="26"/>
    </row>
    <row r="6143" spans="1:7" x14ac:dyDescent="0.25">
      <c r="A6143" s="204">
        <v>43557</v>
      </c>
      <c r="B6143" s="26" t="s">
        <v>1196</v>
      </c>
      <c r="C6143" s="26" t="s">
        <v>5086</v>
      </c>
      <c r="D6143" s="8">
        <v>5500</v>
      </c>
      <c r="E6143" s="8"/>
      <c r="F6143" s="92">
        <f t="shared" si="106"/>
        <v>37157</v>
      </c>
      <c r="G6143" s="26"/>
    </row>
    <row r="6144" spans="1:7" x14ac:dyDescent="0.25">
      <c r="A6144" s="204">
        <v>43557</v>
      </c>
      <c r="B6144" s="26" t="s">
        <v>0</v>
      </c>
      <c r="C6144" s="26" t="s">
        <v>5080</v>
      </c>
      <c r="D6144" s="8">
        <v>20000</v>
      </c>
      <c r="E6144" s="8"/>
      <c r="F6144" s="92">
        <f t="shared" si="106"/>
        <v>17157</v>
      </c>
      <c r="G6144" s="26"/>
    </row>
    <row r="6145" spans="1:7" x14ac:dyDescent="0.25">
      <c r="A6145" s="204">
        <v>43557</v>
      </c>
      <c r="B6145" s="26" t="s">
        <v>85</v>
      </c>
      <c r="C6145" s="26" t="s">
        <v>5081</v>
      </c>
      <c r="D6145" s="8">
        <v>1000</v>
      </c>
      <c r="E6145" s="8"/>
      <c r="F6145" s="92">
        <f t="shared" si="106"/>
        <v>16157</v>
      </c>
      <c r="G6145" s="26"/>
    </row>
    <row r="6146" spans="1:7" x14ac:dyDescent="0.25">
      <c r="A6146" s="204">
        <v>43557</v>
      </c>
      <c r="B6146" s="26" t="s">
        <v>248</v>
      </c>
      <c r="C6146" s="26" t="s">
        <v>5082</v>
      </c>
      <c r="D6146" s="8">
        <v>120</v>
      </c>
      <c r="E6146" s="8"/>
      <c r="F6146" s="92">
        <f t="shared" si="106"/>
        <v>16037</v>
      </c>
      <c r="G6146" s="26"/>
    </row>
    <row r="6147" spans="1:7" x14ac:dyDescent="0.25">
      <c r="A6147" s="204">
        <v>43558</v>
      </c>
      <c r="B6147" s="26" t="s">
        <v>248</v>
      </c>
      <c r="C6147" s="26" t="s">
        <v>5083</v>
      </c>
      <c r="D6147" s="8">
        <v>300</v>
      </c>
      <c r="E6147" s="8"/>
      <c r="F6147" s="92">
        <f t="shared" si="106"/>
        <v>15737</v>
      </c>
      <c r="G6147" s="26"/>
    </row>
    <row r="6148" spans="1:7" x14ac:dyDescent="0.25">
      <c r="A6148" s="204">
        <v>43558</v>
      </c>
      <c r="B6148" s="26" t="s">
        <v>58</v>
      </c>
      <c r="C6148" s="26" t="s">
        <v>5084</v>
      </c>
      <c r="D6148" s="8">
        <v>2000</v>
      </c>
      <c r="E6148" s="8"/>
      <c r="F6148" s="92">
        <f t="shared" si="106"/>
        <v>13737</v>
      </c>
      <c r="G6148" s="26"/>
    </row>
    <row r="6149" spans="1:7" x14ac:dyDescent="0.25">
      <c r="A6149" s="204">
        <v>43558</v>
      </c>
      <c r="B6149" s="26" t="s">
        <v>2951</v>
      </c>
      <c r="C6149" s="26" t="s">
        <v>5085</v>
      </c>
      <c r="D6149" s="8">
        <v>200</v>
      </c>
      <c r="E6149" s="8"/>
      <c r="F6149" s="92">
        <f t="shared" si="106"/>
        <v>13537</v>
      </c>
      <c r="G6149" s="26"/>
    </row>
    <row r="6150" spans="1:7" x14ac:dyDescent="0.25">
      <c r="A6150" s="204">
        <v>43559</v>
      </c>
      <c r="B6150" s="26" t="s">
        <v>5087</v>
      </c>
      <c r="C6150" s="26" t="s">
        <v>2016</v>
      </c>
      <c r="D6150" s="8">
        <v>100</v>
      </c>
      <c r="E6150" s="8"/>
      <c r="F6150" s="92">
        <f t="shared" si="106"/>
        <v>13437</v>
      </c>
      <c r="G6150" s="26"/>
    </row>
    <row r="6151" spans="1:7" x14ac:dyDescent="0.25">
      <c r="A6151" s="204">
        <v>43560</v>
      </c>
      <c r="B6151" s="26" t="s">
        <v>101</v>
      </c>
      <c r="C6151" s="26" t="s">
        <v>5088</v>
      </c>
      <c r="D6151" s="8">
        <v>1000</v>
      </c>
      <c r="E6151" s="8"/>
      <c r="F6151" s="92">
        <f t="shared" si="106"/>
        <v>12437</v>
      </c>
      <c r="G6151" s="26"/>
    </row>
    <row r="6152" spans="1:7" x14ac:dyDescent="0.25">
      <c r="A6152" s="204">
        <v>43560</v>
      </c>
      <c r="B6152" s="26" t="s">
        <v>85</v>
      </c>
      <c r="C6152" s="26" t="s">
        <v>5090</v>
      </c>
      <c r="D6152" s="8">
        <v>500</v>
      </c>
      <c r="E6152" s="8"/>
      <c r="F6152" s="92">
        <f t="shared" si="106"/>
        <v>11937</v>
      </c>
      <c r="G6152" s="26"/>
    </row>
    <row r="6153" spans="1:7" x14ac:dyDescent="0.25">
      <c r="A6153" s="204">
        <v>43560</v>
      </c>
      <c r="B6153" s="26" t="s">
        <v>85</v>
      </c>
      <c r="C6153" s="26" t="s">
        <v>5089</v>
      </c>
      <c r="D6153" s="8">
        <v>5000</v>
      </c>
      <c r="E6153" s="8"/>
      <c r="F6153" s="92">
        <f t="shared" si="106"/>
        <v>6937</v>
      </c>
      <c r="G6153" s="26"/>
    </row>
    <row r="6154" spans="1:7" x14ac:dyDescent="0.25">
      <c r="A6154" s="204">
        <v>43562</v>
      </c>
      <c r="B6154" s="26" t="s">
        <v>85</v>
      </c>
      <c r="C6154" s="26" t="s">
        <v>5057</v>
      </c>
      <c r="D6154" s="8">
        <v>500</v>
      </c>
      <c r="E6154" s="8"/>
      <c r="F6154" s="92">
        <f t="shared" si="106"/>
        <v>6437</v>
      </c>
      <c r="G6154" s="26"/>
    </row>
    <row r="6155" spans="1:7" x14ac:dyDescent="0.25">
      <c r="A6155" s="204">
        <v>43562</v>
      </c>
      <c r="B6155" s="26" t="s">
        <v>2951</v>
      </c>
      <c r="C6155" s="26" t="s">
        <v>5091</v>
      </c>
      <c r="D6155" s="8">
        <v>1140</v>
      </c>
      <c r="E6155" s="8"/>
      <c r="F6155" s="92">
        <f t="shared" si="106"/>
        <v>5297</v>
      </c>
      <c r="G6155" s="26"/>
    </row>
    <row r="6156" spans="1:7" x14ac:dyDescent="0.25">
      <c r="A6156" s="204">
        <v>43562</v>
      </c>
      <c r="B6156" s="26" t="s">
        <v>26</v>
      </c>
      <c r="C6156" s="26" t="s">
        <v>5092</v>
      </c>
      <c r="D6156" s="8">
        <f>140+60+50+30+20+70+50+110+150+40+130+65+40+130+50+20+75+50+88+110+20+230+130+50+20+70+50+110+10+200</f>
        <v>2368</v>
      </c>
      <c r="E6156" s="8"/>
      <c r="F6156" s="92">
        <f t="shared" si="106"/>
        <v>2929</v>
      </c>
      <c r="G6156" s="26"/>
    </row>
    <row r="6157" spans="1:7" x14ac:dyDescent="0.25">
      <c r="A6157" s="204">
        <v>43562</v>
      </c>
      <c r="B6157" s="26" t="s">
        <v>4987</v>
      </c>
      <c r="C6157" s="26" t="s">
        <v>5093</v>
      </c>
      <c r="D6157" s="8">
        <v>1350</v>
      </c>
      <c r="E6157" s="8"/>
      <c r="F6157" s="92">
        <f t="shared" si="106"/>
        <v>1579</v>
      </c>
      <c r="G6157" s="26"/>
    </row>
    <row r="6158" spans="1:7" x14ac:dyDescent="0.25">
      <c r="A6158" s="204">
        <v>43564</v>
      </c>
      <c r="B6158" s="26" t="s">
        <v>94</v>
      </c>
      <c r="C6158" s="26" t="s">
        <v>5095</v>
      </c>
      <c r="D6158" s="8">
        <v>1000</v>
      </c>
      <c r="E6158" s="8"/>
      <c r="F6158" s="92">
        <f t="shared" si="106"/>
        <v>579</v>
      </c>
      <c r="G6158" s="26"/>
    </row>
    <row r="6159" spans="1:7" x14ac:dyDescent="0.25">
      <c r="A6159" s="204">
        <v>43564</v>
      </c>
      <c r="B6159" s="26" t="s">
        <v>14</v>
      </c>
      <c r="C6159" s="26" t="s">
        <v>5099</v>
      </c>
      <c r="D6159" s="8">
        <v>554</v>
      </c>
      <c r="E6159" s="8"/>
      <c r="F6159" s="92">
        <f t="shared" si="106"/>
        <v>25</v>
      </c>
      <c r="G6159" s="26"/>
    </row>
    <row r="6160" spans="1:7" x14ac:dyDescent="0.25">
      <c r="A6160" s="204">
        <v>43564</v>
      </c>
      <c r="B6160" s="460" t="s">
        <v>5111</v>
      </c>
      <c r="C6160" s="460"/>
      <c r="D6160" s="71"/>
      <c r="E6160" s="58">
        <v>20000</v>
      </c>
      <c r="F6160" s="92">
        <f t="shared" ref="F6160:F6202" si="107">F6159-D6160+E6160</f>
        <v>20025</v>
      </c>
    </row>
    <row r="6161" spans="1:7" x14ac:dyDescent="0.25">
      <c r="A6161" s="204">
        <v>43564</v>
      </c>
      <c r="B6161" s="174" t="s">
        <v>5112</v>
      </c>
      <c r="C6161" s="174"/>
      <c r="D6161" s="71"/>
      <c r="E6161" s="58">
        <v>970</v>
      </c>
      <c r="F6161" s="92">
        <f t="shared" si="107"/>
        <v>20995</v>
      </c>
    </row>
    <row r="6162" spans="1:7" x14ac:dyDescent="0.25">
      <c r="A6162" s="204">
        <v>43564</v>
      </c>
      <c r="B6162" s="174" t="s">
        <v>5113</v>
      </c>
      <c r="C6162" s="174"/>
      <c r="D6162" s="71"/>
      <c r="E6162" s="58">
        <v>5152</v>
      </c>
      <c r="F6162" s="92">
        <f t="shared" si="107"/>
        <v>26147</v>
      </c>
    </row>
    <row r="6163" spans="1:7" x14ac:dyDescent="0.25">
      <c r="A6163" s="204">
        <v>43564</v>
      </c>
      <c r="B6163" s="26" t="s">
        <v>1840</v>
      </c>
      <c r="C6163" s="26" t="s">
        <v>5100</v>
      </c>
      <c r="D6163" s="8">
        <v>900</v>
      </c>
      <c r="E6163" s="8"/>
      <c r="F6163" s="92">
        <f t="shared" si="107"/>
        <v>25247</v>
      </c>
      <c r="G6163" s="26"/>
    </row>
    <row r="6164" spans="1:7" x14ac:dyDescent="0.25">
      <c r="A6164" s="204">
        <v>43565</v>
      </c>
      <c r="B6164" s="26" t="s">
        <v>2951</v>
      </c>
      <c r="C6164" s="26" t="s">
        <v>5101</v>
      </c>
      <c r="D6164" s="8">
        <v>1000</v>
      </c>
      <c r="E6164" s="8"/>
      <c r="F6164" s="92">
        <f t="shared" si="107"/>
        <v>24247</v>
      </c>
      <c r="G6164" s="26"/>
    </row>
    <row r="6165" spans="1:7" x14ac:dyDescent="0.25">
      <c r="A6165" s="204">
        <v>43565</v>
      </c>
      <c r="B6165" s="26" t="s">
        <v>89</v>
      </c>
      <c r="C6165" s="26" t="s">
        <v>4019</v>
      </c>
      <c r="D6165" s="8">
        <v>14000</v>
      </c>
      <c r="E6165" s="8"/>
      <c r="F6165" s="92">
        <f t="shared" si="107"/>
        <v>10247</v>
      </c>
      <c r="G6165" s="26"/>
    </row>
    <row r="6166" spans="1:7" x14ac:dyDescent="0.25">
      <c r="A6166" s="204">
        <v>43566</v>
      </c>
      <c r="B6166" s="26" t="s">
        <v>11</v>
      </c>
      <c r="C6166" s="26" t="s">
        <v>5102</v>
      </c>
      <c r="D6166" s="8">
        <v>2000</v>
      </c>
      <c r="E6166" s="8"/>
      <c r="F6166" s="92">
        <f t="shared" si="107"/>
        <v>8247</v>
      </c>
      <c r="G6166" s="26"/>
    </row>
    <row r="6167" spans="1:7" x14ac:dyDescent="0.25">
      <c r="A6167" s="204">
        <v>43566</v>
      </c>
      <c r="B6167" s="26" t="s">
        <v>89</v>
      </c>
      <c r="C6167" s="26" t="s">
        <v>5177</v>
      </c>
      <c r="D6167" s="8">
        <v>6000</v>
      </c>
      <c r="E6167" s="8"/>
      <c r="F6167" s="92">
        <f t="shared" si="107"/>
        <v>2247</v>
      </c>
      <c r="G6167" s="26"/>
    </row>
    <row r="6168" spans="1:7" x14ac:dyDescent="0.25">
      <c r="A6168" s="204">
        <v>43568</v>
      </c>
      <c r="B6168" s="26" t="s">
        <v>26</v>
      </c>
      <c r="C6168" s="26" t="s">
        <v>4362</v>
      </c>
      <c r="D6168" s="8">
        <v>1600</v>
      </c>
      <c r="E6168" s="8"/>
      <c r="F6168" s="92">
        <f t="shared" si="107"/>
        <v>647</v>
      </c>
      <c r="G6168" s="26"/>
    </row>
    <row r="6169" spans="1:7" x14ac:dyDescent="0.25">
      <c r="A6169" s="204">
        <v>43570</v>
      </c>
      <c r="B6169" s="460" t="s">
        <v>4369</v>
      </c>
      <c r="C6169" s="460"/>
      <c r="D6169" s="71"/>
      <c r="E6169" s="58">
        <v>52000</v>
      </c>
      <c r="F6169" s="92">
        <f t="shared" si="107"/>
        <v>52647</v>
      </c>
      <c r="G6169" s="26"/>
    </row>
    <row r="6170" spans="1:7" x14ac:dyDescent="0.25">
      <c r="A6170" s="204">
        <v>43568</v>
      </c>
      <c r="B6170" s="26" t="s">
        <v>85</v>
      </c>
      <c r="C6170" s="26" t="s">
        <v>5104</v>
      </c>
      <c r="D6170" s="8">
        <v>1000</v>
      </c>
      <c r="E6170" s="8"/>
      <c r="F6170" s="92">
        <f t="shared" si="107"/>
        <v>51647</v>
      </c>
      <c r="G6170" s="26"/>
    </row>
    <row r="6171" spans="1:7" x14ac:dyDescent="0.25">
      <c r="A6171" s="204">
        <v>43568</v>
      </c>
      <c r="B6171" s="26" t="s">
        <v>5105</v>
      </c>
      <c r="C6171" s="26" t="s">
        <v>5106</v>
      </c>
      <c r="D6171" s="8">
        <v>100</v>
      </c>
      <c r="E6171" s="8"/>
      <c r="F6171" s="92">
        <f t="shared" si="107"/>
        <v>51547</v>
      </c>
      <c r="G6171" s="26"/>
    </row>
    <row r="6172" spans="1:7" x14ac:dyDescent="0.25">
      <c r="A6172" s="204">
        <v>43570</v>
      </c>
      <c r="B6172" s="26" t="s">
        <v>17</v>
      </c>
      <c r="C6172" s="26" t="s">
        <v>295</v>
      </c>
      <c r="D6172" s="8">
        <v>250</v>
      </c>
      <c r="E6172" s="8"/>
      <c r="F6172" s="92">
        <f t="shared" si="107"/>
        <v>51297</v>
      </c>
      <c r="G6172" s="26"/>
    </row>
    <row r="6173" spans="1:7" x14ac:dyDescent="0.25">
      <c r="A6173" s="204">
        <v>43570</v>
      </c>
      <c r="B6173" s="26" t="s">
        <v>542</v>
      </c>
      <c r="C6173" s="26" t="s">
        <v>3595</v>
      </c>
      <c r="D6173" s="8">
        <v>5000</v>
      </c>
      <c r="E6173" s="8"/>
      <c r="F6173" s="92">
        <f t="shared" si="107"/>
        <v>46297</v>
      </c>
      <c r="G6173" s="26"/>
    </row>
    <row r="6174" spans="1:7" x14ac:dyDescent="0.25">
      <c r="A6174" s="204">
        <v>43570</v>
      </c>
      <c r="B6174" s="26" t="s">
        <v>3563</v>
      </c>
      <c r="C6174" s="26" t="s">
        <v>5110</v>
      </c>
      <c r="D6174" s="8">
        <v>17000</v>
      </c>
      <c r="E6174" s="8"/>
      <c r="F6174" s="92">
        <f t="shared" si="107"/>
        <v>29297</v>
      </c>
      <c r="G6174" s="26"/>
    </row>
    <row r="6175" spans="1:7" x14ac:dyDescent="0.25">
      <c r="A6175" s="204">
        <v>43571</v>
      </c>
      <c r="B6175" s="29" t="s">
        <v>17</v>
      </c>
      <c r="C6175" s="29" t="s">
        <v>295</v>
      </c>
      <c r="D6175" s="8">
        <v>2000</v>
      </c>
      <c r="E6175" s="8"/>
      <c r="F6175" s="92">
        <f t="shared" si="107"/>
        <v>27297</v>
      </c>
      <c r="G6175" s="26"/>
    </row>
    <row r="6176" spans="1:7" x14ac:dyDescent="0.25">
      <c r="A6176" s="204">
        <v>43571</v>
      </c>
      <c r="B6176" s="29" t="s">
        <v>1619</v>
      </c>
      <c r="C6176" s="29" t="s">
        <v>3707</v>
      </c>
      <c r="D6176" s="8">
        <v>1500</v>
      </c>
      <c r="E6176" s="8"/>
      <c r="F6176" s="92">
        <f t="shared" si="107"/>
        <v>25797</v>
      </c>
      <c r="G6176" s="26"/>
    </row>
    <row r="6177" spans="1:7" x14ac:dyDescent="0.25">
      <c r="A6177" s="204">
        <v>43571</v>
      </c>
      <c r="B6177" s="29" t="s">
        <v>1619</v>
      </c>
      <c r="C6177" s="29" t="s">
        <v>2438</v>
      </c>
      <c r="D6177" s="8">
        <v>520</v>
      </c>
      <c r="E6177" s="8"/>
      <c r="F6177" s="92">
        <f t="shared" si="107"/>
        <v>25277</v>
      </c>
      <c r="G6177" s="26"/>
    </row>
    <row r="6178" spans="1:7" x14ac:dyDescent="0.25">
      <c r="A6178" s="204">
        <v>43571</v>
      </c>
      <c r="B6178" s="26" t="s">
        <v>2951</v>
      </c>
      <c r="C6178" s="26" t="s">
        <v>5114</v>
      </c>
      <c r="D6178" s="8">
        <v>5000</v>
      </c>
      <c r="E6178" s="8"/>
      <c r="F6178" s="92">
        <f t="shared" si="107"/>
        <v>20277</v>
      </c>
      <c r="G6178" s="26"/>
    </row>
    <row r="6179" spans="1:7" x14ac:dyDescent="0.25">
      <c r="A6179" s="204">
        <v>43571</v>
      </c>
      <c r="B6179" s="26" t="s">
        <v>4871</v>
      </c>
      <c r="C6179" s="26" t="s">
        <v>5126</v>
      </c>
      <c r="D6179" s="8">
        <v>5000</v>
      </c>
      <c r="E6179" s="8"/>
      <c r="F6179" s="92">
        <f t="shared" si="107"/>
        <v>15277</v>
      </c>
      <c r="G6179" s="26"/>
    </row>
    <row r="6180" spans="1:7" x14ac:dyDescent="0.25">
      <c r="A6180" s="204">
        <v>43571</v>
      </c>
      <c r="B6180" s="26" t="s">
        <v>3829</v>
      </c>
      <c r="C6180" s="26" t="s">
        <v>5125</v>
      </c>
      <c r="D6180" s="8">
        <v>10000</v>
      </c>
      <c r="E6180" s="8"/>
      <c r="F6180" s="92">
        <f t="shared" si="107"/>
        <v>5277</v>
      </c>
      <c r="G6180" s="26"/>
    </row>
    <row r="6181" spans="1:7" x14ac:dyDescent="0.25">
      <c r="A6181" s="204">
        <v>43573</v>
      </c>
      <c r="B6181" s="26" t="s">
        <v>85</v>
      </c>
      <c r="C6181" s="26" t="s">
        <v>5123</v>
      </c>
      <c r="D6181" s="8">
        <v>2000</v>
      </c>
      <c r="E6181" s="8"/>
      <c r="F6181" s="92">
        <f t="shared" si="107"/>
        <v>3277</v>
      </c>
      <c r="G6181" s="26"/>
    </row>
    <row r="6182" spans="1:7" x14ac:dyDescent="0.25">
      <c r="A6182" s="204">
        <v>43573</v>
      </c>
      <c r="B6182" s="26" t="s">
        <v>26</v>
      </c>
      <c r="C6182" s="26" t="s">
        <v>5124</v>
      </c>
      <c r="D6182" s="8">
        <f>20+35+50+90+60+20+50+20+40+120+350+140+80+180+120+20+65+80+120+210+50+50+210+120+35+150+50+130+200</f>
        <v>2865</v>
      </c>
      <c r="E6182" s="8"/>
      <c r="F6182" s="92">
        <f t="shared" si="107"/>
        <v>412</v>
      </c>
      <c r="G6182" s="26"/>
    </row>
    <row r="6183" spans="1:7" x14ac:dyDescent="0.25">
      <c r="A6183" s="204">
        <v>43573</v>
      </c>
      <c r="B6183" s="174" t="s">
        <v>5131</v>
      </c>
      <c r="C6183" s="174"/>
      <c r="D6183" s="71"/>
      <c r="E6183" s="58">
        <v>100000</v>
      </c>
      <c r="F6183" s="92">
        <f t="shared" si="107"/>
        <v>100412</v>
      </c>
    </row>
    <row r="6184" spans="1:7" x14ac:dyDescent="0.25">
      <c r="A6184" s="204">
        <v>43573</v>
      </c>
      <c r="B6184" s="26" t="s">
        <v>26</v>
      </c>
      <c r="C6184" s="26" t="s">
        <v>5128</v>
      </c>
      <c r="D6184" s="8">
        <v>120</v>
      </c>
      <c r="E6184" s="8"/>
      <c r="F6184" s="92">
        <f t="shared" si="107"/>
        <v>100292</v>
      </c>
      <c r="G6184" s="7"/>
    </row>
    <row r="6185" spans="1:7" x14ac:dyDescent="0.25">
      <c r="A6185" s="204">
        <v>43573</v>
      </c>
      <c r="B6185" s="26" t="s">
        <v>4871</v>
      </c>
      <c r="C6185" s="26" t="s">
        <v>5129</v>
      </c>
      <c r="D6185" s="8">
        <v>17500</v>
      </c>
      <c r="E6185" s="8"/>
      <c r="F6185" s="92">
        <f t="shared" si="107"/>
        <v>82792</v>
      </c>
      <c r="G6185" s="7"/>
    </row>
    <row r="6186" spans="1:7" x14ac:dyDescent="0.25">
      <c r="A6186" s="204">
        <v>43573</v>
      </c>
      <c r="B6186" s="26" t="s">
        <v>4871</v>
      </c>
      <c r="C6186" s="29" t="s">
        <v>5130</v>
      </c>
      <c r="D6186" s="8">
        <v>25000</v>
      </c>
      <c r="E6186" s="8"/>
      <c r="F6186" s="92">
        <f t="shared" si="107"/>
        <v>57792</v>
      </c>
    </row>
    <row r="6187" spans="1:7" x14ac:dyDescent="0.25">
      <c r="A6187" s="204">
        <v>43573</v>
      </c>
      <c r="B6187" s="26" t="s">
        <v>4875</v>
      </c>
      <c r="C6187" s="26" t="s">
        <v>5133</v>
      </c>
      <c r="D6187" s="8">
        <v>30000</v>
      </c>
      <c r="E6187" s="8"/>
      <c r="F6187" s="92">
        <f t="shared" si="107"/>
        <v>27792</v>
      </c>
    </row>
    <row r="6188" spans="1:7" x14ac:dyDescent="0.25">
      <c r="A6188" s="204">
        <v>43573</v>
      </c>
      <c r="B6188" s="26" t="s">
        <v>85</v>
      </c>
      <c r="C6188" s="26" t="s">
        <v>5132</v>
      </c>
      <c r="D6188" s="8">
        <v>6000</v>
      </c>
      <c r="E6188" s="8"/>
      <c r="F6188" s="92">
        <f t="shared" si="107"/>
        <v>21792</v>
      </c>
    </row>
    <row r="6189" spans="1:7" x14ac:dyDescent="0.25">
      <c r="A6189" s="204">
        <v>43573</v>
      </c>
      <c r="B6189" s="29" t="s">
        <v>3563</v>
      </c>
      <c r="C6189" s="29" t="s">
        <v>5135</v>
      </c>
      <c r="D6189" s="8">
        <v>6620</v>
      </c>
      <c r="E6189" s="8"/>
      <c r="F6189" s="92">
        <f t="shared" si="107"/>
        <v>15172</v>
      </c>
    </row>
    <row r="6190" spans="1:7" x14ac:dyDescent="0.25">
      <c r="A6190" s="204">
        <v>43573</v>
      </c>
      <c r="B6190" s="26" t="s">
        <v>248</v>
      </c>
      <c r="C6190" s="26" t="s">
        <v>5136</v>
      </c>
      <c r="D6190" s="8">
        <v>270</v>
      </c>
      <c r="E6190" s="8"/>
      <c r="F6190" s="92">
        <f t="shared" si="107"/>
        <v>14902</v>
      </c>
    </row>
    <row r="6191" spans="1:7" x14ac:dyDescent="0.25">
      <c r="A6191" s="204">
        <v>43573</v>
      </c>
      <c r="B6191" s="174" t="s">
        <v>5151</v>
      </c>
      <c r="C6191" s="174"/>
      <c r="D6191" s="71"/>
      <c r="E6191" s="58">
        <v>5000</v>
      </c>
      <c r="F6191" s="92">
        <f t="shared" ref="F6191:F6197" si="108">F6190-D6191+E6191</f>
        <v>19902</v>
      </c>
    </row>
    <row r="6192" spans="1:7" x14ac:dyDescent="0.25">
      <c r="A6192" s="204">
        <v>43574</v>
      </c>
      <c r="B6192" s="26" t="s">
        <v>85</v>
      </c>
      <c r="C6192" s="26" t="s">
        <v>5137</v>
      </c>
      <c r="D6192" s="8">
        <v>10000</v>
      </c>
      <c r="E6192" s="8"/>
      <c r="F6192" s="92">
        <f t="shared" si="108"/>
        <v>9902</v>
      </c>
    </row>
    <row r="6193" spans="1:6" x14ac:dyDescent="0.25">
      <c r="A6193" s="204">
        <v>43574</v>
      </c>
      <c r="B6193" s="26" t="s">
        <v>2987</v>
      </c>
      <c r="C6193" s="26" t="s">
        <v>5152</v>
      </c>
      <c r="D6193" s="8">
        <v>6000</v>
      </c>
      <c r="E6193" s="8"/>
      <c r="F6193" s="92">
        <f t="shared" si="108"/>
        <v>3902</v>
      </c>
    </row>
    <row r="6194" spans="1:6" x14ac:dyDescent="0.25">
      <c r="A6194" s="204">
        <v>43574</v>
      </c>
      <c r="B6194" s="26" t="s">
        <v>542</v>
      </c>
      <c r="C6194" s="26" t="s">
        <v>2438</v>
      </c>
      <c r="D6194" s="8">
        <v>600</v>
      </c>
      <c r="E6194" s="8"/>
      <c r="F6194" s="92">
        <f t="shared" si="108"/>
        <v>3302</v>
      </c>
    </row>
    <row r="6195" spans="1:6" x14ac:dyDescent="0.25">
      <c r="A6195" s="204">
        <v>43574</v>
      </c>
      <c r="B6195" s="26" t="s">
        <v>85</v>
      </c>
      <c r="C6195" s="26" t="s">
        <v>5139</v>
      </c>
      <c r="D6195" s="8">
        <v>1000</v>
      </c>
      <c r="E6195" s="8"/>
      <c r="F6195" s="92">
        <f t="shared" si="108"/>
        <v>2302</v>
      </c>
    </row>
    <row r="6196" spans="1:6" x14ac:dyDescent="0.25">
      <c r="A6196" s="204">
        <v>43577</v>
      </c>
      <c r="B6196" s="174" t="s">
        <v>4367</v>
      </c>
      <c r="C6196" s="174"/>
      <c r="D6196" s="71"/>
      <c r="E6196" s="58">
        <v>35000</v>
      </c>
      <c r="F6196" s="92">
        <f t="shared" si="108"/>
        <v>37302</v>
      </c>
    </row>
    <row r="6197" spans="1:6" x14ac:dyDescent="0.25">
      <c r="A6197" s="204">
        <v>43577</v>
      </c>
      <c r="B6197" s="26" t="s">
        <v>5140</v>
      </c>
      <c r="C6197" s="26" t="s">
        <v>5141</v>
      </c>
      <c r="D6197" s="8">
        <v>4200</v>
      </c>
      <c r="E6197" s="8"/>
      <c r="F6197" s="92">
        <f t="shared" si="108"/>
        <v>33102</v>
      </c>
    </row>
    <row r="6198" spans="1:6" x14ac:dyDescent="0.25">
      <c r="A6198" s="204">
        <v>43577</v>
      </c>
      <c r="B6198" s="26" t="s">
        <v>3738</v>
      </c>
      <c r="C6198" s="26" t="s">
        <v>5149</v>
      </c>
      <c r="D6198" s="8">
        <v>500</v>
      </c>
      <c r="E6198" s="8"/>
      <c r="F6198" s="92">
        <f t="shared" si="107"/>
        <v>32602</v>
      </c>
    </row>
    <row r="6199" spans="1:6" x14ac:dyDescent="0.25">
      <c r="A6199" s="204">
        <v>43577</v>
      </c>
      <c r="B6199" s="26" t="s">
        <v>542</v>
      </c>
      <c r="C6199" s="26" t="s">
        <v>3707</v>
      </c>
      <c r="D6199" s="8">
        <v>2500</v>
      </c>
      <c r="E6199" s="8"/>
      <c r="F6199" s="92">
        <f t="shared" si="107"/>
        <v>30102</v>
      </c>
    </row>
    <row r="6200" spans="1:6" x14ac:dyDescent="0.25">
      <c r="A6200" s="204">
        <v>43577</v>
      </c>
      <c r="B6200" s="174" t="s">
        <v>5153</v>
      </c>
      <c r="C6200" s="174"/>
      <c r="D6200" s="71"/>
      <c r="E6200" s="58">
        <v>1400</v>
      </c>
      <c r="F6200" s="92">
        <f t="shared" si="107"/>
        <v>31502</v>
      </c>
    </row>
    <row r="6201" spans="1:6" x14ac:dyDescent="0.25">
      <c r="A6201" s="204">
        <v>43577</v>
      </c>
      <c r="B6201" s="29" t="s">
        <v>2951</v>
      </c>
      <c r="C6201" s="29" t="s">
        <v>5155</v>
      </c>
      <c r="D6201" s="8">
        <v>26900</v>
      </c>
      <c r="E6201" s="8"/>
      <c r="F6201" s="92">
        <f t="shared" si="107"/>
        <v>4602</v>
      </c>
    </row>
    <row r="6202" spans="1:6" x14ac:dyDescent="0.25">
      <c r="A6202" s="204">
        <v>43577</v>
      </c>
      <c r="B6202" s="26" t="s">
        <v>26</v>
      </c>
      <c r="C6202" s="26" t="s">
        <v>66</v>
      </c>
      <c r="D6202" s="8">
        <v>120</v>
      </c>
      <c r="E6202" s="8"/>
      <c r="F6202" s="92">
        <f t="shared" si="107"/>
        <v>4482</v>
      </c>
    </row>
    <row r="6203" spans="1:6" x14ac:dyDescent="0.25">
      <c r="A6203" s="204">
        <v>43578</v>
      </c>
      <c r="B6203" s="174" t="s">
        <v>3448</v>
      </c>
      <c r="C6203" s="174"/>
      <c r="D6203" s="71"/>
      <c r="E6203" s="58">
        <v>100000</v>
      </c>
      <c r="F6203" s="92">
        <f t="shared" ref="F6203:F6238" si="109">F6202-D6203+E6203</f>
        <v>104482</v>
      </c>
    </row>
    <row r="6204" spans="1:6" x14ac:dyDescent="0.25">
      <c r="A6204" s="204">
        <v>43578</v>
      </c>
      <c r="B6204" s="26" t="s">
        <v>542</v>
      </c>
      <c r="C6204" s="26" t="s">
        <v>5163</v>
      </c>
      <c r="D6204" s="8">
        <v>35000</v>
      </c>
      <c r="E6204" s="8"/>
      <c r="F6204" s="92">
        <f t="shared" si="109"/>
        <v>69482</v>
      </c>
    </row>
    <row r="6205" spans="1:6" x14ac:dyDescent="0.25">
      <c r="A6205" s="204">
        <v>43578</v>
      </c>
      <c r="B6205" s="26" t="s">
        <v>542</v>
      </c>
      <c r="C6205" s="26" t="s">
        <v>5164</v>
      </c>
      <c r="D6205" s="8">
        <f>44410+150</f>
        <v>44560</v>
      </c>
      <c r="E6205" s="8"/>
      <c r="F6205" s="92">
        <f t="shared" si="109"/>
        <v>24922</v>
      </c>
    </row>
    <row r="6206" spans="1:6" x14ac:dyDescent="0.25">
      <c r="A6206" s="204">
        <v>43578</v>
      </c>
      <c r="B6206" s="26" t="s">
        <v>542</v>
      </c>
      <c r="C6206" s="26" t="s">
        <v>5165</v>
      </c>
      <c r="D6206" s="8">
        <v>16580</v>
      </c>
      <c r="E6206" s="8"/>
      <c r="F6206" s="92">
        <f t="shared" si="109"/>
        <v>8342</v>
      </c>
    </row>
    <row r="6207" spans="1:6" x14ac:dyDescent="0.25">
      <c r="A6207" s="204">
        <v>43578</v>
      </c>
      <c r="B6207" s="26" t="s">
        <v>542</v>
      </c>
      <c r="C6207" s="26" t="s">
        <v>641</v>
      </c>
      <c r="D6207" s="8">
        <v>2500</v>
      </c>
      <c r="E6207" s="8"/>
      <c r="F6207" s="92">
        <f t="shared" si="109"/>
        <v>5842</v>
      </c>
    </row>
    <row r="6208" spans="1:6" x14ac:dyDescent="0.25">
      <c r="A6208" s="204">
        <v>43578</v>
      </c>
      <c r="B6208" s="26" t="s">
        <v>26</v>
      </c>
      <c r="C6208" s="26" t="s">
        <v>5166</v>
      </c>
      <c r="D6208" s="8">
        <f>160+50+100+170+50+10+20+160+70+20+150+70+50+30+20+50+70+70+80+110+40+50+10+100+250+400</f>
        <v>2360</v>
      </c>
      <c r="E6208" s="8"/>
      <c r="F6208" s="92">
        <f t="shared" si="109"/>
        <v>3482</v>
      </c>
    </row>
    <row r="6209" spans="1:6" x14ac:dyDescent="0.25">
      <c r="A6209" s="204">
        <v>43578</v>
      </c>
      <c r="B6209" s="174" t="s">
        <v>4369</v>
      </c>
      <c r="C6209" s="174"/>
      <c r="D6209" s="71"/>
      <c r="E6209" s="58">
        <v>30000</v>
      </c>
      <c r="F6209" s="92">
        <f t="shared" si="109"/>
        <v>33482</v>
      </c>
    </row>
    <row r="6210" spans="1:6" x14ac:dyDescent="0.25">
      <c r="A6210" s="204">
        <v>43578</v>
      </c>
      <c r="B6210" s="26" t="s">
        <v>0</v>
      </c>
      <c r="C6210" s="26" t="s">
        <v>5169</v>
      </c>
      <c r="D6210" s="8">
        <v>5000</v>
      </c>
      <c r="E6210" s="8"/>
      <c r="F6210" s="92">
        <f t="shared" si="109"/>
        <v>28482</v>
      </c>
    </row>
    <row r="6211" spans="1:6" x14ac:dyDescent="0.25">
      <c r="A6211" s="204">
        <v>43578</v>
      </c>
      <c r="B6211" s="26" t="s">
        <v>58</v>
      </c>
      <c r="C6211" s="26" t="s">
        <v>5172</v>
      </c>
      <c r="D6211" s="8">
        <v>22000</v>
      </c>
      <c r="E6211" s="8"/>
      <c r="F6211" s="92">
        <f t="shared" si="109"/>
        <v>6482</v>
      </c>
    </row>
    <row r="6212" spans="1:6" x14ac:dyDescent="0.25">
      <c r="A6212" s="204">
        <v>43578</v>
      </c>
      <c r="B6212" s="26" t="s">
        <v>14</v>
      </c>
      <c r="C6212" s="26" t="s">
        <v>295</v>
      </c>
      <c r="D6212" s="8">
        <v>3000</v>
      </c>
      <c r="E6212" s="8"/>
      <c r="F6212" s="92">
        <f t="shared" si="109"/>
        <v>3482</v>
      </c>
    </row>
    <row r="6213" spans="1:6" x14ac:dyDescent="0.25">
      <c r="A6213" s="204">
        <v>43580</v>
      </c>
      <c r="B6213" s="26" t="s">
        <v>89</v>
      </c>
      <c r="C6213" s="26" t="s">
        <v>5182</v>
      </c>
      <c r="D6213" s="8">
        <v>1000</v>
      </c>
      <c r="E6213" s="8"/>
      <c r="F6213" s="92">
        <f t="shared" si="109"/>
        <v>2482</v>
      </c>
    </row>
    <row r="6214" spans="1:6" x14ac:dyDescent="0.25">
      <c r="A6214" s="204">
        <v>43580</v>
      </c>
      <c r="B6214" s="174" t="s">
        <v>5178</v>
      </c>
      <c r="C6214" s="174"/>
      <c r="D6214" s="71"/>
      <c r="E6214" s="58">
        <v>344486</v>
      </c>
      <c r="F6214" s="92">
        <f t="shared" si="109"/>
        <v>346968</v>
      </c>
    </row>
    <row r="6215" spans="1:6" x14ac:dyDescent="0.25">
      <c r="A6215" s="204">
        <v>43580</v>
      </c>
      <c r="B6215" s="26" t="s">
        <v>89</v>
      </c>
      <c r="C6215" s="26" t="s">
        <v>5179</v>
      </c>
      <c r="D6215" s="8">
        <v>16000</v>
      </c>
      <c r="E6215" s="8"/>
      <c r="F6215" s="92">
        <f t="shared" si="109"/>
        <v>330968</v>
      </c>
    </row>
    <row r="6216" spans="1:6" x14ac:dyDescent="0.25">
      <c r="A6216" s="204">
        <v>43580</v>
      </c>
      <c r="B6216" s="26" t="s">
        <v>17</v>
      </c>
      <c r="C6216" s="26" t="s">
        <v>3914</v>
      </c>
      <c r="D6216" s="8">
        <v>5000</v>
      </c>
      <c r="E6216" s="8"/>
      <c r="F6216" s="92">
        <f t="shared" si="109"/>
        <v>325968</v>
      </c>
    </row>
    <row r="6217" spans="1:6" x14ac:dyDescent="0.25">
      <c r="A6217" s="204">
        <v>43580</v>
      </c>
      <c r="B6217" s="26" t="s">
        <v>4776</v>
      </c>
      <c r="C6217" s="26" t="s">
        <v>5181</v>
      </c>
      <c r="D6217" s="8">
        <v>25000</v>
      </c>
      <c r="E6217" s="8"/>
      <c r="F6217" s="92">
        <f t="shared" si="109"/>
        <v>300968</v>
      </c>
    </row>
    <row r="6218" spans="1:6" x14ac:dyDescent="0.25">
      <c r="A6218" s="204">
        <v>43580</v>
      </c>
      <c r="B6218" s="26" t="s">
        <v>101</v>
      </c>
      <c r="C6218" s="26" t="s">
        <v>5183</v>
      </c>
      <c r="D6218" s="8">
        <v>750</v>
      </c>
      <c r="E6218" s="8"/>
      <c r="F6218" s="92">
        <f t="shared" si="109"/>
        <v>300218</v>
      </c>
    </row>
    <row r="6219" spans="1:6" x14ac:dyDescent="0.25">
      <c r="A6219" s="204">
        <v>43580</v>
      </c>
      <c r="B6219" s="26" t="s">
        <v>101</v>
      </c>
      <c r="C6219" s="26" t="s">
        <v>5184</v>
      </c>
      <c r="D6219" s="8">
        <v>2000</v>
      </c>
      <c r="E6219" s="8"/>
      <c r="F6219" s="92">
        <f t="shared" si="109"/>
        <v>298218</v>
      </c>
    </row>
    <row r="6220" spans="1:6" x14ac:dyDescent="0.25">
      <c r="A6220" s="204">
        <v>43580</v>
      </c>
      <c r="B6220" s="26" t="s">
        <v>14</v>
      </c>
      <c r="C6220" s="26" t="s">
        <v>295</v>
      </c>
      <c r="D6220" s="8">
        <v>125000</v>
      </c>
      <c r="E6220" s="8"/>
      <c r="F6220" s="92">
        <f t="shared" si="109"/>
        <v>173218</v>
      </c>
    </row>
    <row r="6221" spans="1:6" x14ac:dyDescent="0.25">
      <c r="A6221" s="204">
        <v>43580</v>
      </c>
      <c r="B6221" s="26" t="s">
        <v>248</v>
      </c>
      <c r="C6221" s="26" t="s">
        <v>4996</v>
      </c>
      <c r="D6221" s="8">
        <v>2160</v>
      </c>
      <c r="E6221" s="8"/>
      <c r="F6221" s="92">
        <f t="shared" si="109"/>
        <v>171058</v>
      </c>
    </row>
    <row r="6222" spans="1:6" x14ac:dyDescent="0.25">
      <c r="A6222" s="204">
        <v>43580</v>
      </c>
      <c r="B6222" s="26" t="s">
        <v>248</v>
      </c>
      <c r="C6222" s="26" t="s">
        <v>4996</v>
      </c>
      <c r="D6222" s="8">
        <v>540</v>
      </c>
      <c r="E6222" s="8"/>
      <c r="F6222" s="92">
        <f t="shared" si="109"/>
        <v>170518</v>
      </c>
    </row>
    <row r="6223" spans="1:6" x14ac:dyDescent="0.25">
      <c r="A6223" s="204">
        <v>43580</v>
      </c>
      <c r="B6223" s="26" t="s">
        <v>248</v>
      </c>
      <c r="C6223" s="26" t="s">
        <v>1627</v>
      </c>
      <c r="D6223" s="8">
        <v>100</v>
      </c>
      <c r="E6223" s="8"/>
      <c r="F6223" s="92">
        <f t="shared" si="109"/>
        <v>170418</v>
      </c>
    </row>
    <row r="6224" spans="1:6" x14ac:dyDescent="0.25">
      <c r="A6224" s="204">
        <v>43581</v>
      </c>
      <c r="B6224" s="26" t="s">
        <v>3563</v>
      </c>
      <c r="C6224" s="26" t="s">
        <v>5190</v>
      </c>
      <c r="D6224" s="8">
        <v>670</v>
      </c>
      <c r="E6224" s="8"/>
      <c r="F6224" s="92">
        <f t="shared" si="109"/>
        <v>169748</v>
      </c>
    </row>
    <row r="6225" spans="1:6" x14ac:dyDescent="0.25">
      <c r="A6225" s="204">
        <v>43581</v>
      </c>
      <c r="B6225" s="26" t="s">
        <v>3829</v>
      </c>
      <c r="C6225" s="26" t="s">
        <v>5191</v>
      </c>
      <c r="D6225" s="8">
        <v>20000</v>
      </c>
      <c r="E6225" s="8"/>
      <c r="F6225" s="92">
        <f t="shared" si="109"/>
        <v>149748</v>
      </c>
    </row>
    <row r="6226" spans="1:6" x14ac:dyDescent="0.25">
      <c r="A6226" s="204">
        <v>43582</v>
      </c>
      <c r="B6226" s="26" t="s">
        <v>0</v>
      </c>
      <c r="C6226" s="26" t="s">
        <v>3914</v>
      </c>
      <c r="D6226" s="8">
        <v>21000</v>
      </c>
      <c r="E6226" s="8"/>
      <c r="F6226" s="92">
        <f t="shared" si="109"/>
        <v>128748</v>
      </c>
    </row>
    <row r="6227" spans="1:6" x14ac:dyDescent="0.25">
      <c r="A6227" s="204">
        <v>43582</v>
      </c>
      <c r="B6227" s="26" t="s">
        <v>4776</v>
      </c>
      <c r="C6227" s="26" t="s">
        <v>3914</v>
      </c>
      <c r="D6227" s="8">
        <v>15000</v>
      </c>
      <c r="E6227" s="8"/>
      <c r="F6227" s="92">
        <f t="shared" si="109"/>
        <v>113748</v>
      </c>
    </row>
    <row r="6228" spans="1:6" x14ac:dyDescent="0.25">
      <c r="A6228" s="204">
        <v>43582</v>
      </c>
      <c r="B6228" s="29" t="s">
        <v>2349</v>
      </c>
      <c r="C6228" s="29" t="s">
        <v>5192</v>
      </c>
      <c r="D6228" s="8">
        <v>1000</v>
      </c>
      <c r="E6228" s="8"/>
      <c r="F6228" s="92">
        <f t="shared" si="109"/>
        <v>112748</v>
      </c>
    </row>
    <row r="6229" spans="1:6" x14ac:dyDescent="0.25">
      <c r="A6229" s="204">
        <v>43584</v>
      </c>
      <c r="B6229" s="26" t="s">
        <v>17</v>
      </c>
      <c r="C6229" s="26" t="s">
        <v>1533</v>
      </c>
      <c r="D6229" s="8">
        <v>3000</v>
      </c>
      <c r="E6229" s="8"/>
      <c r="F6229" s="92">
        <f t="shared" si="109"/>
        <v>109748</v>
      </c>
    </row>
    <row r="6230" spans="1:6" x14ac:dyDescent="0.25">
      <c r="A6230" s="204">
        <v>43584</v>
      </c>
      <c r="B6230" s="26" t="s">
        <v>85</v>
      </c>
      <c r="C6230" s="26" t="s">
        <v>5195</v>
      </c>
      <c r="D6230" s="8">
        <v>3000</v>
      </c>
      <c r="E6230" s="8"/>
      <c r="F6230" s="92">
        <f t="shared" si="109"/>
        <v>106748</v>
      </c>
    </row>
    <row r="6231" spans="1:6" x14ac:dyDescent="0.25">
      <c r="A6231" s="204">
        <v>43584</v>
      </c>
      <c r="B6231" s="26" t="s">
        <v>5196</v>
      </c>
      <c r="C6231" s="26" t="s">
        <v>5197</v>
      </c>
      <c r="D6231" s="8">
        <v>6000</v>
      </c>
      <c r="E6231" s="8"/>
      <c r="F6231" s="92">
        <f t="shared" si="109"/>
        <v>100748</v>
      </c>
    </row>
    <row r="6232" spans="1:6" x14ac:dyDescent="0.25">
      <c r="A6232" s="204">
        <v>43584</v>
      </c>
      <c r="B6232" s="26" t="s">
        <v>111</v>
      </c>
      <c r="C6232" s="26" t="s">
        <v>2314</v>
      </c>
      <c r="D6232" s="8">
        <v>8000</v>
      </c>
      <c r="E6232" s="8"/>
      <c r="F6232" s="92">
        <f t="shared" si="109"/>
        <v>92748</v>
      </c>
    </row>
    <row r="6233" spans="1:6" x14ac:dyDescent="0.25">
      <c r="A6233" s="204">
        <v>43584</v>
      </c>
      <c r="B6233" s="26" t="s">
        <v>111</v>
      </c>
      <c r="C6233" s="26" t="s">
        <v>641</v>
      </c>
      <c r="D6233" s="8">
        <v>2000</v>
      </c>
      <c r="E6233" s="8"/>
      <c r="F6233" s="92">
        <f t="shared" si="109"/>
        <v>90748</v>
      </c>
    </row>
    <row r="6234" spans="1:6" x14ac:dyDescent="0.25">
      <c r="A6234" s="204">
        <v>43584</v>
      </c>
      <c r="B6234" s="29" t="s">
        <v>2573</v>
      </c>
      <c r="C6234" s="29" t="s">
        <v>3572</v>
      </c>
      <c r="D6234" s="8">
        <v>210</v>
      </c>
      <c r="E6234" s="8"/>
      <c r="F6234" s="92">
        <f t="shared" si="109"/>
        <v>90538</v>
      </c>
    </row>
    <row r="6235" spans="1:6" x14ac:dyDescent="0.25">
      <c r="A6235" s="204">
        <v>43584</v>
      </c>
      <c r="B6235" s="26" t="s">
        <v>26</v>
      </c>
      <c r="C6235" s="26" t="s">
        <v>5198</v>
      </c>
      <c r="D6235" s="8">
        <f>370+50+100+20+30+20+100+170+70+40+40+330+50+180+50+30+40+50+270+50+40+140</f>
        <v>2240</v>
      </c>
      <c r="E6235" s="8"/>
      <c r="F6235" s="92">
        <f t="shared" si="109"/>
        <v>88298</v>
      </c>
    </row>
    <row r="6236" spans="1:6" x14ac:dyDescent="0.25">
      <c r="A6236" s="204">
        <v>43584</v>
      </c>
      <c r="B6236" s="26" t="s">
        <v>4987</v>
      </c>
      <c r="C6236" s="26" t="s">
        <v>5199</v>
      </c>
      <c r="D6236" s="8">
        <v>14000</v>
      </c>
      <c r="E6236" s="8"/>
      <c r="F6236" s="92">
        <f t="shared" si="109"/>
        <v>74298</v>
      </c>
    </row>
    <row r="6237" spans="1:6" x14ac:dyDescent="0.25">
      <c r="A6237" s="204">
        <v>43584</v>
      </c>
      <c r="B6237" s="26" t="s">
        <v>85</v>
      </c>
      <c r="C6237" s="26" t="s">
        <v>5200</v>
      </c>
      <c r="D6237" s="8">
        <v>5000</v>
      </c>
      <c r="E6237" s="8"/>
      <c r="F6237" s="92">
        <f t="shared" si="109"/>
        <v>69298</v>
      </c>
    </row>
    <row r="6238" spans="1:6" x14ac:dyDescent="0.25">
      <c r="A6238" s="204">
        <v>43584</v>
      </c>
      <c r="B6238" s="26" t="s">
        <v>4982</v>
      </c>
      <c r="C6238" s="26" t="s">
        <v>295</v>
      </c>
      <c r="D6238" s="8">
        <v>50000</v>
      </c>
      <c r="E6238" s="8"/>
      <c r="F6238" s="92">
        <f t="shared" si="109"/>
        <v>19298</v>
      </c>
    </row>
    <row r="6239" spans="1:6" x14ac:dyDescent="0.25">
      <c r="A6239" s="204">
        <v>43585</v>
      </c>
      <c r="B6239" s="174" t="s">
        <v>3448</v>
      </c>
      <c r="C6239" s="174"/>
      <c r="D6239" s="71"/>
      <c r="E6239" s="58">
        <v>50000</v>
      </c>
      <c r="F6239" s="92">
        <f t="shared" ref="F6239:F6255" si="110">F6238-D6239+E6239</f>
        <v>69298</v>
      </c>
    </row>
    <row r="6240" spans="1:6" x14ac:dyDescent="0.25">
      <c r="A6240" s="204">
        <v>43585</v>
      </c>
      <c r="B6240" s="29" t="s">
        <v>5201</v>
      </c>
      <c r="C6240" s="29" t="s">
        <v>5204</v>
      </c>
      <c r="D6240" s="8">
        <v>20000</v>
      </c>
      <c r="E6240" s="8"/>
      <c r="F6240" s="92">
        <f t="shared" si="110"/>
        <v>49298</v>
      </c>
    </row>
    <row r="6241" spans="1:6" x14ac:dyDescent="0.25">
      <c r="A6241" s="204">
        <v>43585</v>
      </c>
      <c r="B6241" s="26" t="s">
        <v>4875</v>
      </c>
      <c r="C6241" s="26" t="s">
        <v>5205</v>
      </c>
      <c r="D6241" s="8">
        <v>5000</v>
      </c>
      <c r="E6241" s="8"/>
      <c r="F6241" s="92">
        <f t="shared" si="110"/>
        <v>44298</v>
      </c>
    </row>
    <row r="6242" spans="1:6" x14ac:dyDescent="0.25">
      <c r="A6242" s="204">
        <v>43585</v>
      </c>
      <c r="B6242" s="26" t="s">
        <v>0</v>
      </c>
      <c r="C6242" s="26" t="s">
        <v>295</v>
      </c>
      <c r="D6242" s="8">
        <v>20000</v>
      </c>
      <c r="E6242" s="8"/>
      <c r="F6242" s="92">
        <f t="shared" si="110"/>
        <v>24298</v>
      </c>
    </row>
    <row r="6243" spans="1:6" x14ac:dyDescent="0.25">
      <c r="A6243" s="204">
        <v>43585</v>
      </c>
      <c r="B6243" s="26" t="s">
        <v>11</v>
      </c>
      <c r="C6243" s="26" t="s">
        <v>2116</v>
      </c>
      <c r="D6243" s="8">
        <v>400</v>
      </c>
      <c r="E6243" s="8"/>
      <c r="F6243" s="92">
        <f t="shared" si="110"/>
        <v>23898</v>
      </c>
    </row>
    <row r="6244" spans="1:6" x14ac:dyDescent="0.25">
      <c r="A6244" s="204">
        <v>43585</v>
      </c>
      <c r="B6244" s="26" t="s">
        <v>4015</v>
      </c>
      <c r="C6244" s="26" t="s">
        <v>5207</v>
      </c>
      <c r="D6244" s="8">
        <v>150</v>
      </c>
      <c r="E6244" s="8"/>
      <c r="F6244" s="92">
        <f t="shared" si="110"/>
        <v>23748</v>
      </c>
    </row>
    <row r="6245" spans="1:6" x14ac:dyDescent="0.25">
      <c r="A6245" s="204">
        <v>43587</v>
      </c>
      <c r="B6245" s="26" t="s">
        <v>17</v>
      </c>
      <c r="C6245" s="26" t="s">
        <v>295</v>
      </c>
      <c r="D6245" s="8">
        <v>5000</v>
      </c>
      <c r="E6245" s="8"/>
      <c r="F6245" s="92">
        <f t="shared" si="110"/>
        <v>18748</v>
      </c>
    </row>
    <row r="6246" spans="1:6" x14ac:dyDescent="0.25">
      <c r="A6246" s="204">
        <v>43589</v>
      </c>
      <c r="B6246" s="174" t="s">
        <v>5131</v>
      </c>
      <c r="C6246" s="174"/>
      <c r="D6246" s="71"/>
      <c r="E6246" s="58">
        <v>100000</v>
      </c>
      <c r="F6246" s="92">
        <f t="shared" si="110"/>
        <v>118748</v>
      </c>
    </row>
    <row r="6247" spans="1:6" x14ac:dyDescent="0.25">
      <c r="A6247" s="204">
        <v>43589</v>
      </c>
      <c r="B6247" s="26" t="s">
        <v>5214</v>
      </c>
      <c r="C6247" s="26" t="s">
        <v>41</v>
      </c>
      <c r="D6247" s="161">
        <v>20000</v>
      </c>
      <c r="E6247" s="8"/>
      <c r="F6247" s="92">
        <f t="shared" si="110"/>
        <v>98748</v>
      </c>
    </row>
    <row r="6248" spans="1:6" x14ac:dyDescent="0.25">
      <c r="A6248" s="204">
        <v>43589</v>
      </c>
      <c r="B6248" s="26" t="s">
        <v>19</v>
      </c>
      <c r="C6248" s="26" t="s">
        <v>5216</v>
      </c>
      <c r="D6248" s="8">
        <v>15000</v>
      </c>
      <c r="E6248" s="8"/>
      <c r="F6248" s="92">
        <f t="shared" si="110"/>
        <v>83748</v>
      </c>
    </row>
    <row r="6249" spans="1:6" x14ac:dyDescent="0.25">
      <c r="A6249" s="204">
        <v>43589</v>
      </c>
      <c r="B6249" s="29" t="s">
        <v>4875</v>
      </c>
      <c r="C6249" s="29" t="s">
        <v>5217</v>
      </c>
      <c r="D6249" s="8">
        <v>35000</v>
      </c>
      <c r="E6249" s="8"/>
      <c r="F6249" s="92">
        <f t="shared" si="110"/>
        <v>48748</v>
      </c>
    </row>
    <row r="6250" spans="1:6" x14ac:dyDescent="0.25">
      <c r="A6250" s="204">
        <v>43589</v>
      </c>
      <c r="B6250" s="29" t="s">
        <v>5218</v>
      </c>
      <c r="C6250" s="29" t="s">
        <v>5219</v>
      </c>
      <c r="D6250" s="8">
        <v>31000</v>
      </c>
      <c r="E6250" s="8"/>
      <c r="F6250" s="92">
        <f t="shared" si="110"/>
        <v>17748</v>
      </c>
    </row>
    <row r="6251" spans="1:6" x14ac:dyDescent="0.25">
      <c r="A6251" s="204">
        <v>43589</v>
      </c>
      <c r="B6251" s="29" t="s">
        <v>58</v>
      </c>
      <c r="C6251" s="29" t="s">
        <v>5222</v>
      </c>
      <c r="D6251" s="8">
        <v>3000</v>
      </c>
      <c r="E6251" s="8"/>
      <c r="F6251" s="92">
        <f t="shared" si="110"/>
        <v>14748</v>
      </c>
    </row>
    <row r="6252" spans="1:6" x14ac:dyDescent="0.25">
      <c r="A6252" s="204">
        <v>43589</v>
      </c>
      <c r="B6252" s="29" t="s">
        <v>5140</v>
      </c>
      <c r="C6252" s="29" t="s">
        <v>41</v>
      </c>
      <c r="D6252" s="8">
        <v>4210</v>
      </c>
      <c r="E6252" s="8"/>
      <c r="F6252" s="92">
        <f t="shared" si="110"/>
        <v>10538</v>
      </c>
    </row>
    <row r="6253" spans="1:6" x14ac:dyDescent="0.25">
      <c r="A6253" s="204">
        <v>43589</v>
      </c>
      <c r="B6253" s="26" t="s">
        <v>4776</v>
      </c>
      <c r="C6253" s="26" t="s">
        <v>4334</v>
      </c>
      <c r="D6253" s="8">
        <v>5000</v>
      </c>
      <c r="E6253" s="8"/>
      <c r="F6253" s="92">
        <f t="shared" si="110"/>
        <v>5538</v>
      </c>
    </row>
    <row r="6254" spans="1:6" x14ac:dyDescent="0.25">
      <c r="A6254" s="204">
        <v>43589</v>
      </c>
      <c r="B6254" s="29" t="s">
        <v>26</v>
      </c>
      <c r="C6254" s="29" t="s">
        <v>5221</v>
      </c>
      <c r="D6254" s="8">
        <v>220</v>
      </c>
      <c r="E6254" s="8"/>
      <c r="F6254" s="92">
        <f t="shared" si="110"/>
        <v>5318</v>
      </c>
    </row>
    <row r="6255" spans="1:6" x14ac:dyDescent="0.25">
      <c r="A6255" s="204">
        <v>43589</v>
      </c>
      <c r="B6255" s="29" t="s">
        <v>26</v>
      </c>
      <c r="C6255" s="29" t="s">
        <v>5223</v>
      </c>
      <c r="D6255" s="8">
        <v>180</v>
      </c>
      <c r="E6255" s="8"/>
      <c r="F6255" s="92">
        <f t="shared" si="110"/>
        <v>5138</v>
      </c>
    </row>
    <row r="6256" spans="1:6" x14ac:dyDescent="0.25">
      <c r="A6256" s="204">
        <v>43591</v>
      </c>
      <c r="B6256" s="174" t="s">
        <v>5224</v>
      </c>
      <c r="C6256" s="174"/>
      <c r="D6256" s="71"/>
      <c r="E6256" s="58">
        <v>20000</v>
      </c>
      <c r="F6256" s="92">
        <f t="shared" ref="F6256:F6260" si="111">F6255-D6256+E6256</f>
        <v>25138</v>
      </c>
    </row>
    <row r="6257" spans="1:6" x14ac:dyDescent="0.25">
      <c r="A6257" s="204">
        <v>43591</v>
      </c>
      <c r="B6257" s="29" t="s">
        <v>5225</v>
      </c>
      <c r="C6257" s="29" t="s">
        <v>5227</v>
      </c>
      <c r="D6257" s="8">
        <v>11100</v>
      </c>
      <c r="E6257" s="8"/>
      <c r="F6257" s="92">
        <f t="shared" si="111"/>
        <v>14038</v>
      </c>
    </row>
    <row r="6258" spans="1:6" x14ac:dyDescent="0.25">
      <c r="A6258" s="204">
        <v>43591</v>
      </c>
      <c r="B6258" s="29" t="s">
        <v>26</v>
      </c>
      <c r="C6258" s="29" t="s">
        <v>5228</v>
      </c>
      <c r="D6258" s="8">
        <v>5000</v>
      </c>
      <c r="E6258" s="8"/>
      <c r="F6258" s="92">
        <f t="shared" si="111"/>
        <v>9038</v>
      </c>
    </row>
    <row r="6259" spans="1:6" x14ac:dyDescent="0.25">
      <c r="A6259" s="204">
        <v>43591</v>
      </c>
      <c r="B6259" s="29" t="s">
        <v>1790</v>
      </c>
      <c r="C6259" s="29" t="s">
        <v>5229</v>
      </c>
      <c r="D6259" s="8">
        <v>900</v>
      </c>
      <c r="E6259" s="8"/>
      <c r="F6259" s="92">
        <f t="shared" si="111"/>
        <v>8138</v>
      </c>
    </row>
    <row r="6260" spans="1:6" x14ac:dyDescent="0.25">
      <c r="A6260" s="204">
        <v>43591</v>
      </c>
      <c r="B6260" s="29" t="s">
        <v>2677</v>
      </c>
      <c r="C6260" s="29" t="s">
        <v>5230</v>
      </c>
      <c r="D6260" s="8">
        <v>1500</v>
      </c>
      <c r="E6260" s="8"/>
      <c r="F6260" s="92">
        <f t="shared" si="111"/>
        <v>6638</v>
      </c>
    </row>
    <row r="6261" spans="1:6" x14ac:dyDescent="0.25">
      <c r="A6261" s="204">
        <v>43591</v>
      </c>
      <c r="B6261" s="174" t="s">
        <v>3448</v>
      </c>
      <c r="C6261" s="174"/>
      <c r="D6261" s="71"/>
      <c r="E6261" s="58">
        <v>50000</v>
      </c>
      <c r="F6261" s="92">
        <f t="shared" ref="F6261:F6279" si="112">F6260-D6261+E6261</f>
        <v>56638</v>
      </c>
    </row>
    <row r="6262" spans="1:6" x14ac:dyDescent="0.25">
      <c r="A6262" s="204">
        <v>43591</v>
      </c>
      <c r="B6262" s="26" t="s">
        <v>4043</v>
      </c>
      <c r="C6262" s="26" t="s">
        <v>5234</v>
      </c>
      <c r="D6262" s="8">
        <v>3735</v>
      </c>
      <c r="E6262" s="8"/>
      <c r="F6262" s="92">
        <f t="shared" si="112"/>
        <v>52903</v>
      </c>
    </row>
    <row r="6263" spans="1:6" x14ac:dyDescent="0.25">
      <c r="A6263" s="204">
        <v>43592</v>
      </c>
      <c r="B6263" s="26" t="s">
        <v>1682</v>
      </c>
      <c r="C6263" s="26" t="s">
        <v>5235</v>
      </c>
      <c r="D6263" s="8">
        <v>2000</v>
      </c>
      <c r="E6263" s="8"/>
      <c r="F6263" s="92">
        <f t="shared" si="112"/>
        <v>50903</v>
      </c>
    </row>
    <row r="6264" spans="1:6" x14ac:dyDescent="0.25">
      <c r="A6264" s="204">
        <v>43592</v>
      </c>
      <c r="B6264" s="26" t="s">
        <v>1461</v>
      </c>
      <c r="C6264" s="26" t="s">
        <v>5093</v>
      </c>
      <c r="D6264" s="8">
        <v>1000</v>
      </c>
      <c r="E6264" s="8"/>
      <c r="F6264" s="92">
        <f t="shared" si="112"/>
        <v>49903</v>
      </c>
    </row>
    <row r="6265" spans="1:6" x14ac:dyDescent="0.25">
      <c r="A6265" s="204">
        <v>43592</v>
      </c>
      <c r="B6265" s="26" t="s">
        <v>26</v>
      </c>
      <c r="C6265" s="26" t="s">
        <v>5238</v>
      </c>
      <c r="D6265" s="8">
        <f>70+50+200+50+20+50+200+35+240+50+100+100+150+200</f>
        <v>1515</v>
      </c>
      <c r="E6265" s="8"/>
      <c r="F6265" s="92">
        <f t="shared" si="112"/>
        <v>48388</v>
      </c>
    </row>
    <row r="6266" spans="1:6" x14ac:dyDescent="0.25">
      <c r="A6266" s="204">
        <v>43593</v>
      </c>
      <c r="B6266" s="26" t="s">
        <v>5239</v>
      </c>
      <c r="C6266" s="26" t="s">
        <v>5240</v>
      </c>
      <c r="D6266" s="8">
        <v>550</v>
      </c>
      <c r="E6266" s="8"/>
      <c r="F6266" s="92">
        <f t="shared" si="112"/>
        <v>47838</v>
      </c>
    </row>
    <row r="6267" spans="1:6" x14ac:dyDescent="0.25">
      <c r="A6267" s="204">
        <v>43593</v>
      </c>
      <c r="B6267" s="26" t="s">
        <v>94</v>
      </c>
      <c r="C6267" s="26" t="s">
        <v>5806</v>
      </c>
      <c r="D6267" s="8">
        <v>10000</v>
      </c>
      <c r="E6267" s="8"/>
      <c r="F6267" s="92">
        <f t="shared" si="112"/>
        <v>37838</v>
      </c>
    </row>
    <row r="6268" spans="1:6" x14ac:dyDescent="0.25">
      <c r="A6268" s="204">
        <v>43593</v>
      </c>
      <c r="B6268" s="26" t="s">
        <v>1413</v>
      </c>
      <c r="C6268" s="26" t="s">
        <v>5035</v>
      </c>
      <c r="D6268" s="8">
        <v>8000</v>
      </c>
      <c r="E6268" s="8"/>
      <c r="F6268" s="92">
        <f t="shared" si="112"/>
        <v>29838</v>
      </c>
    </row>
    <row r="6269" spans="1:6" x14ac:dyDescent="0.25">
      <c r="A6269" s="204">
        <v>43593</v>
      </c>
      <c r="B6269" s="26" t="s">
        <v>0</v>
      </c>
      <c r="C6269" s="26" t="s">
        <v>5241</v>
      </c>
      <c r="D6269" s="8">
        <v>100</v>
      </c>
      <c r="E6269" s="8"/>
      <c r="F6269" s="92">
        <f t="shared" si="112"/>
        <v>29738</v>
      </c>
    </row>
    <row r="6270" spans="1:6" x14ac:dyDescent="0.25">
      <c r="A6270" s="204">
        <v>43593</v>
      </c>
      <c r="B6270" s="26" t="s">
        <v>3550</v>
      </c>
      <c r="C6270" s="26" t="s">
        <v>5242</v>
      </c>
      <c r="D6270" s="8">
        <v>25500</v>
      </c>
      <c r="E6270" s="8"/>
      <c r="F6270" s="92">
        <f t="shared" si="112"/>
        <v>4238</v>
      </c>
    </row>
    <row r="6271" spans="1:6" x14ac:dyDescent="0.25">
      <c r="A6271" s="204">
        <v>43594</v>
      </c>
      <c r="B6271" s="26" t="s">
        <v>2951</v>
      </c>
      <c r="C6271" s="26" t="s">
        <v>5245</v>
      </c>
      <c r="D6271" s="8">
        <v>3000</v>
      </c>
      <c r="E6271" s="8"/>
      <c r="F6271" s="92">
        <f t="shared" si="112"/>
        <v>1238</v>
      </c>
    </row>
    <row r="6272" spans="1:6" x14ac:dyDescent="0.25">
      <c r="A6272" s="204">
        <v>43594</v>
      </c>
      <c r="B6272" s="174" t="s">
        <v>3448</v>
      </c>
      <c r="C6272" s="174"/>
      <c r="D6272" s="71"/>
      <c r="E6272" s="58">
        <v>50000</v>
      </c>
      <c r="F6272" s="92">
        <f t="shared" si="112"/>
        <v>51238</v>
      </c>
    </row>
    <row r="6273" spans="1:7" x14ac:dyDescent="0.25">
      <c r="A6273" s="204">
        <v>43594</v>
      </c>
      <c r="B6273" s="26" t="s">
        <v>3829</v>
      </c>
      <c r="C6273" s="26" t="s">
        <v>5246</v>
      </c>
      <c r="D6273" s="8">
        <v>1000</v>
      </c>
      <c r="E6273" s="8"/>
      <c r="F6273" s="92">
        <f t="shared" si="112"/>
        <v>50238</v>
      </c>
    </row>
    <row r="6274" spans="1:7" x14ac:dyDescent="0.25">
      <c r="A6274" s="204">
        <v>43594</v>
      </c>
      <c r="B6274" s="26" t="s">
        <v>0</v>
      </c>
      <c r="C6274" s="26" t="s">
        <v>5247</v>
      </c>
      <c r="D6274" s="8">
        <v>9000</v>
      </c>
      <c r="E6274" s="8"/>
      <c r="F6274" s="92">
        <f t="shared" si="112"/>
        <v>41238</v>
      </c>
    </row>
    <row r="6275" spans="1:7" x14ac:dyDescent="0.25">
      <c r="A6275" s="204">
        <v>43594</v>
      </c>
      <c r="B6275" s="26" t="s">
        <v>55</v>
      </c>
      <c r="C6275" s="26" t="s">
        <v>5248</v>
      </c>
      <c r="D6275" s="8">
        <v>10000</v>
      </c>
      <c r="E6275" s="8"/>
      <c r="F6275" s="92">
        <f t="shared" si="112"/>
        <v>31238</v>
      </c>
    </row>
    <row r="6276" spans="1:7" x14ac:dyDescent="0.25">
      <c r="A6276" s="204">
        <v>43594</v>
      </c>
      <c r="B6276" s="26" t="s">
        <v>55</v>
      </c>
      <c r="C6276" s="26" t="s">
        <v>5249</v>
      </c>
      <c r="D6276" s="8">
        <v>9942</v>
      </c>
      <c r="E6276" s="8"/>
      <c r="F6276" s="92">
        <f t="shared" si="112"/>
        <v>21296</v>
      </c>
    </row>
    <row r="6277" spans="1:7" x14ac:dyDescent="0.25">
      <c r="A6277" s="204">
        <v>43594</v>
      </c>
      <c r="B6277" s="26" t="s">
        <v>55</v>
      </c>
      <c r="C6277" s="26" t="s">
        <v>5250</v>
      </c>
      <c r="D6277" s="8">
        <v>9740</v>
      </c>
      <c r="E6277" s="8"/>
      <c r="F6277" s="92">
        <f t="shared" si="112"/>
        <v>11556</v>
      </c>
    </row>
    <row r="6278" spans="1:7" x14ac:dyDescent="0.25">
      <c r="A6278" s="204">
        <v>43594</v>
      </c>
      <c r="B6278" s="26" t="s">
        <v>0</v>
      </c>
      <c r="C6278" s="26" t="s">
        <v>5251</v>
      </c>
      <c r="D6278" s="8">
        <v>2000</v>
      </c>
      <c r="E6278" s="8"/>
      <c r="F6278" s="92">
        <f t="shared" si="112"/>
        <v>9556</v>
      </c>
    </row>
    <row r="6279" spans="1:7" x14ac:dyDescent="0.25">
      <c r="A6279" s="204">
        <v>43595</v>
      </c>
      <c r="B6279" s="26" t="s">
        <v>3738</v>
      </c>
      <c r="C6279" s="26" t="s">
        <v>5149</v>
      </c>
      <c r="D6279" s="8">
        <v>750</v>
      </c>
      <c r="E6279" s="8"/>
      <c r="F6279" s="92">
        <f t="shared" si="112"/>
        <v>8806</v>
      </c>
      <c r="G6279" s="25"/>
    </row>
    <row r="6280" spans="1:7" x14ac:dyDescent="0.25">
      <c r="A6280" s="204">
        <v>43596</v>
      </c>
      <c r="B6280" s="174" t="s">
        <v>3448</v>
      </c>
      <c r="C6280" s="174"/>
      <c r="D6280" s="71"/>
      <c r="E6280" s="58">
        <v>100000</v>
      </c>
      <c r="F6280" s="92">
        <f t="shared" ref="F6280:F6283" si="113">F6279-D6280+E6280</f>
        <v>108806</v>
      </c>
    </row>
    <row r="6281" spans="1:7" x14ac:dyDescent="0.25">
      <c r="A6281" s="204">
        <v>43596</v>
      </c>
      <c r="B6281" s="26" t="s">
        <v>0</v>
      </c>
      <c r="C6281" s="26" t="s">
        <v>4819</v>
      </c>
      <c r="D6281" s="8">
        <v>40000</v>
      </c>
      <c r="E6281" s="8"/>
      <c r="F6281" s="92">
        <f t="shared" si="113"/>
        <v>68806</v>
      </c>
    </row>
    <row r="6282" spans="1:7" x14ac:dyDescent="0.25">
      <c r="A6282" s="204">
        <v>43596</v>
      </c>
      <c r="B6282" s="29" t="s">
        <v>85</v>
      </c>
      <c r="C6282" s="29" t="s">
        <v>5252</v>
      </c>
      <c r="D6282" s="8">
        <v>10000</v>
      </c>
      <c r="E6282" s="8"/>
      <c r="F6282" s="92">
        <f t="shared" si="113"/>
        <v>58806</v>
      </c>
    </row>
    <row r="6283" spans="1:7" x14ac:dyDescent="0.25">
      <c r="A6283" s="204">
        <v>43596</v>
      </c>
      <c r="B6283" s="26" t="s">
        <v>10</v>
      </c>
      <c r="C6283" s="26" t="s">
        <v>5253</v>
      </c>
      <c r="D6283" s="8">
        <v>5000</v>
      </c>
      <c r="E6283" s="8"/>
      <c r="F6283" s="92">
        <f t="shared" si="113"/>
        <v>53806</v>
      </c>
    </row>
    <row r="6284" spans="1:7" x14ac:dyDescent="0.25">
      <c r="A6284" s="204">
        <v>43596</v>
      </c>
      <c r="B6284" s="29" t="s">
        <v>85</v>
      </c>
      <c r="C6284" s="29" t="s">
        <v>5254</v>
      </c>
      <c r="D6284" s="8">
        <v>3000</v>
      </c>
      <c r="E6284" s="8"/>
      <c r="F6284" s="92">
        <f t="shared" ref="F6284:F6292" si="114">F6283-D6284+E6284</f>
        <v>50806</v>
      </c>
    </row>
    <row r="6285" spans="1:7" x14ac:dyDescent="0.25">
      <c r="A6285" s="204">
        <v>43598</v>
      </c>
      <c r="B6285" s="26" t="s">
        <v>4875</v>
      </c>
      <c r="C6285" s="26" t="s">
        <v>5255</v>
      </c>
      <c r="D6285" s="8">
        <v>500</v>
      </c>
      <c r="E6285" s="8"/>
      <c r="F6285" s="92">
        <f t="shared" si="114"/>
        <v>50306</v>
      </c>
    </row>
    <row r="6286" spans="1:7" x14ac:dyDescent="0.25">
      <c r="A6286" s="204">
        <v>43598</v>
      </c>
      <c r="B6286" s="26" t="s">
        <v>5257</v>
      </c>
      <c r="C6286" s="26" t="s">
        <v>5258</v>
      </c>
      <c r="D6286" s="8">
        <v>5000</v>
      </c>
      <c r="E6286" s="8"/>
      <c r="F6286" s="92">
        <f t="shared" si="114"/>
        <v>45306</v>
      </c>
    </row>
    <row r="6287" spans="1:7" x14ac:dyDescent="0.25">
      <c r="A6287" s="204">
        <v>43598</v>
      </c>
      <c r="B6287" s="26" t="s">
        <v>248</v>
      </c>
      <c r="C6287" s="26" t="s">
        <v>2016</v>
      </c>
      <c r="D6287" s="8">
        <v>100</v>
      </c>
      <c r="E6287" s="8"/>
      <c r="F6287" s="92">
        <f t="shared" si="114"/>
        <v>45206</v>
      </c>
    </row>
    <row r="6288" spans="1:7" x14ac:dyDescent="0.25">
      <c r="A6288" s="204">
        <v>43598</v>
      </c>
      <c r="B6288" s="29" t="s">
        <v>85</v>
      </c>
      <c r="C6288" s="138" t="s">
        <v>5259</v>
      </c>
      <c r="D6288" s="8">
        <v>3000</v>
      </c>
      <c r="E6288" s="8"/>
      <c r="F6288" s="92">
        <f t="shared" si="114"/>
        <v>42206</v>
      </c>
    </row>
    <row r="6289" spans="1:6" x14ac:dyDescent="0.25">
      <c r="A6289" s="204">
        <v>43598</v>
      </c>
      <c r="B6289" s="29" t="s">
        <v>85</v>
      </c>
      <c r="C6289" s="29" t="s">
        <v>5260</v>
      </c>
      <c r="D6289" s="8">
        <v>2000</v>
      </c>
      <c r="E6289" s="8"/>
      <c r="F6289" s="92">
        <f t="shared" si="114"/>
        <v>40206</v>
      </c>
    </row>
    <row r="6290" spans="1:6" x14ac:dyDescent="0.25">
      <c r="A6290" s="204">
        <v>43598</v>
      </c>
      <c r="B6290" s="26" t="s">
        <v>2266</v>
      </c>
      <c r="C6290" s="26" t="s">
        <v>5261</v>
      </c>
      <c r="D6290" s="8">
        <v>300</v>
      </c>
      <c r="E6290" s="8"/>
      <c r="F6290" s="92">
        <f t="shared" si="114"/>
        <v>39906</v>
      </c>
    </row>
    <row r="6291" spans="1:6" x14ac:dyDescent="0.25">
      <c r="A6291" s="204">
        <v>43598</v>
      </c>
      <c r="B6291" s="26" t="s">
        <v>0</v>
      </c>
      <c r="C6291" s="26" t="s">
        <v>4819</v>
      </c>
      <c r="D6291" s="8">
        <v>10000</v>
      </c>
      <c r="E6291" s="8"/>
      <c r="F6291" s="92">
        <f t="shared" si="114"/>
        <v>29906</v>
      </c>
    </row>
    <row r="6292" spans="1:6" x14ac:dyDescent="0.25">
      <c r="A6292" s="204">
        <v>43598</v>
      </c>
      <c r="B6292" s="26" t="s">
        <v>2951</v>
      </c>
      <c r="C6292" s="26" t="s">
        <v>5262</v>
      </c>
      <c r="D6292" s="8">
        <v>8000</v>
      </c>
      <c r="E6292" s="8"/>
      <c r="F6292" s="92">
        <f t="shared" si="114"/>
        <v>21906</v>
      </c>
    </row>
    <row r="6293" spans="1:6" x14ac:dyDescent="0.25">
      <c r="A6293" s="204">
        <v>43598</v>
      </c>
      <c r="B6293" s="29" t="s">
        <v>85</v>
      </c>
      <c r="C6293" s="29" t="s">
        <v>5263</v>
      </c>
      <c r="D6293" s="8">
        <v>1000</v>
      </c>
      <c r="E6293" s="8"/>
      <c r="F6293" s="92">
        <f t="shared" ref="F6293:F6335" si="115">F6292-D6293+E6293</f>
        <v>20906</v>
      </c>
    </row>
    <row r="6294" spans="1:6" x14ac:dyDescent="0.25">
      <c r="A6294" s="204">
        <v>43599</v>
      </c>
      <c r="B6294" s="26" t="s">
        <v>5264</v>
      </c>
      <c r="C6294" s="26" t="s">
        <v>5265</v>
      </c>
      <c r="D6294" s="8">
        <v>1200</v>
      </c>
      <c r="E6294" s="8"/>
      <c r="F6294" s="92">
        <f t="shared" si="115"/>
        <v>19706</v>
      </c>
    </row>
    <row r="6295" spans="1:6" x14ac:dyDescent="0.25">
      <c r="A6295" s="204">
        <v>43599</v>
      </c>
      <c r="B6295" s="26" t="s">
        <v>58</v>
      </c>
      <c r="C6295" s="26" t="s">
        <v>5266</v>
      </c>
      <c r="D6295" s="8">
        <v>300</v>
      </c>
      <c r="E6295" s="8"/>
      <c r="F6295" s="92">
        <f t="shared" si="115"/>
        <v>19406</v>
      </c>
    </row>
    <row r="6296" spans="1:6" x14ac:dyDescent="0.25">
      <c r="A6296" s="204">
        <v>43599</v>
      </c>
      <c r="B6296" s="174" t="s">
        <v>5267</v>
      </c>
      <c r="C6296" s="174"/>
      <c r="D6296" s="71"/>
      <c r="E6296" s="58">
        <v>300000</v>
      </c>
      <c r="F6296" s="92">
        <f t="shared" si="115"/>
        <v>319406</v>
      </c>
    </row>
    <row r="6297" spans="1:6" x14ac:dyDescent="0.25">
      <c r="A6297" s="204">
        <v>43599</v>
      </c>
      <c r="B6297" s="26" t="s">
        <v>3008</v>
      </c>
      <c r="C6297" s="26" t="s">
        <v>5268</v>
      </c>
      <c r="D6297" s="8">
        <v>50000</v>
      </c>
      <c r="E6297" s="8"/>
      <c r="F6297" s="92">
        <f t="shared" si="115"/>
        <v>269406</v>
      </c>
    </row>
    <row r="6298" spans="1:6" x14ac:dyDescent="0.25">
      <c r="A6298" s="204">
        <v>43600</v>
      </c>
      <c r="B6298" s="26" t="s">
        <v>26</v>
      </c>
      <c r="C6298" s="26" t="s">
        <v>5269</v>
      </c>
      <c r="D6298" s="8">
        <v>150</v>
      </c>
      <c r="E6298" s="8"/>
      <c r="F6298" s="92">
        <f t="shared" si="115"/>
        <v>269256</v>
      </c>
    </row>
    <row r="6299" spans="1:6" x14ac:dyDescent="0.25">
      <c r="A6299" s="204">
        <v>43600</v>
      </c>
      <c r="B6299" s="26" t="s">
        <v>60</v>
      </c>
      <c r="C6299" s="26" t="s">
        <v>5270</v>
      </c>
      <c r="D6299" s="8">
        <v>2000</v>
      </c>
      <c r="E6299" s="8"/>
      <c r="F6299" s="92">
        <f t="shared" si="115"/>
        <v>267256</v>
      </c>
    </row>
    <row r="6300" spans="1:6" x14ac:dyDescent="0.25">
      <c r="A6300" s="204">
        <v>43600</v>
      </c>
      <c r="B6300" s="26" t="s">
        <v>3829</v>
      </c>
      <c r="C6300" s="26" t="s">
        <v>4191</v>
      </c>
      <c r="D6300" s="8">
        <v>3000</v>
      </c>
      <c r="E6300" s="8"/>
      <c r="F6300" s="92">
        <f t="shared" si="115"/>
        <v>264256</v>
      </c>
    </row>
    <row r="6301" spans="1:6" x14ac:dyDescent="0.25">
      <c r="A6301" s="204">
        <v>43600</v>
      </c>
      <c r="B6301" s="26" t="s">
        <v>85</v>
      </c>
      <c r="C6301" s="26" t="s">
        <v>5271</v>
      </c>
      <c r="D6301" s="8">
        <v>2000</v>
      </c>
      <c r="E6301" s="8"/>
      <c r="F6301" s="92">
        <f t="shared" si="115"/>
        <v>262256</v>
      </c>
    </row>
    <row r="6302" spans="1:6" x14ac:dyDescent="0.25">
      <c r="A6302" s="204">
        <v>43600</v>
      </c>
      <c r="B6302" s="26" t="s">
        <v>85</v>
      </c>
      <c r="C6302" s="26" t="s">
        <v>5272</v>
      </c>
      <c r="D6302" s="8">
        <v>10000</v>
      </c>
      <c r="E6302" s="8"/>
      <c r="F6302" s="92">
        <f t="shared" si="115"/>
        <v>252256</v>
      </c>
    </row>
    <row r="6303" spans="1:6" x14ac:dyDescent="0.25">
      <c r="A6303" s="204">
        <v>43600</v>
      </c>
      <c r="B6303" s="26" t="s">
        <v>4776</v>
      </c>
      <c r="C6303" s="26" t="s">
        <v>5273</v>
      </c>
      <c r="D6303" s="8">
        <v>51400</v>
      </c>
      <c r="E6303" s="8"/>
      <c r="F6303" s="92">
        <f t="shared" si="115"/>
        <v>200856</v>
      </c>
    </row>
    <row r="6304" spans="1:6" x14ac:dyDescent="0.25">
      <c r="A6304" s="204">
        <v>43600</v>
      </c>
      <c r="B6304" s="26" t="s">
        <v>4776</v>
      </c>
      <c r="C6304" s="26" t="s">
        <v>4323</v>
      </c>
      <c r="D6304" s="8">
        <v>10000</v>
      </c>
      <c r="E6304" s="8"/>
      <c r="F6304" s="92">
        <f t="shared" si="115"/>
        <v>190856</v>
      </c>
    </row>
    <row r="6305" spans="1:6" x14ac:dyDescent="0.25">
      <c r="A6305" s="204">
        <v>43600</v>
      </c>
      <c r="B6305" s="26" t="s">
        <v>5274</v>
      </c>
      <c r="C6305" s="26" t="s">
        <v>5275</v>
      </c>
      <c r="D6305" s="8">
        <v>5000</v>
      </c>
      <c r="E6305" s="8"/>
      <c r="F6305" s="92">
        <f t="shared" si="115"/>
        <v>185856</v>
      </c>
    </row>
    <row r="6306" spans="1:6" x14ac:dyDescent="0.25">
      <c r="A6306" s="204">
        <v>43600</v>
      </c>
      <c r="B6306" s="26" t="s">
        <v>5274</v>
      </c>
      <c r="C6306" s="26" t="s">
        <v>5276</v>
      </c>
      <c r="D6306" s="8">
        <v>5000</v>
      </c>
      <c r="E6306" s="8"/>
      <c r="F6306" s="92">
        <f t="shared" si="115"/>
        <v>180856</v>
      </c>
    </row>
    <row r="6307" spans="1:6" x14ac:dyDescent="0.25">
      <c r="A6307" s="204">
        <v>43600</v>
      </c>
      <c r="B6307" s="26" t="s">
        <v>4778</v>
      </c>
      <c r="C6307" s="26" t="s">
        <v>4877</v>
      </c>
      <c r="D6307" s="8">
        <v>10000</v>
      </c>
      <c r="E6307" s="8"/>
      <c r="F6307" s="92">
        <f t="shared" si="115"/>
        <v>170856</v>
      </c>
    </row>
    <row r="6308" spans="1:6" x14ac:dyDescent="0.25">
      <c r="A6308" s="204">
        <v>43600</v>
      </c>
      <c r="B6308" s="26" t="s">
        <v>2266</v>
      </c>
      <c r="C6308" s="26" t="s">
        <v>5277</v>
      </c>
      <c r="D6308" s="8">
        <v>300</v>
      </c>
      <c r="E6308" s="8"/>
      <c r="F6308" s="92">
        <f t="shared" si="115"/>
        <v>170556</v>
      </c>
    </row>
    <row r="6309" spans="1:6" x14ac:dyDescent="0.25">
      <c r="A6309" s="204">
        <v>43600</v>
      </c>
      <c r="B6309" s="29" t="s">
        <v>0</v>
      </c>
      <c r="C6309" s="29" t="s">
        <v>2016</v>
      </c>
      <c r="D6309" s="8">
        <v>100</v>
      </c>
      <c r="E6309" s="8"/>
      <c r="F6309" s="92">
        <f t="shared" si="115"/>
        <v>170456</v>
      </c>
    </row>
    <row r="6310" spans="1:6" x14ac:dyDescent="0.25">
      <c r="A6310" s="204">
        <v>43601</v>
      </c>
      <c r="B6310" s="26" t="s">
        <v>694</v>
      </c>
      <c r="C6310" s="26" t="s">
        <v>5278</v>
      </c>
      <c r="D6310" s="8">
        <v>5000</v>
      </c>
      <c r="E6310" s="8"/>
      <c r="F6310" s="92">
        <f t="shared" si="115"/>
        <v>165456</v>
      </c>
    </row>
    <row r="6311" spans="1:6" x14ac:dyDescent="0.25">
      <c r="A6311" s="204">
        <v>43601</v>
      </c>
      <c r="B6311" s="26" t="s">
        <v>58</v>
      </c>
      <c r="C6311" s="26" t="s">
        <v>4323</v>
      </c>
      <c r="D6311" s="8">
        <v>100</v>
      </c>
      <c r="E6311" s="8"/>
      <c r="F6311" s="92">
        <f t="shared" si="115"/>
        <v>165356</v>
      </c>
    </row>
    <row r="6312" spans="1:6" x14ac:dyDescent="0.25">
      <c r="A6312" s="204">
        <v>43601</v>
      </c>
      <c r="B6312" s="26" t="s">
        <v>99</v>
      </c>
      <c r="C6312" s="26" t="s">
        <v>5279</v>
      </c>
      <c r="D6312" s="8">
        <v>39000</v>
      </c>
      <c r="E6312" s="8"/>
      <c r="F6312" s="92">
        <f t="shared" si="115"/>
        <v>126356</v>
      </c>
    </row>
    <row r="6313" spans="1:6" x14ac:dyDescent="0.25">
      <c r="A6313" s="204">
        <v>43601</v>
      </c>
      <c r="B6313" s="26" t="s">
        <v>99</v>
      </c>
      <c r="C6313" s="26" t="s">
        <v>5280</v>
      </c>
      <c r="D6313" s="8">
        <v>16580</v>
      </c>
      <c r="E6313" s="8"/>
      <c r="F6313" s="92">
        <f t="shared" si="115"/>
        <v>109776</v>
      </c>
    </row>
    <row r="6314" spans="1:6" x14ac:dyDescent="0.25">
      <c r="A6314" s="204">
        <v>43601</v>
      </c>
      <c r="B6314" s="26" t="s">
        <v>5274</v>
      </c>
      <c r="C6314" s="26" t="s">
        <v>5281</v>
      </c>
      <c r="D6314" s="8">
        <v>5000</v>
      </c>
      <c r="E6314" s="8"/>
      <c r="F6314" s="92">
        <f t="shared" si="115"/>
        <v>104776</v>
      </c>
    </row>
    <row r="6315" spans="1:6" x14ac:dyDescent="0.25">
      <c r="A6315" s="204">
        <v>43601</v>
      </c>
      <c r="B6315" s="26" t="s">
        <v>5282</v>
      </c>
      <c r="C6315" s="26" t="s">
        <v>5283</v>
      </c>
      <c r="D6315" s="8">
        <v>5000</v>
      </c>
      <c r="E6315" s="8"/>
      <c r="F6315" s="92">
        <f t="shared" si="115"/>
        <v>99776</v>
      </c>
    </row>
    <row r="6316" spans="1:6" x14ac:dyDescent="0.25">
      <c r="A6316" s="204">
        <v>43601</v>
      </c>
      <c r="B6316" s="26" t="s">
        <v>85</v>
      </c>
      <c r="C6316" s="26" t="s">
        <v>5285</v>
      </c>
      <c r="D6316" s="8">
        <v>10000</v>
      </c>
      <c r="E6316" s="8"/>
      <c r="F6316" s="92">
        <f t="shared" si="115"/>
        <v>89776</v>
      </c>
    </row>
    <row r="6317" spans="1:6" x14ac:dyDescent="0.25">
      <c r="A6317" s="204">
        <v>43601</v>
      </c>
      <c r="B6317" s="26" t="s">
        <v>85</v>
      </c>
      <c r="C6317" s="26" t="s">
        <v>5286</v>
      </c>
      <c r="D6317" s="8">
        <v>5000</v>
      </c>
      <c r="E6317" s="8"/>
      <c r="F6317" s="92">
        <f t="shared" si="115"/>
        <v>84776</v>
      </c>
    </row>
    <row r="6318" spans="1:6" x14ac:dyDescent="0.25">
      <c r="A6318" s="204">
        <v>43601</v>
      </c>
      <c r="B6318" s="26" t="s">
        <v>4116</v>
      </c>
      <c r="C6318" s="26" t="s">
        <v>2016</v>
      </c>
      <c r="D6318" s="8">
        <v>100</v>
      </c>
      <c r="E6318" s="8"/>
      <c r="F6318" s="92">
        <f t="shared" si="115"/>
        <v>84676</v>
      </c>
    </row>
    <row r="6319" spans="1:6" x14ac:dyDescent="0.25">
      <c r="A6319" s="204">
        <v>43601</v>
      </c>
      <c r="B6319" s="26" t="s">
        <v>1619</v>
      </c>
      <c r="C6319" s="26" t="s">
        <v>2438</v>
      </c>
      <c r="D6319" s="8">
        <v>550</v>
      </c>
      <c r="E6319" s="8"/>
      <c r="F6319" s="92">
        <f t="shared" si="115"/>
        <v>84126</v>
      </c>
    </row>
    <row r="6320" spans="1:6" x14ac:dyDescent="0.25">
      <c r="A6320" s="204">
        <v>43602</v>
      </c>
      <c r="B6320" s="26" t="s">
        <v>5282</v>
      </c>
      <c r="C6320" s="26" t="s">
        <v>5287</v>
      </c>
      <c r="D6320" s="8">
        <v>5000</v>
      </c>
      <c r="E6320" s="8"/>
      <c r="F6320" s="92">
        <f t="shared" si="115"/>
        <v>79126</v>
      </c>
    </row>
    <row r="6321" spans="1:6" x14ac:dyDescent="0.25">
      <c r="A6321" s="204">
        <v>43602</v>
      </c>
      <c r="B6321" s="26" t="s">
        <v>111</v>
      </c>
      <c r="C6321" s="26" t="s">
        <v>3175</v>
      </c>
      <c r="D6321" s="8">
        <v>24200</v>
      </c>
      <c r="E6321" s="8"/>
      <c r="F6321" s="92">
        <f t="shared" si="115"/>
        <v>54926</v>
      </c>
    </row>
    <row r="6322" spans="1:6" x14ac:dyDescent="0.25">
      <c r="A6322" s="204">
        <v>43602</v>
      </c>
      <c r="B6322" s="26" t="s">
        <v>111</v>
      </c>
      <c r="C6322" s="26" t="s">
        <v>3175</v>
      </c>
      <c r="D6322" s="8">
        <v>8200</v>
      </c>
      <c r="E6322" s="8"/>
      <c r="F6322" s="92">
        <f t="shared" si="115"/>
        <v>46726</v>
      </c>
    </row>
    <row r="6323" spans="1:6" x14ac:dyDescent="0.25">
      <c r="A6323" s="204">
        <v>43602</v>
      </c>
      <c r="B6323" s="26" t="s">
        <v>1619</v>
      </c>
      <c r="C6323" s="26" t="s">
        <v>4755</v>
      </c>
      <c r="D6323" s="8">
        <v>1000</v>
      </c>
      <c r="E6323" s="8"/>
      <c r="F6323" s="92">
        <f t="shared" si="115"/>
        <v>45726</v>
      </c>
    </row>
    <row r="6324" spans="1:6" x14ac:dyDescent="0.25">
      <c r="A6324" s="204">
        <v>43603</v>
      </c>
      <c r="B6324" s="26" t="s">
        <v>3829</v>
      </c>
      <c r="C6324" s="26" t="s">
        <v>5288</v>
      </c>
      <c r="D6324" s="8">
        <v>2000</v>
      </c>
      <c r="E6324" s="8"/>
      <c r="F6324" s="92">
        <f t="shared" si="115"/>
        <v>43726</v>
      </c>
    </row>
    <row r="6325" spans="1:6" x14ac:dyDescent="0.25">
      <c r="A6325" s="204">
        <v>43603</v>
      </c>
      <c r="B6325" s="26" t="s">
        <v>11</v>
      </c>
      <c r="C6325" s="26" t="s">
        <v>5289</v>
      </c>
      <c r="D6325" s="8">
        <v>2600</v>
      </c>
      <c r="E6325" s="8"/>
      <c r="F6325" s="92">
        <f t="shared" si="115"/>
        <v>41126</v>
      </c>
    </row>
    <row r="6326" spans="1:6" x14ac:dyDescent="0.25">
      <c r="A6326" s="204">
        <v>43603</v>
      </c>
      <c r="B6326" s="26" t="s">
        <v>5087</v>
      </c>
      <c r="C6326" s="26" t="s">
        <v>2016</v>
      </c>
      <c r="D6326" s="8">
        <v>100</v>
      </c>
      <c r="E6326" s="8"/>
      <c r="F6326" s="92">
        <f t="shared" si="115"/>
        <v>41026</v>
      </c>
    </row>
    <row r="6327" spans="1:6" x14ac:dyDescent="0.25">
      <c r="A6327" s="204">
        <v>43605</v>
      </c>
      <c r="B6327" s="26" t="s">
        <v>26</v>
      </c>
      <c r="C6327" s="26" t="s">
        <v>5291</v>
      </c>
      <c r="D6327" s="8">
        <v>725</v>
      </c>
      <c r="E6327" s="8"/>
      <c r="F6327" s="92">
        <f t="shared" si="115"/>
        <v>40301</v>
      </c>
    </row>
    <row r="6328" spans="1:6" x14ac:dyDescent="0.25">
      <c r="A6328" s="204">
        <v>43605</v>
      </c>
      <c r="B6328" s="26" t="s">
        <v>5201</v>
      </c>
      <c r="C6328" s="26" t="s">
        <v>5292</v>
      </c>
      <c r="D6328" s="8">
        <v>5000</v>
      </c>
      <c r="E6328" s="8"/>
      <c r="F6328" s="92">
        <f t="shared" si="115"/>
        <v>35301</v>
      </c>
    </row>
    <row r="6329" spans="1:6" x14ac:dyDescent="0.25">
      <c r="A6329" s="204">
        <v>43605</v>
      </c>
      <c r="B6329" s="26" t="s">
        <v>85</v>
      </c>
      <c r="C6329" s="26" t="s">
        <v>5293</v>
      </c>
      <c r="D6329" s="8">
        <v>5000</v>
      </c>
      <c r="E6329" s="8"/>
      <c r="F6329" s="92">
        <f t="shared" si="115"/>
        <v>30301</v>
      </c>
    </row>
    <row r="6330" spans="1:6" x14ac:dyDescent="0.25">
      <c r="A6330" s="204">
        <v>43605</v>
      </c>
      <c r="B6330" s="26" t="s">
        <v>85</v>
      </c>
      <c r="C6330" s="26" t="s">
        <v>5260</v>
      </c>
      <c r="D6330" s="8">
        <v>1000</v>
      </c>
      <c r="E6330" s="8"/>
      <c r="F6330" s="92">
        <f t="shared" si="115"/>
        <v>29301</v>
      </c>
    </row>
    <row r="6331" spans="1:6" x14ac:dyDescent="0.25">
      <c r="A6331" s="204">
        <v>43605</v>
      </c>
      <c r="B6331" s="26" t="s">
        <v>85</v>
      </c>
      <c r="C6331" s="29" t="s">
        <v>5295</v>
      </c>
      <c r="D6331" s="8">
        <v>10000</v>
      </c>
      <c r="E6331" s="8"/>
      <c r="F6331" s="92">
        <f t="shared" si="115"/>
        <v>19301</v>
      </c>
    </row>
    <row r="6332" spans="1:6" x14ac:dyDescent="0.25">
      <c r="A6332" s="242">
        <v>43605</v>
      </c>
      <c r="B6332" s="30" t="s">
        <v>14</v>
      </c>
      <c r="C6332" s="30" t="s">
        <v>4357</v>
      </c>
      <c r="D6332" s="11"/>
      <c r="E6332" s="11">
        <v>7000</v>
      </c>
      <c r="F6332" s="324">
        <f t="shared" si="115"/>
        <v>26301</v>
      </c>
    </row>
    <row r="6333" spans="1:6" x14ac:dyDescent="0.25">
      <c r="A6333" s="204">
        <v>43606</v>
      </c>
      <c r="B6333" s="26" t="s">
        <v>26</v>
      </c>
      <c r="C6333" s="26" t="s">
        <v>5297</v>
      </c>
      <c r="D6333" s="8">
        <v>300</v>
      </c>
      <c r="E6333" s="8"/>
      <c r="F6333" s="92">
        <f t="shared" si="115"/>
        <v>26001</v>
      </c>
    </row>
    <row r="6334" spans="1:6" x14ac:dyDescent="0.25">
      <c r="A6334" s="204">
        <v>43606</v>
      </c>
      <c r="B6334" s="26" t="s">
        <v>85</v>
      </c>
      <c r="C6334" s="29" t="s">
        <v>5299</v>
      </c>
      <c r="D6334" s="8">
        <v>5000</v>
      </c>
      <c r="E6334" s="8"/>
      <c r="F6334" s="92">
        <f t="shared" si="115"/>
        <v>21001</v>
      </c>
    </row>
    <row r="6335" spans="1:6" x14ac:dyDescent="0.25">
      <c r="A6335" s="204">
        <v>43606</v>
      </c>
      <c r="B6335" s="26" t="s">
        <v>1840</v>
      </c>
      <c r="C6335" s="26" t="s">
        <v>5298</v>
      </c>
      <c r="D6335" s="8">
        <v>5000</v>
      </c>
      <c r="E6335" s="8"/>
      <c r="F6335" s="92">
        <f t="shared" si="115"/>
        <v>16001</v>
      </c>
    </row>
    <row r="6336" spans="1:6" x14ac:dyDescent="0.25">
      <c r="A6336" s="204">
        <v>43606</v>
      </c>
      <c r="B6336" s="26" t="s">
        <v>85</v>
      </c>
      <c r="C6336" s="29" t="s">
        <v>5302</v>
      </c>
      <c r="D6336" s="8">
        <v>1000</v>
      </c>
      <c r="E6336" s="8"/>
      <c r="F6336" s="92">
        <f t="shared" ref="F6336:F6351" si="116">F6335-D6336+E6336</f>
        <v>15001</v>
      </c>
    </row>
    <row r="6337" spans="1:6" x14ac:dyDescent="0.25">
      <c r="A6337" s="204">
        <v>43606</v>
      </c>
      <c r="B6337" s="174" t="s">
        <v>2963</v>
      </c>
      <c r="C6337" s="174"/>
      <c r="D6337" s="71"/>
      <c r="E6337" s="58">
        <v>100000</v>
      </c>
      <c r="F6337" s="92">
        <f t="shared" si="116"/>
        <v>115001</v>
      </c>
    </row>
    <row r="6338" spans="1:6" x14ac:dyDescent="0.25">
      <c r="A6338" s="204">
        <v>43606</v>
      </c>
      <c r="B6338" s="29" t="s">
        <v>4875</v>
      </c>
      <c r="C6338" s="29" t="s">
        <v>5304</v>
      </c>
      <c r="D6338" s="8">
        <v>30000</v>
      </c>
      <c r="E6338" s="8"/>
      <c r="F6338" s="92">
        <f t="shared" si="116"/>
        <v>85001</v>
      </c>
    </row>
    <row r="6339" spans="1:6" x14ac:dyDescent="0.25">
      <c r="A6339" s="204">
        <v>43606</v>
      </c>
      <c r="B6339" s="26" t="s">
        <v>85</v>
      </c>
      <c r="C6339" s="29" t="s">
        <v>5305</v>
      </c>
      <c r="D6339" s="8">
        <v>20000</v>
      </c>
      <c r="E6339" s="8"/>
      <c r="F6339" s="92">
        <f t="shared" si="116"/>
        <v>65001</v>
      </c>
    </row>
    <row r="6340" spans="1:6" x14ac:dyDescent="0.25">
      <c r="A6340" s="204">
        <v>43607</v>
      </c>
      <c r="B6340" s="26" t="s">
        <v>5201</v>
      </c>
      <c r="C6340" s="26" t="s">
        <v>5307</v>
      </c>
      <c r="D6340" s="8">
        <v>20000</v>
      </c>
      <c r="E6340" s="8"/>
      <c r="F6340" s="92">
        <f t="shared" si="116"/>
        <v>45001</v>
      </c>
    </row>
    <row r="6341" spans="1:6" x14ac:dyDescent="0.25">
      <c r="A6341" s="204">
        <v>43607</v>
      </c>
      <c r="B6341" s="26" t="s">
        <v>2349</v>
      </c>
      <c r="C6341" s="26" t="s">
        <v>5308</v>
      </c>
      <c r="D6341" s="8">
        <v>2000</v>
      </c>
      <c r="E6341" s="8"/>
      <c r="F6341" s="92">
        <f t="shared" si="116"/>
        <v>43001</v>
      </c>
    </row>
    <row r="6342" spans="1:6" x14ac:dyDescent="0.25">
      <c r="A6342" s="204">
        <v>43607</v>
      </c>
      <c r="B6342" s="26" t="s">
        <v>1619</v>
      </c>
      <c r="C6342" s="26" t="s">
        <v>5309</v>
      </c>
      <c r="D6342" s="8">
        <v>3000</v>
      </c>
      <c r="E6342" s="8"/>
      <c r="F6342" s="92">
        <f t="shared" si="116"/>
        <v>40001</v>
      </c>
    </row>
    <row r="6343" spans="1:6" x14ac:dyDescent="0.25">
      <c r="A6343" s="204">
        <v>43607</v>
      </c>
      <c r="B6343" s="26" t="s">
        <v>5282</v>
      </c>
      <c r="C6343" s="26" t="s">
        <v>5310</v>
      </c>
      <c r="D6343" s="8">
        <v>20000</v>
      </c>
      <c r="E6343" s="8"/>
      <c r="F6343" s="92">
        <f t="shared" si="116"/>
        <v>20001</v>
      </c>
    </row>
    <row r="6344" spans="1:6" x14ac:dyDescent="0.25">
      <c r="A6344" s="204">
        <v>43607</v>
      </c>
      <c r="B6344" s="26" t="s">
        <v>581</v>
      </c>
      <c r="C6344" s="26" t="s">
        <v>5314</v>
      </c>
      <c r="D6344" s="8">
        <v>2500</v>
      </c>
      <c r="E6344" s="8"/>
      <c r="F6344" s="92">
        <f t="shared" si="116"/>
        <v>17501</v>
      </c>
    </row>
    <row r="6345" spans="1:6" x14ac:dyDescent="0.25">
      <c r="A6345" s="204">
        <v>43607</v>
      </c>
      <c r="B6345" s="26" t="s">
        <v>5316</v>
      </c>
      <c r="C6345" s="26" t="s">
        <v>5317</v>
      </c>
      <c r="D6345" s="8">
        <v>70</v>
      </c>
      <c r="E6345" s="8"/>
      <c r="F6345" s="92">
        <f t="shared" si="116"/>
        <v>17431</v>
      </c>
    </row>
    <row r="6346" spans="1:6" x14ac:dyDescent="0.25">
      <c r="A6346" s="204">
        <v>43608</v>
      </c>
      <c r="B6346" s="26" t="s">
        <v>58</v>
      </c>
      <c r="C6346" s="26" t="s">
        <v>3146</v>
      </c>
      <c r="D6346" s="8">
        <v>8000</v>
      </c>
      <c r="E6346" s="8"/>
      <c r="F6346" s="92">
        <f t="shared" si="116"/>
        <v>9431</v>
      </c>
    </row>
    <row r="6347" spans="1:6" x14ac:dyDescent="0.25">
      <c r="A6347" s="204">
        <v>43608</v>
      </c>
      <c r="B6347" s="26" t="s">
        <v>85</v>
      </c>
      <c r="C6347" s="26" t="s">
        <v>5319</v>
      </c>
      <c r="D6347" s="8">
        <v>3000</v>
      </c>
      <c r="E6347" s="8"/>
      <c r="F6347" s="92">
        <f t="shared" si="116"/>
        <v>6431</v>
      </c>
    </row>
    <row r="6348" spans="1:6" x14ac:dyDescent="0.25">
      <c r="A6348" s="204">
        <v>43609</v>
      </c>
      <c r="B6348" s="26" t="s">
        <v>542</v>
      </c>
      <c r="C6348" s="26" t="s">
        <v>5320</v>
      </c>
      <c r="D6348" s="8">
        <v>330</v>
      </c>
      <c r="E6348" s="8"/>
      <c r="F6348" s="92">
        <f t="shared" si="116"/>
        <v>6101</v>
      </c>
    </row>
    <row r="6349" spans="1:6" ht="30" x14ac:dyDescent="0.25">
      <c r="A6349" s="204">
        <v>43609</v>
      </c>
      <c r="B6349" s="26" t="s">
        <v>4116</v>
      </c>
      <c r="C6349" s="87" t="s">
        <v>5321</v>
      </c>
      <c r="D6349" s="8">
        <v>100</v>
      </c>
      <c r="E6349" s="8"/>
      <c r="F6349" s="92">
        <f t="shared" si="116"/>
        <v>6001</v>
      </c>
    </row>
    <row r="6350" spans="1:6" x14ac:dyDescent="0.25">
      <c r="A6350" s="204">
        <v>43609</v>
      </c>
      <c r="B6350" s="26" t="s">
        <v>3563</v>
      </c>
      <c r="C6350" s="26" t="s">
        <v>5135</v>
      </c>
      <c r="D6350" s="8">
        <v>2000</v>
      </c>
      <c r="E6350" s="8"/>
      <c r="F6350" s="92">
        <f t="shared" si="116"/>
        <v>4001</v>
      </c>
    </row>
    <row r="6351" spans="1:6" x14ac:dyDescent="0.25">
      <c r="A6351" s="204">
        <v>43610</v>
      </c>
      <c r="B6351" s="174" t="s">
        <v>2963</v>
      </c>
      <c r="C6351" s="174"/>
      <c r="D6351" s="71"/>
      <c r="E6351" s="58">
        <v>100000</v>
      </c>
      <c r="F6351" s="92">
        <f t="shared" si="116"/>
        <v>104001</v>
      </c>
    </row>
    <row r="6352" spans="1:6" x14ac:dyDescent="0.25">
      <c r="A6352" s="204">
        <v>43610</v>
      </c>
      <c r="B6352" s="26" t="s">
        <v>0</v>
      </c>
      <c r="C6352" s="26" t="s">
        <v>5323</v>
      </c>
      <c r="D6352" s="8">
        <v>30000</v>
      </c>
      <c r="E6352" s="8"/>
      <c r="F6352" s="92">
        <f t="shared" ref="F6352:F6386" si="117">F6351-D6352+E6352</f>
        <v>74001</v>
      </c>
    </row>
    <row r="6353" spans="1:7" x14ac:dyDescent="0.25">
      <c r="A6353" s="204">
        <v>43610</v>
      </c>
      <c r="B6353" s="26" t="s">
        <v>19</v>
      </c>
      <c r="C6353" s="26" t="s">
        <v>5324</v>
      </c>
      <c r="D6353" s="8">
        <v>2500</v>
      </c>
      <c r="E6353" s="8"/>
      <c r="F6353" s="92">
        <f t="shared" si="117"/>
        <v>71501</v>
      </c>
    </row>
    <row r="6354" spans="1:7" x14ac:dyDescent="0.25">
      <c r="A6354" s="204">
        <v>43610</v>
      </c>
      <c r="B6354" s="26" t="s">
        <v>85</v>
      </c>
      <c r="C6354" s="26" t="s">
        <v>5325</v>
      </c>
      <c r="D6354" s="8">
        <v>3000</v>
      </c>
      <c r="E6354" s="8"/>
      <c r="F6354" s="92">
        <f t="shared" si="117"/>
        <v>68501</v>
      </c>
    </row>
    <row r="6355" spans="1:7" x14ac:dyDescent="0.25">
      <c r="A6355" s="204">
        <v>43610</v>
      </c>
      <c r="B6355" s="26" t="s">
        <v>2998</v>
      </c>
      <c r="C6355" s="26" t="s">
        <v>5328</v>
      </c>
      <c r="D6355" s="8">
        <v>13850</v>
      </c>
      <c r="E6355" s="8"/>
      <c r="F6355" s="92">
        <f t="shared" si="117"/>
        <v>54651</v>
      </c>
    </row>
    <row r="6356" spans="1:7" x14ac:dyDescent="0.25">
      <c r="A6356" s="204">
        <v>43610</v>
      </c>
      <c r="B6356" s="26" t="s">
        <v>85</v>
      </c>
      <c r="C6356" s="26" t="s">
        <v>5326</v>
      </c>
      <c r="D6356" s="8">
        <v>10000</v>
      </c>
      <c r="E6356" s="8"/>
      <c r="F6356" s="92">
        <f t="shared" si="117"/>
        <v>44651</v>
      </c>
    </row>
    <row r="6357" spans="1:7" x14ac:dyDescent="0.25">
      <c r="A6357" s="204">
        <v>43612</v>
      </c>
      <c r="B6357" s="26" t="s">
        <v>17</v>
      </c>
      <c r="C6357" s="26" t="s">
        <v>5327</v>
      </c>
      <c r="D6357" s="8">
        <v>2000</v>
      </c>
      <c r="E6357" s="8"/>
      <c r="F6357" s="92">
        <f t="shared" si="117"/>
        <v>42651</v>
      </c>
    </row>
    <row r="6358" spans="1:7" x14ac:dyDescent="0.25">
      <c r="A6358" s="204">
        <v>43612</v>
      </c>
      <c r="B6358" s="26" t="s">
        <v>14</v>
      </c>
      <c r="C6358" s="26" t="s">
        <v>295</v>
      </c>
      <c r="D6358" s="8">
        <v>10000</v>
      </c>
      <c r="E6358" s="8"/>
      <c r="F6358" s="92">
        <f t="shared" si="117"/>
        <v>32651</v>
      </c>
    </row>
    <row r="6359" spans="1:7" x14ac:dyDescent="0.25">
      <c r="A6359" s="204">
        <v>43612</v>
      </c>
      <c r="B6359" s="26" t="s">
        <v>3563</v>
      </c>
      <c r="C6359" s="26" t="s">
        <v>5329</v>
      </c>
      <c r="D6359" s="8">
        <v>650</v>
      </c>
      <c r="E6359" s="8"/>
      <c r="F6359" s="92">
        <f t="shared" si="117"/>
        <v>32001</v>
      </c>
    </row>
    <row r="6360" spans="1:7" x14ac:dyDescent="0.25">
      <c r="A6360" s="204">
        <v>43612</v>
      </c>
      <c r="B6360" s="26" t="s">
        <v>85</v>
      </c>
      <c r="C6360" s="26" t="s">
        <v>5330</v>
      </c>
      <c r="D6360" s="8">
        <v>1000</v>
      </c>
      <c r="E6360" s="8"/>
      <c r="F6360" s="92">
        <f t="shared" si="117"/>
        <v>31001</v>
      </c>
    </row>
    <row r="6361" spans="1:7" x14ac:dyDescent="0.25">
      <c r="A6361" s="204">
        <v>43612</v>
      </c>
      <c r="B6361" s="26" t="s">
        <v>1840</v>
      </c>
      <c r="C6361" s="26" t="s">
        <v>2016</v>
      </c>
      <c r="D6361" s="8">
        <v>100</v>
      </c>
      <c r="E6361" s="8"/>
      <c r="F6361" s="92">
        <f t="shared" si="117"/>
        <v>30901</v>
      </c>
    </row>
    <row r="6362" spans="1:7" x14ac:dyDescent="0.25">
      <c r="A6362" s="204">
        <v>43612</v>
      </c>
      <c r="B6362" s="29" t="s">
        <v>58</v>
      </c>
      <c r="C6362" s="29" t="s">
        <v>5324</v>
      </c>
      <c r="D6362" s="8">
        <v>730</v>
      </c>
      <c r="E6362" s="8"/>
      <c r="F6362" s="92">
        <f t="shared" si="117"/>
        <v>30171</v>
      </c>
    </row>
    <row r="6363" spans="1:7" x14ac:dyDescent="0.25">
      <c r="A6363" s="204">
        <v>43612</v>
      </c>
      <c r="B6363" s="29" t="s">
        <v>85</v>
      </c>
      <c r="C6363" s="29" t="s">
        <v>5331</v>
      </c>
      <c r="D6363" s="8">
        <v>25000</v>
      </c>
      <c r="E6363" s="8"/>
      <c r="F6363" s="92">
        <f t="shared" si="117"/>
        <v>5171</v>
      </c>
    </row>
    <row r="6364" spans="1:7" x14ac:dyDescent="0.25">
      <c r="A6364" s="204">
        <v>43612</v>
      </c>
      <c r="B6364" s="174" t="s">
        <v>2963</v>
      </c>
      <c r="C6364" s="174"/>
      <c r="D6364" s="71"/>
      <c r="E6364" s="58">
        <v>100000</v>
      </c>
      <c r="F6364" s="92">
        <f t="shared" si="117"/>
        <v>105171</v>
      </c>
    </row>
    <row r="6365" spans="1:7" x14ac:dyDescent="0.25">
      <c r="A6365" s="204">
        <v>43612</v>
      </c>
      <c r="B6365" s="29" t="s">
        <v>85</v>
      </c>
      <c r="C6365" s="29" t="s">
        <v>5332</v>
      </c>
      <c r="D6365" s="8">
        <v>10000</v>
      </c>
      <c r="E6365" s="8"/>
      <c r="F6365" s="92">
        <f t="shared" si="117"/>
        <v>95171</v>
      </c>
    </row>
    <row r="6366" spans="1:7" x14ac:dyDescent="0.25">
      <c r="A6366" s="204">
        <v>43612</v>
      </c>
      <c r="B6366" s="29" t="s">
        <v>4776</v>
      </c>
      <c r="C6366" s="29" t="s">
        <v>5333</v>
      </c>
      <c r="D6366" s="8">
        <v>28400</v>
      </c>
      <c r="E6366" s="8"/>
      <c r="F6366" s="92">
        <f t="shared" si="117"/>
        <v>66771</v>
      </c>
    </row>
    <row r="6367" spans="1:7" x14ac:dyDescent="0.25">
      <c r="A6367" s="204">
        <v>43612</v>
      </c>
      <c r="B6367" s="26" t="s">
        <v>4778</v>
      </c>
      <c r="C6367" s="26" t="s">
        <v>5334</v>
      </c>
      <c r="D6367" s="8">
        <v>20300</v>
      </c>
      <c r="E6367" s="8"/>
      <c r="F6367" s="92">
        <f t="shared" si="117"/>
        <v>46471</v>
      </c>
    </row>
    <row r="6368" spans="1:7" x14ac:dyDescent="0.25">
      <c r="A6368" s="243">
        <v>43612</v>
      </c>
      <c r="B6368" s="137" t="s">
        <v>101</v>
      </c>
      <c r="C6368" s="137" t="s">
        <v>5376</v>
      </c>
      <c r="D6368" s="139">
        <v>30000</v>
      </c>
      <c r="E6368" s="139"/>
      <c r="F6368" s="325">
        <f t="shared" si="117"/>
        <v>16471</v>
      </c>
      <c r="G6368" s="25"/>
    </row>
    <row r="6369" spans="1:7" x14ac:dyDescent="0.25">
      <c r="A6369" s="204">
        <v>43613</v>
      </c>
      <c r="B6369" s="26" t="s">
        <v>19</v>
      </c>
      <c r="C6369" s="26" t="s">
        <v>5381</v>
      </c>
      <c r="D6369" s="8">
        <v>10000</v>
      </c>
      <c r="E6369" s="8"/>
      <c r="F6369" s="92">
        <f t="shared" si="117"/>
        <v>6471</v>
      </c>
    </row>
    <row r="6370" spans="1:7" x14ac:dyDescent="0.25">
      <c r="A6370" s="204">
        <v>43613</v>
      </c>
      <c r="B6370" s="26" t="s">
        <v>26</v>
      </c>
      <c r="C6370" s="26" t="s">
        <v>5335</v>
      </c>
      <c r="D6370" s="8">
        <v>300</v>
      </c>
      <c r="E6370" s="8"/>
      <c r="F6370" s="92">
        <f t="shared" si="117"/>
        <v>6171</v>
      </c>
    </row>
    <row r="6371" spans="1:7" x14ac:dyDescent="0.25">
      <c r="A6371" s="204">
        <v>43613</v>
      </c>
      <c r="B6371" s="26" t="s">
        <v>17</v>
      </c>
      <c r="C6371" s="26" t="s">
        <v>295</v>
      </c>
      <c r="D6371" s="8">
        <v>1000</v>
      </c>
      <c r="E6371" s="8"/>
      <c r="F6371" s="92">
        <f t="shared" si="117"/>
        <v>5171</v>
      </c>
    </row>
    <row r="6372" spans="1:7" x14ac:dyDescent="0.25">
      <c r="A6372" s="204">
        <v>43613</v>
      </c>
      <c r="B6372" s="174" t="s">
        <v>2963</v>
      </c>
      <c r="C6372" s="174"/>
      <c r="D6372" s="71"/>
      <c r="E6372" s="58">
        <v>100000</v>
      </c>
      <c r="F6372" s="92">
        <f t="shared" si="117"/>
        <v>105171</v>
      </c>
    </row>
    <row r="6373" spans="1:7" x14ac:dyDescent="0.25">
      <c r="A6373" s="204">
        <v>43613</v>
      </c>
      <c r="B6373" s="26" t="s">
        <v>14</v>
      </c>
      <c r="C6373" s="26" t="s">
        <v>295</v>
      </c>
      <c r="D6373" s="8">
        <v>3000</v>
      </c>
      <c r="E6373" s="8"/>
      <c r="F6373" s="92">
        <f t="shared" si="117"/>
        <v>102171</v>
      </c>
    </row>
    <row r="6374" spans="1:7" x14ac:dyDescent="0.25">
      <c r="A6374" s="204">
        <v>43614</v>
      </c>
      <c r="B6374" s="26" t="s">
        <v>17</v>
      </c>
      <c r="C6374" s="26" t="s">
        <v>295</v>
      </c>
      <c r="D6374" s="8">
        <v>2000</v>
      </c>
      <c r="E6374" s="8"/>
      <c r="F6374" s="92">
        <f t="shared" si="117"/>
        <v>100171</v>
      </c>
    </row>
    <row r="6375" spans="1:7" x14ac:dyDescent="0.25">
      <c r="A6375" s="204">
        <v>43614</v>
      </c>
      <c r="B6375" s="26" t="s">
        <v>5395</v>
      </c>
      <c r="C6375" s="26"/>
      <c r="D6375" s="8"/>
      <c r="E6375" s="8">
        <v>100000</v>
      </c>
      <c r="F6375" s="92">
        <f t="shared" si="117"/>
        <v>200171</v>
      </c>
    </row>
    <row r="6376" spans="1:7" x14ac:dyDescent="0.25">
      <c r="A6376" s="204">
        <v>43615</v>
      </c>
      <c r="B6376" s="26" t="s">
        <v>17</v>
      </c>
      <c r="C6376" s="26" t="s">
        <v>295</v>
      </c>
      <c r="D6376" s="8">
        <v>2000</v>
      </c>
      <c r="E6376" s="8"/>
      <c r="F6376" s="92">
        <f t="shared" si="117"/>
        <v>198171</v>
      </c>
    </row>
    <row r="6377" spans="1:7" x14ac:dyDescent="0.25">
      <c r="A6377" s="204">
        <v>43615</v>
      </c>
      <c r="B6377" s="26" t="s">
        <v>14</v>
      </c>
      <c r="C6377" s="26" t="s">
        <v>295</v>
      </c>
      <c r="D6377" s="8">
        <v>10000</v>
      </c>
      <c r="E6377" s="8"/>
      <c r="F6377" s="92">
        <f t="shared" si="117"/>
        <v>188171</v>
      </c>
    </row>
    <row r="6378" spans="1:7" x14ac:dyDescent="0.25">
      <c r="A6378" s="204">
        <v>43615</v>
      </c>
      <c r="B6378" s="29" t="s">
        <v>111</v>
      </c>
      <c r="C6378" s="29" t="s">
        <v>5342</v>
      </c>
      <c r="D6378" s="8">
        <v>17000</v>
      </c>
      <c r="E6378" s="8"/>
      <c r="F6378" s="92">
        <f t="shared" si="117"/>
        <v>171171</v>
      </c>
    </row>
    <row r="6379" spans="1:7" x14ac:dyDescent="0.25">
      <c r="A6379" s="204">
        <v>43617</v>
      </c>
      <c r="B6379" s="26" t="s">
        <v>26</v>
      </c>
      <c r="C6379" s="26" t="s">
        <v>5344</v>
      </c>
      <c r="D6379" s="8">
        <v>190</v>
      </c>
      <c r="E6379" s="8"/>
      <c r="F6379" s="92">
        <f t="shared" si="117"/>
        <v>170981</v>
      </c>
      <c r="G6379" s="25"/>
    </row>
    <row r="6380" spans="1:7" x14ac:dyDescent="0.25">
      <c r="A6380" s="204">
        <v>43617</v>
      </c>
      <c r="B6380" s="26" t="s">
        <v>26</v>
      </c>
      <c r="C6380" s="26" t="s">
        <v>5345</v>
      </c>
      <c r="D6380" s="8">
        <v>180</v>
      </c>
      <c r="E6380" s="8"/>
      <c r="F6380" s="92">
        <f t="shared" si="117"/>
        <v>170801</v>
      </c>
    </row>
    <row r="6381" spans="1:7" x14ac:dyDescent="0.25">
      <c r="A6381" s="204">
        <v>43617</v>
      </c>
      <c r="B6381" s="29" t="s">
        <v>5346</v>
      </c>
      <c r="C6381" s="29" t="s">
        <v>2016</v>
      </c>
      <c r="D6381" s="8">
        <v>100</v>
      </c>
      <c r="E6381" s="8"/>
      <c r="F6381" s="92">
        <f t="shared" si="117"/>
        <v>170701</v>
      </c>
    </row>
    <row r="6382" spans="1:7" x14ac:dyDescent="0.25">
      <c r="A6382" s="204">
        <v>43617</v>
      </c>
      <c r="B6382" s="29" t="s">
        <v>5347</v>
      </c>
      <c r="C6382" s="26" t="s">
        <v>5348</v>
      </c>
      <c r="D6382" s="8">
        <v>60450</v>
      </c>
      <c r="E6382" s="8"/>
      <c r="F6382" s="92">
        <f t="shared" si="117"/>
        <v>110251</v>
      </c>
    </row>
    <row r="6383" spans="1:7" x14ac:dyDescent="0.25">
      <c r="A6383" s="204">
        <v>43619</v>
      </c>
      <c r="B6383" s="29" t="s">
        <v>1461</v>
      </c>
      <c r="C6383" s="29" t="s">
        <v>651</v>
      </c>
      <c r="D6383" s="8">
        <v>1300</v>
      </c>
      <c r="E6383" s="8"/>
      <c r="F6383" s="92">
        <f t="shared" si="117"/>
        <v>108951</v>
      </c>
    </row>
    <row r="6384" spans="1:7" x14ac:dyDescent="0.25">
      <c r="A6384" s="204">
        <v>43619</v>
      </c>
      <c r="B6384" s="29" t="s">
        <v>17</v>
      </c>
      <c r="C6384" s="29" t="s">
        <v>295</v>
      </c>
      <c r="D6384" s="8">
        <v>3500</v>
      </c>
      <c r="E6384" s="8"/>
      <c r="F6384" s="92">
        <f t="shared" si="117"/>
        <v>105451</v>
      </c>
    </row>
    <row r="6385" spans="1:6" x14ac:dyDescent="0.25">
      <c r="A6385" s="204">
        <v>43619</v>
      </c>
      <c r="B6385" s="29" t="s">
        <v>14</v>
      </c>
      <c r="C6385" s="29" t="s">
        <v>5349</v>
      </c>
      <c r="D6385" s="8">
        <v>2800</v>
      </c>
      <c r="E6385" s="8"/>
      <c r="F6385" s="92">
        <f t="shared" si="117"/>
        <v>102651</v>
      </c>
    </row>
    <row r="6386" spans="1:6" x14ac:dyDescent="0.25">
      <c r="A6386" s="204">
        <v>43619</v>
      </c>
      <c r="B6386" s="29" t="s">
        <v>14</v>
      </c>
      <c r="C6386" s="26" t="s">
        <v>641</v>
      </c>
      <c r="D6386" s="8">
        <v>1000</v>
      </c>
      <c r="E6386" s="8"/>
      <c r="F6386" s="92">
        <f t="shared" si="117"/>
        <v>101651</v>
      </c>
    </row>
    <row r="6387" spans="1:6" x14ac:dyDescent="0.25">
      <c r="A6387" s="204">
        <v>43619</v>
      </c>
      <c r="B6387" s="29" t="s">
        <v>85</v>
      </c>
      <c r="C6387" s="29" t="s">
        <v>5351</v>
      </c>
      <c r="D6387" s="8">
        <v>5500</v>
      </c>
      <c r="E6387" s="8"/>
      <c r="F6387" s="92">
        <f t="shared" ref="F6387:F6403" si="118">F6386-D6387+E6387</f>
        <v>96151</v>
      </c>
    </row>
    <row r="6388" spans="1:6" x14ac:dyDescent="0.25">
      <c r="A6388" s="204">
        <v>43619</v>
      </c>
      <c r="B6388" s="29" t="s">
        <v>85</v>
      </c>
      <c r="C6388" s="29" t="s">
        <v>5352</v>
      </c>
      <c r="D6388" s="8">
        <v>5000</v>
      </c>
      <c r="E6388" s="8"/>
      <c r="F6388" s="92">
        <f t="shared" si="118"/>
        <v>91151</v>
      </c>
    </row>
    <row r="6389" spans="1:6" x14ac:dyDescent="0.25">
      <c r="A6389" s="204">
        <v>43619</v>
      </c>
      <c r="B6389" s="29" t="s">
        <v>47</v>
      </c>
      <c r="C6389" s="29" t="s">
        <v>5354</v>
      </c>
      <c r="D6389" s="8">
        <v>90000</v>
      </c>
      <c r="E6389" s="8"/>
      <c r="F6389" s="92">
        <f t="shared" si="118"/>
        <v>1151</v>
      </c>
    </row>
    <row r="6390" spans="1:6" x14ac:dyDescent="0.25">
      <c r="A6390" s="204">
        <v>43619</v>
      </c>
      <c r="B6390" s="174" t="s">
        <v>5357</v>
      </c>
      <c r="C6390" s="174"/>
      <c r="D6390" s="71"/>
      <c r="E6390" s="58">
        <v>7090</v>
      </c>
      <c r="F6390" s="92">
        <f t="shared" si="118"/>
        <v>8241</v>
      </c>
    </row>
    <row r="6391" spans="1:6" x14ac:dyDescent="0.25">
      <c r="A6391" s="204">
        <v>43619</v>
      </c>
      <c r="B6391" s="29" t="s">
        <v>5140</v>
      </c>
      <c r="C6391" s="29" t="s">
        <v>5359</v>
      </c>
      <c r="D6391" s="8">
        <v>2000</v>
      </c>
      <c r="E6391" s="8"/>
      <c r="F6391" s="92">
        <f t="shared" ref="F6391:F6392" si="119">F6390-D6391+E6391</f>
        <v>6241</v>
      </c>
    </row>
    <row r="6392" spans="1:6" x14ac:dyDescent="0.25">
      <c r="A6392" s="204">
        <v>43626</v>
      </c>
      <c r="B6392" s="29" t="s">
        <v>26</v>
      </c>
      <c r="C6392" s="26" t="s">
        <v>5358</v>
      </c>
      <c r="D6392" s="8">
        <f>51+700+380+50+42+120+220+100+247+130</f>
        <v>2040</v>
      </c>
      <c r="E6392" s="8"/>
      <c r="F6392" s="92">
        <f t="shared" si="119"/>
        <v>4201</v>
      </c>
    </row>
    <row r="6393" spans="1:6" x14ac:dyDescent="0.25">
      <c r="A6393" s="204">
        <v>43626</v>
      </c>
      <c r="B6393" s="29" t="s">
        <v>5140</v>
      </c>
      <c r="C6393" s="29" t="s">
        <v>3336</v>
      </c>
      <c r="D6393" s="8">
        <v>4200</v>
      </c>
      <c r="E6393" s="8"/>
      <c r="F6393" s="92">
        <f t="shared" si="118"/>
        <v>1</v>
      </c>
    </row>
    <row r="6394" spans="1:6" ht="30" x14ac:dyDescent="0.25">
      <c r="A6394" s="204">
        <v>43626</v>
      </c>
      <c r="B6394" s="26"/>
      <c r="C6394" s="87" t="s">
        <v>5365</v>
      </c>
      <c r="D6394" s="8"/>
      <c r="E6394" s="142">
        <v>59000</v>
      </c>
      <c r="F6394" s="92">
        <f t="shared" si="118"/>
        <v>59001</v>
      </c>
    </row>
    <row r="6395" spans="1:6" x14ac:dyDescent="0.25">
      <c r="A6395" s="204">
        <v>43626</v>
      </c>
      <c r="B6395" s="29" t="s">
        <v>5361</v>
      </c>
      <c r="C6395" s="29" t="s">
        <v>5362</v>
      </c>
      <c r="D6395" s="8">
        <v>13000</v>
      </c>
      <c r="E6395" s="8"/>
      <c r="F6395" s="92">
        <f t="shared" si="118"/>
        <v>46001</v>
      </c>
    </row>
    <row r="6396" spans="1:6" x14ac:dyDescent="0.25">
      <c r="A6396" s="204">
        <v>43626</v>
      </c>
      <c r="B6396" s="29" t="s">
        <v>542</v>
      </c>
      <c r="C6396" s="29" t="s">
        <v>3707</v>
      </c>
      <c r="D6396" s="8">
        <v>5000</v>
      </c>
      <c r="E6396" s="8"/>
      <c r="F6396" s="92">
        <f t="shared" si="118"/>
        <v>41001</v>
      </c>
    </row>
    <row r="6397" spans="1:6" x14ac:dyDescent="0.25">
      <c r="A6397" s="204">
        <v>43626</v>
      </c>
      <c r="B6397" s="29" t="s">
        <v>542</v>
      </c>
      <c r="C6397" s="29" t="s">
        <v>2438</v>
      </c>
      <c r="D6397" s="8">
        <v>600</v>
      </c>
      <c r="E6397" s="8"/>
      <c r="F6397" s="92">
        <f t="shared" si="118"/>
        <v>40401</v>
      </c>
    </row>
    <row r="6398" spans="1:6" x14ac:dyDescent="0.25">
      <c r="A6398" s="204">
        <v>43626</v>
      </c>
      <c r="B6398" s="29" t="s">
        <v>14</v>
      </c>
      <c r="C6398" s="29" t="s">
        <v>295</v>
      </c>
      <c r="D6398" s="8">
        <v>40000</v>
      </c>
      <c r="E6398" s="8"/>
      <c r="F6398" s="92">
        <f t="shared" si="118"/>
        <v>401</v>
      </c>
    </row>
    <row r="6399" spans="1:6" x14ac:dyDescent="0.25">
      <c r="A6399" s="204">
        <v>43626</v>
      </c>
      <c r="B6399" s="174" t="s">
        <v>3448</v>
      </c>
      <c r="C6399" s="174"/>
      <c r="D6399" s="71"/>
      <c r="E6399" s="58">
        <v>100000</v>
      </c>
      <c r="F6399" s="92">
        <f t="shared" si="118"/>
        <v>100401</v>
      </c>
    </row>
    <row r="6400" spans="1:6" x14ac:dyDescent="0.25">
      <c r="A6400" s="204">
        <v>43626</v>
      </c>
      <c r="B6400" s="29" t="s">
        <v>111</v>
      </c>
      <c r="C6400" s="29" t="s">
        <v>3175</v>
      </c>
      <c r="D6400" s="8">
        <v>15000</v>
      </c>
      <c r="E6400" s="8"/>
      <c r="F6400" s="92">
        <f t="shared" si="118"/>
        <v>85401</v>
      </c>
    </row>
    <row r="6401" spans="1:6" x14ac:dyDescent="0.25">
      <c r="A6401" s="204">
        <v>43628</v>
      </c>
      <c r="B6401" s="26" t="s">
        <v>5347</v>
      </c>
      <c r="C6401" s="26" t="s">
        <v>682</v>
      </c>
      <c r="D6401" s="8">
        <v>85000</v>
      </c>
      <c r="E6401" s="8"/>
      <c r="F6401" s="92">
        <f t="shared" si="118"/>
        <v>401</v>
      </c>
    </row>
    <row r="6402" spans="1:6" x14ac:dyDescent="0.25">
      <c r="A6402" s="204">
        <v>43628</v>
      </c>
      <c r="B6402" s="26" t="s">
        <v>4116</v>
      </c>
      <c r="C6402" s="26" t="s">
        <v>5363</v>
      </c>
      <c r="D6402" s="8">
        <v>150</v>
      </c>
      <c r="E6402" s="8"/>
      <c r="F6402" s="92">
        <f t="shared" si="118"/>
        <v>251</v>
      </c>
    </row>
    <row r="6403" spans="1:6" x14ac:dyDescent="0.25">
      <c r="A6403" s="204">
        <v>43628</v>
      </c>
      <c r="B6403" s="26" t="s">
        <v>26</v>
      </c>
      <c r="C6403" s="26" t="s">
        <v>5364</v>
      </c>
      <c r="D6403" s="8">
        <v>150</v>
      </c>
      <c r="E6403" s="8"/>
      <c r="F6403" s="92">
        <f t="shared" si="118"/>
        <v>101</v>
      </c>
    </row>
    <row r="6404" spans="1:6" x14ac:dyDescent="0.25">
      <c r="A6404" s="204">
        <v>43628</v>
      </c>
      <c r="B6404" s="174" t="s">
        <v>3448</v>
      </c>
      <c r="C6404" s="174"/>
      <c r="D6404" s="71"/>
      <c r="E6404" s="58">
        <v>50000</v>
      </c>
      <c r="F6404" s="92">
        <f t="shared" ref="F6404:F6413" si="120">F6403-D6404+E6404</f>
        <v>50101</v>
      </c>
    </row>
    <row r="6405" spans="1:6" x14ac:dyDescent="0.25">
      <c r="A6405" s="204">
        <v>43628</v>
      </c>
      <c r="B6405" s="29" t="s">
        <v>0</v>
      </c>
      <c r="C6405" s="29" t="s">
        <v>295</v>
      </c>
      <c r="D6405" s="8">
        <v>25000</v>
      </c>
      <c r="E6405" s="8"/>
      <c r="F6405" s="92">
        <f t="shared" si="120"/>
        <v>25101</v>
      </c>
    </row>
    <row r="6406" spans="1:6" x14ac:dyDescent="0.25">
      <c r="A6406" s="204">
        <v>43629</v>
      </c>
      <c r="B6406" s="29" t="s">
        <v>1461</v>
      </c>
      <c r="C6406" s="29" t="s">
        <v>3376</v>
      </c>
      <c r="D6406" s="8">
        <v>300</v>
      </c>
      <c r="E6406" s="8"/>
      <c r="F6406" s="92">
        <f t="shared" si="120"/>
        <v>24801</v>
      </c>
    </row>
    <row r="6407" spans="1:6" x14ac:dyDescent="0.25">
      <c r="A6407" s="204">
        <v>43629</v>
      </c>
      <c r="B6407" s="29" t="s">
        <v>17</v>
      </c>
      <c r="C6407" s="29" t="s">
        <v>295</v>
      </c>
      <c r="D6407" s="8">
        <v>8500</v>
      </c>
      <c r="E6407" s="8"/>
      <c r="F6407" s="92">
        <f t="shared" si="120"/>
        <v>16301</v>
      </c>
    </row>
    <row r="6408" spans="1:6" x14ac:dyDescent="0.25">
      <c r="A6408" s="204">
        <v>43629</v>
      </c>
      <c r="B6408" s="26" t="s">
        <v>4684</v>
      </c>
      <c r="C6408" s="26" t="s">
        <v>5367</v>
      </c>
      <c r="D6408" s="8">
        <v>1170</v>
      </c>
      <c r="E6408" s="8"/>
      <c r="F6408" s="92">
        <f t="shared" si="120"/>
        <v>15131</v>
      </c>
    </row>
    <row r="6409" spans="1:6" x14ac:dyDescent="0.25">
      <c r="A6409" s="204">
        <v>43629</v>
      </c>
      <c r="B6409" s="26" t="s">
        <v>14</v>
      </c>
      <c r="C6409" s="26" t="s">
        <v>5368</v>
      </c>
      <c r="D6409" s="8">
        <v>1000</v>
      </c>
      <c r="E6409" s="8"/>
      <c r="F6409" s="92">
        <f t="shared" si="120"/>
        <v>14131</v>
      </c>
    </row>
    <row r="6410" spans="1:6" x14ac:dyDescent="0.25">
      <c r="A6410" s="204">
        <v>43629</v>
      </c>
      <c r="B6410" s="26" t="s">
        <v>1619</v>
      </c>
      <c r="C6410" s="26" t="s">
        <v>3707</v>
      </c>
      <c r="D6410" s="8">
        <v>1500</v>
      </c>
      <c r="E6410" s="8"/>
      <c r="F6410" s="92">
        <f t="shared" si="120"/>
        <v>12631</v>
      </c>
    </row>
    <row r="6411" spans="1:6" x14ac:dyDescent="0.25">
      <c r="A6411" s="204">
        <v>43629</v>
      </c>
      <c r="B6411" s="26" t="s">
        <v>1619</v>
      </c>
      <c r="C6411" s="26" t="s">
        <v>2438</v>
      </c>
      <c r="D6411" s="8">
        <v>550</v>
      </c>
      <c r="E6411" s="8"/>
      <c r="F6411" s="92">
        <f t="shared" si="120"/>
        <v>12081</v>
      </c>
    </row>
    <row r="6412" spans="1:6" x14ac:dyDescent="0.25">
      <c r="A6412" s="204">
        <v>43630</v>
      </c>
      <c r="B6412" s="26" t="s">
        <v>0</v>
      </c>
      <c r="C6412" s="26" t="s">
        <v>295</v>
      </c>
      <c r="D6412" s="8">
        <v>8000</v>
      </c>
      <c r="E6412" s="8"/>
      <c r="F6412" s="92">
        <f t="shared" si="120"/>
        <v>4081</v>
      </c>
    </row>
    <row r="6413" spans="1:6" x14ac:dyDescent="0.25">
      <c r="A6413" s="204">
        <v>43630</v>
      </c>
      <c r="B6413" s="26" t="s">
        <v>2951</v>
      </c>
      <c r="C6413" s="26" t="s">
        <v>5006</v>
      </c>
      <c r="D6413" s="8">
        <v>2600</v>
      </c>
      <c r="E6413" s="8"/>
      <c r="F6413" s="92">
        <f t="shared" si="120"/>
        <v>1481</v>
      </c>
    </row>
    <row r="6414" spans="1:6" x14ac:dyDescent="0.25">
      <c r="A6414" s="204">
        <v>43630</v>
      </c>
      <c r="B6414" s="174" t="s">
        <v>3448</v>
      </c>
      <c r="C6414" s="174"/>
      <c r="D6414" s="71"/>
      <c r="E6414" s="58">
        <v>200000</v>
      </c>
      <c r="F6414" s="92">
        <f t="shared" ref="F6414:F6426" si="121">F6413-D6414+E6414</f>
        <v>201481</v>
      </c>
    </row>
    <row r="6415" spans="1:6" x14ac:dyDescent="0.25">
      <c r="A6415" s="204">
        <v>43630</v>
      </c>
      <c r="B6415" s="29" t="s">
        <v>4776</v>
      </c>
      <c r="C6415" s="29" t="s">
        <v>5011</v>
      </c>
      <c r="D6415" s="8">
        <v>25000</v>
      </c>
      <c r="E6415" s="8"/>
      <c r="F6415" s="92">
        <f t="shared" si="121"/>
        <v>176481</v>
      </c>
    </row>
    <row r="6416" spans="1:6" x14ac:dyDescent="0.25">
      <c r="A6416" s="204">
        <v>43630</v>
      </c>
      <c r="B6416" s="29" t="s">
        <v>111</v>
      </c>
      <c r="C6416" s="29" t="s">
        <v>5369</v>
      </c>
      <c r="D6416" s="8">
        <v>7500</v>
      </c>
      <c r="E6416" s="8"/>
      <c r="F6416" s="92">
        <f t="shared" si="121"/>
        <v>168981</v>
      </c>
    </row>
    <row r="6417" spans="1:6" x14ac:dyDescent="0.25">
      <c r="A6417" s="204">
        <v>43630</v>
      </c>
      <c r="B6417" s="26" t="s">
        <v>1461</v>
      </c>
      <c r="C6417" s="26" t="s">
        <v>5370</v>
      </c>
      <c r="D6417" s="8">
        <f>230+120+30+140+20+25+360+90+40+50+180+25+100</f>
        <v>1410</v>
      </c>
      <c r="E6417" s="8"/>
      <c r="F6417" s="92">
        <f t="shared" si="121"/>
        <v>167571</v>
      </c>
    </row>
    <row r="6418" spans="1:6" x14ac:dyDescent="0.25">
      <c r="A6418" s="204">
        <v>43630</v>
      </c>
      <c r="B6418" s="26" t="s">
        <v>85</v>
      </c>
      <c r="C6418" s="26" t="s">
        <v>5371</v>
      </c>
      <c r="D6418" s="8">
        <v>15000</v>
      </c>
      <c r="E6418" s="8"/>
      <c r="F6418" s="92">
        <f t="shared" si="121"/>
        <v>152571</v>
      </c>
    </row>
    <row r="6419" spans="1:6" x14ac:dyDescent="0.25">
      <c r="A6419" s="204">
        <v>43631</v>
      </c>
      <c r="B6419" s="26" t="s">
        <v>694</v>
      </c>
      <c r="C6419" s="26" t="s">
        <v>3981</v>
      </c>
      <c r="D6419" s="8">
        <v>900</v>
      </c>
      <c r="E6419" s="8"/>
      <c r="F6419" s="92">
        <f t="shared" si="121"/>
        <v>151671</v>
      </c>
    </row>
    <row r="6420" spans="1:6" x14ac:dyDescent="0.25">
      <c r="A6420" s="204">
        <v>43633</v>
      </c>
      <c r="B6420" s="26" t="s">
        <v>57</v>
      </c>
      <c r="C6420" s="26" t="s">
        <v>5374</v>
      </c>
      <c r="D6420" s="8">
        <v>1000</v>
      </c>
      <c r="E6420" s="8"/>
      <c r="F6420" s="92">
        <f t="shared" si="121"/>
        <v>150671</v>
      </c>
    </row>
    <row r="6421" spans="1:6" x14ac:dyDescent="0.25">
      <c r="A6421" s="204">
        <v>43633</v>
      </c>
      <c r="B6421" s="26" t="s">
        <v>57</v>
      </c>
      <c r="C6421" s="26" t="s">
        <v>1627</v>
      </c>
      <c r="D6421" s="8">
        <v>100</v>
      </c>
      <c r="E6421" s="8"/>
      <c r="F6421" s="92">
        <f t="shared" si="121"/>
        <v>150571</v>
      </c>
    </row>
    <row r="6422" spans="1:6" x14ac:dyDescent="0.25">
      <c r="A6422" s="204">
        <v>43633</v>
      </c>
      <c r="B6422" s="26" t="s">
        <v>57</v>
      </c>
      <c r="C6422" s="26" t="s">
        <v>5831</v>
      </c>
      <c r="D6422" s="8">
        <v>2000</v>
      </c>
      <c r="E6422" s="8"/>
      <c r="F6422" s="92">
        <f t="shared" si="121"/>
        <v>148571</v>
      </c>
    </row>
    <row r="6423" spans="1:6" x14ac:dyDescent="0.25">
      <c r="A6423" s="204">
        <v>43633</v>
      </c>
      <c r="B6423" s="26" t="s">
        <v>101</v>
      </c>
      <c r="C6423" s="26" t="s">
        <v>5391</v>
      </c>
      <c r="D6423" s="8">
        <v>10000</v>
      </c>
      <c r="E6423" s="8"/>
      <c r="F6423" s="92">
        <f t="shared" si="121"/>
        <v>138571</v>
      </c>
    </row>
    <row r="6424" spans="1:6" x14ac:dyDescent="0.25">
      <c r="A6424" s="204">
        <v>43633</v>
      </c>
      <c r="B6424" s="26" t="s">
        <v>0</v>
      </c>
      <c r="C6424" s="26" t="s">
        <v>4191</v>
      </c>
      <c r="D6424" s="8">
        <v>200</v>
      </c>
      <c r="E6424" s="8"/>
      <c r="F6424" s="92">
        <f t="shared" si="121"/>
        <v>138371</v>
      </c>
    </row>
    <row r="6425" spans="1:6" x14ac:dyDescent="0.25">
      <c r="A6425" s="204">
        <v>43633</v>
      </c>
      <c r="B6425" s="26" t="s">
        <v>4116</v>
      </c>
      <c r="C6425" s="26" t="s">
        <v>5377</v>
      </c>
      <c r="D6425" s="8">
        <v>200</v>
      </c>
      <c r="E6425" s="8"/>
      <c r="F6425" s="92">
        <f t="shared" si="121"/>
        <v>138171</v>
      </c>
    </row>
    <row r="6426" spans="1:6" x14ac:dyDescent="0.25">
      <c r="A6426" s="204">
        <v>43633</v>
      </c>
      <c r="B6426" s="26" t="s">
        <v>3829</v>
      </c>
      <c r="C6426" s="26" t="s">
        <v>5378</v>
      </c>
      <c r="D6426" s="8">
        <v>1000</v>
      </c>
      <c r="E6426" s="8"/>
      <c r="F6426" s="92">
        <f t="shared" si="121"/>
        <v>137171</v>
      </c>
    </row>
    <row r="6427" spans="1:6" x14ac:dyDescent="0.25">
      <c r="A6427" s="204">
        <v>43633</v>
      </c>
      <c r="B6427" s="26" t="s">
        <v>85</v>
      </c>
      <c r="C6427" s="26" t="s">
        <v>5379</v>
      </c>
      <c r="D6427" s="8">
        <v>2000</v>
      </c>
      <c r="E6427" s="8"/>
      <c r="F6427" s="92">
        <f t="shared" ref="F6427:F6464" si="122">F6426-D6427+E6427</f>
        <v>135171</v>
      </c>
    </row>
    <row r="6428" spans="1:6" x14ac:dyDescent="0.25">
      <c r="A6428" s="204">
        <v>43633</v>
      </c>
      <c r="B6428" s="26" t="s">
        <v>85</v>
      </c>
      <c r="C6428" s="26" t="s">
        <v>5380</v>
      </c>
      <c r="D6428" s="8">
        <v>1000</v>
      </c>
      <c r="E6428" s="8"/>
      <c r="F6428" s="92">
        <f t="shared" si="122"/>
        <v>134171</v>
      </c>
    </row>
    <row r="6429" spans="1:6" x14ac:dyDescent="0.25">
      <c r="A6429" s="204">
        <v>43634</v>
      </c>
      <c r="B6429" s="26" t="s">
        <v>19</v>
      </c>
      <c r="C6429" s="26" t="s">
        <v>4297</v>
      </c>
      <c r="D6429" s="8">
        <v>1000</v>
      </c>
      <c r="E6429" s="8"/>
      <c r="F6429" s="92">
        <f t="shared" si="122"/>
        <v>133171</v>
      </c>
    </row>
    <row r="6430" spans="1:6" x14ac:dyDescent="0.25">
      <c r="A6430" s="204">
        <v>43635</v>
      </c>
      <c r="B6430" s="26" t="s">
        <v>17</v>
      </c>
      <c r="C6430" s="26" t="s">
        <v>295</v>
      </c>
      <c r="D6430" s="8">
        <v>25000</v>
      </c>
      <c r="E6430" s="8"/>
      <c r="F6430" s="92">
        <f t="shared" si="122"/>
        <v>108171</v>
      </c>
    </row>
    <row r="6431" spans="1:6" x14ac:dyDescent="0.25">
      <c r="A6431" s="204">
        <v>43635</v>
      </c>
      <c r="B6431" s="26" t="s">
        <v>85</v>
      </c>
      <c r="C6431" s="26" t="s">
        <v>5382</v>
      </c>
      <c r="D6431" s="8">
        <v>5000</v>
      </c>
      <c r="E6431" s="8"/>
      <c r="F6431" s="92">
        <f t="shared" si="122"/>
        <v>103171</v>
      </c>
    </row>
    <row r="6432" spans="1:6" x14ac:dyDescent="0.25">
      <c r="A6432" s="204">
        <v>43635</v>
      </c>
      <c r="B6432" s="26" t="s">
        <v>4312</v>
      </c>
      <c r="C6432" s="26" t="s">
        <v>5383</v>
      </c>
      <c r="D6432" s="8">
        <v>75000</v>
      </c>
      <c r="E6432" s="8"/>
      <c r="F6432" s="92">
        <f t="shared" si="122"/>
        <v>28171</v>
      </c>
    </row>
    <row r="6433" spans="1:6" ht="150" x14ac:dyDescent="0.25">
      <c r="A6433" s="204">
        <v>43635</v>
      </c>
      <c r="B6433" s="244" t="s">
        <v>3448</v>
      </c>
      <c r="C6433" s="207" t="s">
        <v>5386</v>
      </c>
      <c r="D6433" s="245"/>
      <c r="E6433" s="98">
        <v>200000</v>
      </c>
      <c r="F6433" s="92">
        <f t="shared" si="122"/>
        <v>228171</v>
      </c>
    </row>
    <row r="6434" spans="1:6" x14ac:dyDescent="0.25">
      <c r="A6434" s="204">
        <v>43635</v>
      </c>
      <c r="B6434" s="26" t="s">
        <v>5384</v>
      </c>
      <c r="C6434" s="26" t="s">
        <v>5385</v>
      </c>
      <c r="D6434" s="8">
        <v>85000</v>
      </c>
      <c r="E6434" s="8"/>
      <c r="F6434" s="92">
        <f t="shared" si="122"/>
        <v>143171</v>
      </c>
    </row>
    <row r="6435" spans="1:6" x14ac:dyDescent="0.25">
      <c r="A6435" s="204">
        <v>43636</v>
      </c>
      <c r="B6435" s="174"/>
      <c r="C6435" s="174" t="s">
        <v>5388</v>
      </c>
      <c r="D6435" s="71"/>
      <c r="E6435" s="58">
        <v>14000</v>
      </c>
      <c r="F6435" s="92">
        <f t="shared" si="122"/>
        <v>157171</v>
      </c>
    </row>
    <row r="6436" spans="1:6" x14ac:dyDescent="0.25">
      <c r="A6436" s="204">
        <v>43636</v>
      </c>
      <c r="B6436" s="29" t="s">
        <v>5347</v>
      </c>
      <c r="C6436" s="29" t="s">
        <v>5217</v>
      </c>
      <c r="D6436" s="8">
        <v>15000</v>
      </c>
      <c r="E6436" s="8"/>
      <c r="F6436" s="92">
        <f t="shared" si="122"/>
        <v>142171</v>
      </c>
    </row>
    <row r="6437" spans="1:6" x14ac:dyDescent="0.25">
      <c r="A6437" s="204">
        <v>43636</v>
      </c>
      <c r="B6437" s="29" t="s">
        <v>5384</v>
      </c>
      <c r="C6437" s="29" t="s">
        <v>5389</v>
      </c>
      <c r="D6437" s="8">
        <v>43000</v>
      </c>
      <c r="E6437" s="8"/>
      <c r="F6437" s="92">
        <f t="shared" si="122"/>
        <v>99171</v>
      </c>
    </row>
    <row r="6438" spans="1:6" x14ac:dyDescent="0.25">
      <c r="A6438" s="204">
        <v>43637</v>
      </c>
      <c r="B6438" s="26" t="s">
        <v>17</v>
      </c>
      <c r="C6438" s="26" t="s">
        <v>295</v>
      </c>
      <c r="D6438" s="8">
        <v>25000</v>
      </c>
      <c r="E6438" s="8"/>
      <c r="F6438" s="92">
        <f t="shared" si="122"/>
        <v>74171</v>
      </c>
    </row>
    <row r="6439" spans="1:6" x14ac:dyDescent="0.25">
      <c r="A6439" s="204">
        <v>43637</v>
      </c>
      <c r="B6439" s="26" t="s">
        <v>4116</v>
      </c>
      <c r="C6439" s="26" t="s">
        <v>2016</v>
      </c>
      <c r="D6439" s="8">
        <v>100</v>
      </c>
      <c r="E6439" s="8"/>
      <c r="F6439" s="92">
        <f t="shared" si="122"/>
        <v>74071</v>
      </c>
    </row>
    <row r="6440" spans="1:6" x14ac:dyDescent="0.25">
      <c r="A6440" s="204">
        <v>43637</v>
      </c>
      <c r="B6440" s="26" t="s">
        <v>3563</v>
      </c>
      <c r="C6440" s="26" t="s">
        <v>4386</v>
      </c>
      <c r="D6440" s="8">
        <v>660</v>
      </c>
      <c r="E6440" s="8"/>
      <c r="F6440" s="92">
        <f t="shared" si="122"/>
        <v>73411</v>
      </c>
    </row>
    <row r="6441" spans="1:6" x14ac:dyDescent="0.25">
      <c r="A6441" s="204">
        <v>43638</v>
      </c>
      <c r="B6441" s="26" t="s">
        <v>26</v>
      </c>
      <c r="C6441" s="26" t="s">
        <v>5390</v>
      </c>
      <c r="D6441" s="8">
        <f>24+150+150+684+200+190+140+270+140+210+140+70+220+50+50</f>
        <v>2688</v>
      </c>
      <c r="E6441" s="8"/>
      <c r="F6441" s="92">
        <f t="shared" si="122"/>
        <v>70723</v>
      </c>
    </row>
    <row r="6442" spans="1:6" x14ac:dyDescent="0.25">
      <c r="A6442" s="204">
        <v>43638</v>
      </c>
      <c r="B6442" s="26" t="s">
        <v>248</v>
      </c>
      <c r="C6442" s="26" t="s">
        <v>5392</v>
      </c>
      <c r="D6442" s="8">
        <v>690</v>
      </c>
      <c r="E6442" s="8"/>
      <c r="F6442" s="92">
        <f t="shared" si="122"/>
        <v>70033</v>
      </c>
    </row>
    <row r="6443" spans="1:6" x14ac:dyDescent="0.25">
      <c r="A6443" s="204">
        <v>43638</v>
      </c>
      <c r="B6443" s="26" t="s">
        <v>101</v>
      </c>
      <c r="C6443" s="26" t="s">
        <v>5393</v>
      </c>
      <c r="D6443" s="8">
        <v>15000</v>
      </c>
      <c r="E6443" s="8"/>
      <c r="F6443" s="92">
        <f t="shared" si="122"/>
        <v>55033</v>
      </c>
    </row>
    <row r="6444" spans="1:6" x14ac:dyDescent="0.25">
      <c r="A6444" s="204">
        <v>43638</v>
      </c>
      <c r="B6444" s="26" t="s">
        <v>11</v>
      </c>
      <c r="C6444" s="26" t="s">
        <v>3914</v>
      </c>
      <c r="D6444" s="8">
        <v>650</v>
      </c>
      <c r="E6444" s="8"/>
      <c r="F6444" s="92">
        <f t="shared" si="122"/>
        <v>54383</v>
      </c>
    </row>
    <row r="6445" spans="1:6" x14ac:dyDescent="0.25">
      <c r="A6445" s="204">
        <v>43638</v>
      </c>
      <c r="B6445" s="26" t="s">
        <v>368</v>
      </c>
      <c r="C6445" s="26" t="s">
        <v>5394</v>
      </c>
      <c r="D6445" s="8">
        <v>7000</v>
      </c>
      <c r="E6445" s="8"/>
      <c r="F6445" s="92">
        <f t="shared" si="122"/>
        <v>47383</v>
      </c>
    </row>
    <row r="6446" spans="1:6" x14ac:dyDescent="0.25">
      <c r="A6446" s="204">
        <v>43638</v>
      </c>
      <c r="B6446" s="26" t="s">
        <v>10</v>
      </c>
      <c r="C6446" s="26" t="s">
        <v>5396</v>
      </c>
      <c r="D6446" s="8">
        <v>5000</v>
      </c>
      <c r="E6446" s="8"/>
      <c r="F6446" s="92">
        <f t="shared" si="122"/>
        <v>42383</v>
      </c>
    </row>
    <row r="6447" spans="1:6" x14ac:dyDescent="0.25">
      <c r="A6447" s="204">
        <v>43638</v>
      </c>
      <c r="B6447" s="26" t="s">
        <v>85</v>
      </c>
      <c r="C6447" s="26" t="s">
        <v>5397</v>
      </c>
      <c r="D6447" s="8">
        <v>14000</v>
      </c>
      <c r="E6447" s="8"/>
      <c r="F6447" s="92">
        <f t="shared" si="122"/>
        <v>28383</v>
      </c>
    </row>
    <row r="6448" spans="1:6" x14ac:dyDescent="0.25">
      <c r="A6448" s="204">
        <v>43640</v>
      </c>
      <c r="B6448" s="26" t="s">
        <v>19</v>
      </c>
      <c r="C6448" s="26" t="s">
        <v>5398</v>
      </c>
      <c r="D6448" s="8">
        <v>16000</v>
      </c>
      <c r="E6448" s="8"/>
      <c r="F6448" s="92">
        <f t="shared" si="122"/>
        <v>12383</v>
      </c>
    </row>
    <row r="6449" spans="1:6" x14ac:dyDescent="0.25">
      <c r="A6449" s="204">
        <v>43640</v>
      </c>
      <c r="B6449" s="26" t="s">
        <v>14</v>
      </c>
      <c r="C6449" s="26" t="s">
        <v>641</v>
      </c>
      <c r="D6449" s="8">
        <v>1000</v>
      </c>
      <c r="E6449" s="8"/>
      <c r="F6449" s="92">
        <f t="shared" si="122"/>
        <v>11383</v>
      </c>
    </row>
    <row r="6450" spans="1:6" x14ac:dyDescent="0.25">
      <c r="A6450" s="204">
        <v>43641</v>
      </c>
      <c r="B6450" s="26" t="s">
        <v>5347</v>
      </c>
      <c r="C6450" s="26" t="s">
        <v>5399</v>
      </c>
      <c r="D6450" s="8">
        <v>3000</v>
      </c>
      <c r="E6450" s="8"/>
      <c r="F6450" s="92">
        <f t="shared" si="122"/>
        <v>8383</v>
      </c>
    </row>
    <row r="6451" spans="1:6" x14ac:dyDescent="0.25">
      <c r="A6451" s="204">
        <v>43641</v>
      </c>
      <c r="B6451" s="26" t="s">
        <v>5347</v>
      </c>
      <c r="C6451" s="26" t="s">
        <v>5399</v>
      </c>
      <c r="D6451" s="8">
        <v>3000</v>
      </c>
      <c r="E6451" s="8"/>
      <c r="F6451" s="92">
        <f t="shared" si="122"/>
        <v>5383</v>
      </c>
    </row>
    <row r="6452" spans="1:6" x14ac:dyDescent="0.25">
      <c r="A6452" s="204">
        <v>43642</v>
      </c>
      <c r="B6452" s="26" t="s">
        <v>85</v>
      </c>
      <c r="C6452" s="26" t="s">
        <v>5402</v>
      </c>
      <c r="D6452" s="8">
        <v>2000</v>
      </c>
      <c r="E6452" s="8"/>
      <c r="F6452" s="92">
        <f t="shared" si="122"/>
        <v>3383</v>
      </c>
    </row>
    <row r="6453" spans="1:6" x14ac:dyDescent="0.25">
      <c r="A6453" s="204">
        <v>43643</v>
      </c>
      <c r="B6453" s="174"/>
      <c r="C6453" s="174" t="s">
        <v>5404</v>
      </c>
      <c r="D6453" s="71"/>
      <c r="E6453" s="58">
        <v>500000</v>
      </c>
      <c r="F6453" s="92">
        <f t="shared" si="122"/>
        <v>503383</v>
      </c>
    </row>
    <row r="6454" spans="1:6" x14ac:dyDescent="0.25">
      <c r="A6454" s="204">
        <v>43643</v>
      </c>
      <c r="B6454" s="26" t="s">
        <v>26</v>
      </c>
      <c r="C6454" s="26" t="s">
        <v>5403</v>
      </c>
      <c r="D6454" s="8">
        <f>180+180+180+170+250+120+150+180+180+10+20+649+10</f>
        <v>2279</v>
      </c>
      <c r="E6454" s="8"/>
      <c r="F6454" s="92">
        <f t="shared" si="122"/>
        <v>501104</v>
      </c>
    </row>
    <row r="6455" spans="1:6" x14ac:dyDescent="0.25">
      <c r="A6455" s="204">
        <v>43643</v>
      </c>
      <c r="B6455" s="26" t="s">
        <v>14</v>
      </c>
      <c r="C6455" s="87" t="s">
        <v>5408</v>
      </c>
      <c r="D6455" s="8">
        <v>400000</v>
      </c>
      <c r="E6455" s="8"/>
      <c r="F6455" s="92">
        <f t="shared" si="122"/>
        <v>101104</v>
      </c>
    </row>
    <row r="6456" spans="1:6" x14ac:dyDescent="0.25">
      <c r="A6456" s="204">
        <v>43643</v>
      </c>
      <c r="B6456" s="29" t="s">
        <v>2597</v>
      </c>
      <c r="C6456" s="29" t="s">
        <v>5406</v>
      </c>
      <c r="D6456" s="8">
        <v>10350</v>
      </c>
      <c r="E6456" s="8"/>
      <c r="F6456" s="92">
        <f t="shared" si="122"/>
        <v>90754</v>
      </c>
    </row>
    <row r="6457" spans="1:6" x14ac:dyDescent="0.25">
      <c r="A6457" s="204">
        <v>43643</v>
      </c>
      <c r="B6457" s="29" t="s">
        <v>26</v>
      </c>
      <c r="C6457" s="29" t="s">
        <v>5460</v>
      </c>
      <c r="D6457" s="8">
        <v>15000</v>
      </c>
      <c r="E6457" s="8"/>
      <c r="F6457" s="92">
        <f t="shared" si="122"/>
        <v>75754</v>
      </c>
    </row>
    <row r="6458" spans="1:6" x14ac:dyDescent="0.25">
      <c r="A6458" s="204">
        <v>43643</v>
      </c>
      <c r="B6458" s="29" t="s">
        <v>5405</v>
      </c>
      <c r="C6458" s="29" t="s">
        <v>5407</v>
      </c>
      <c r="D6458" s="8">
        <v>5240</v>
      </c>
      <c r="E6458" s="8"/>
      <c r="F6458" s="92">
        <f t="shared" si="122"/>
        <v>70514</v>
      </c>
    </row>
    <row r="6459" spans="1:6" x14ac:dyDescent="0.25">
      <c r="A6459" s="204">
        <v>43644</v>
      </c>
      <c r="B6459" s="26" t="s">
        <v>4965</v>
      </c>
      <c r="C6459" s="26" t="s">
        <v>5409</v>
      </c>
      <c r="D6459" s="8">
        <v>15000</v>
      </c>
      <c r="E6459" s="8"/>
      <c r="F6459" s="92">
        <f t="shared" si="122"/>
        <v>55514</v>
      </c>
    </row>
    <row r="6460" spans="1:6" x14ac:dyDescent="0.25">
      <c r="A6460" s="204">
        <v>43644</v>
      </c>
      <c r="B6460" s="26" t="s">
        <v>5411</v>
      </c>
      <c r="C6460" s="26" t="s">
        <v>3981</v>
      </c>
      <c r="D6460" s="8">
        <v>2500</v>
      </c>
      <c r="E6460" s="8"/>
      <c r="F6460" s="92">
        <f t="shared" si="122"/>
        <v>53014</v>
      </c>
    </row>
    <row r="6461" spans="1:6" x14ac:dyDescent="0.25">
      <c r="A6461" s="204">
        <v>43644</v>
      </c>
      <c r="B6461" s="26" t="s">
        <v>101</v>
      </c>
      <c r="C6461" s="26" t="s">
        <v>4819</v>
      </c>
      <c r="D6461" s="8">
        <v>15000</v>
      </c>
      <c r="E6461" s="8"/>
      <c r="F6461" s="92">
        <f t="shared" si="122"/>
        <v>38014</v>
      </c>
    </row>
    <row r="6462" spans="1:6" x14ac:dyDescent="0.25">
      <c r="A6462" s="204">
        <v>43644</v>
      </c>
      <c r="B6462" s="26" t="s">
        <v>111</v>
      </c>
      <c r="C6462" s="26" t="s">
        <v>3336</v>
      </c>
      <c r="D6462" s="8">
        <v>9130</v>
      </c>
      <c r="E6462" s="8"/>
      <c r="F6462" s="92">
        <f t="shared" si="122"/>
        <v>28884</v>
      </c>
    </row>
    <row r="6463" spans="1:6" x14ac:dyDescent="0.25">
      <c r="A6463" s="204">
        <v>43644</v>
      </c>
      <c r="B6463" s="26" t="s">
        <v>4116</v>
      </c>
      <c r="C6463" s="26" t="s">
        <v>5415</v>
      </c>
      <c r="D6463" s="8">
        <v>2138</v>
      </c>
      <c r="E6463" s="8"/>
      <c r="F6463" s="92">
        <f t="shared" si="122"/>
        <v>26746</v>
      </c>
    </row>
    <row r="6464" spans="1:6" x14ac:dyDescent="0.25">
      <c r="A6464" s="204">
        <v>43644</v>
      </c>
      <c r="B6464" s="26" t="s">
        <v>4116</v>
      </c>
      <c r="C6464" s="29" t="s">
        <v>5416</v>
      </c>
      <c r="D6464" s="8">
        <v>100</v>
      </c>
      <c r="E6464" s="8"/>
      <c r="F6464" s="92">
        <f t="shared" si="122"/>
        <v>26646</v>
      </c>
    </row>
    <row r="6465" spans="1:7" x14ac:dyDescent="0.25">
      <c r="A6465" s="204">
        <v>43645</v>
      </c>
      <c r="B6465" s="26" t="s">
        <v>85</v>
      </c>
      <c r="C6465" s="26" t="s">
        <v>5417</v>
      </c>
      <c r="D6465" s="8">
        <v>20000</v>
      </c>
      <c r="E6465" s="8"/>
      <c r="F6465" s="92">
        <f t="shared" ref="F6465:F6560" si="123">F6464-D6465+E6465</f>
        <v>6646</v>
      </c>
    </row>
    <row r="6466" spans="1:7" x14ac:dyDescent="0.25">
      <c r="A6466" s="204">
        <v>43645</v>
      </c>
      <c r="B6466" s="26" t="s">
        <v>26</v>
      </c>
      <c r="C6466" s="26" t="s">
        <v>5418</v>
      </c>
      <c r="D6466" s="8">
        <v>300</v>
      </c>
      <c r="E6466" s="8"/>
      <c r="F6466" s="92">
        <f t="shared" si="123"/>
        <v>6346</v>
      </c>
    </row>
    <row r="6467" spans="1:7" x14ac:dyDescent="0.25">
      <c r="A6467" s="204">
        <v>43645</v>
      </c>
      <c r="B6467" s="26" t="s">
        <v>4982</v>
      </c>
      <c r="C6467" s="26" t="s">
        <v>5419</v>
      </c>
      <c r="D6467" s="8">
        <v>2000</v>
      </c>
      <c r="E6467" s="8"/>
      <c r="F6467" s="92">
        <f t="shared" si="123"/>
        <v>4346</v>
      </c>
    </row>
    <row r="6468" spans="1:7" x14ac:dyDescent="0.25">
      <c r="A6468" s="204">
        <v>43645</v>
      </c>
      <c r="B6468" s="26" t="s">
        <v>85</v>
      </c>
      <c r="C6468" s="26" t="s">
        <v>5420</v>
      </c>
      <c r="D6468" s="8">
        <v>5000</v>
      </c>
      <c r="E6468" s="8"/>
      <c r="F6468" s="92">
        <f t="shared" si="123"/>
        <v>-654</v>
      </c>
    </row>
    <row r="6469" spans="1:7" ht="180" x14ac:dyDescent="0.25">
      <c r="A6469" s="204">
        <v>43648</v>
      </c>
      <c r="B6469" s="244" t="s">
        <v>3448</v>
      </c>
      <c r="C6469" s="207" t="s">
        <v>5461</v>
      </c>
      <c r="D6469" s="245"/>
      <c r="E6469" s="98">
        <v>100000</v>
      </c>
      <c r="F6469" s="92">
        <f t="shared" si="123"/>
        <v>99346</v>
      </c>
    </row>
    <row r="6470" spans="1:7" x14ac:dyDescent="0.25">
      <c r="A6470" s="204">
        <v>43648</v>
      </c>
      <c r="B6470" s="244" t="s">
        <v>26</v>
      </c>
      <c r="C6470" s="207" t="s">
        <v>5462</v>
      </c>
      <c r="D6470" s="245">
        <v>113</v>
      </c>
      <c r="E6470" s="98"/>
      <c r="F6470" s="92">
        <f t="shared" si="123"/>
        <v>99233</v>
      </c>
    </row>
    <row r="6471" spans="1:7" x14ac:dyDescent="0.25">
      <c r="A6471" s="204">
        <v>43645</v>
      </c>
      <c r="B6471" s="26" t="s">
        <v>85</v>
      </c>
      <c r="C6471" s="26" t="s">
        <v>5421</v>
      </c>
      <c r="D6471" s="8">
        <v>2000</v>
      </c>
      <c r="E6471" s="8"/>
      <c r="F6471" s="92">
        <f t="shared" si="123"/>
        <v>97233</v>
      </c>
      <c r="G6471" s="25"/>
    </row>
    <row r="6472" spans="1:7" x14ac:dyDescent="0.25">
      <c r="A6472" s="204">
        <v>43647</v>
      </c>
      <c r="B6472" s="26" t="s">
        <v>5422</v>
      </c>
      <c r="C6472" s="26" t="s">
        <v>3561</v>
      </c>
      <c r="D6472" s="8">
        <v>8000</v>
      </c>
      <c r="E6472" s="8"/>
      <c r="F6472" s="92">
        <f t="shared" si="123"/>
        <v>89233</v>
      </c>
    </row>
    <row r="6473" spans="1:7" x14ac:dyDescent="0.25">
      <c r="A6473" s="204">
        <v>43648</v>
      </c>
      <c r="B6473" s="26" t="s">
        <v>5347</v>
      </c>
      <c r="C6473" s="26" t="s">
        <v>5423</v>
      </c>
      <c r="D6473" s="8">
        <v>87000</v>
      </c>
      <c r="E6473" s="8"/>
      <c r="F6473" s="92">
        <f t="shared" si="123"/>
        <v>2233</v>
      </c>
    </row>
    <row r="6474" spans="1:7" x14ac:dyDescent="0.25">
      <c r="A6474" s="204">
        <v>43648</v>
      </c>
      <c r="B6474" s="26" t="s">
        <v>26</v>
      </c>
      <c r="C6474" s="26" t="s">
        <v>5424</v>
      </c>
      <c r="D6474" s="8">
        <v>1300</v>
      </c>
      <c r="E6474" s="8"/>
      <c r="F6474" s="92">
        <f t="shared" si="123"/>
        <v>933</v>
      </c>
    </row>
    <row r="6475" spans="1:7" x14ac:dyDescent="0.25">
      <c r="A6475" s="204">
        <v>43648</v>
      </c>
      <c r="B6475" s="174"/>
      <c r="C6475" s="174" t="s">
        <v>5452</v>
      </c>
      <c r="D6475" s="71"/>
      <c r="E6475" s="58">
        <v>500000</v>
      </c>
      <c r="F6475" s="92">
        <f t="shared" si="123"/>
        <v>500933</v>
      </c>
    </row>
    <row r="6476" spans="1:7" x14ac:dyDescent="0.25">
      <c r="A6476" s="204">
        <v>43648</v>
      </c>
      <c r="B6476" s="174"/>
      <c r="C6476" s="174" t="s">
        <v>4369</v>
      </c>
      <c r="D6476" s="71"/>
      <c r="E6476" s="58">
        <v>500000</v>
      </c>
      <c r="F6476" s="92">
        <f t="shared" si="123"/>
        <v>1000933</v>
      </c>
    </row>
    <row r="6477" spans="1:7" x14ac:dyDescent="0.25">
      <c r="A6477" s="204">
        <v>43648</v>
      </c>
      <c r="B6477" s="174"/>
      <c r="C6477" s="174" t="s">
        <v>4369</v>
      </c>
      <c r="D6477" s="71"/>
      <c r="E6477" s="58">
        <v>500000</v>
      </c>
      <c r="F6477" s="92">
        <f t="shared" si="123"/>
        <v>1500933</v>
      </c>
    </row>
    <row r="6478" spans="1:7" x14ac:dyDescent="0.25">
      <c r="A6478" s="204">
        <v>43648</v>
      </c>
      <c r="B6478" s="174"/>
      <c r="C6478" s="174" t="s">
        <v>4369</v>
      </c>
      <c r="D6478" s="71"/>
      <c r="E6478" s="58">
        <v>250000</v>
      </c>
      <c r="F6478" s="92">
        <f t="shared" si="123"/>
        <v>1750933</v>
      </c>
    </row>
    <row r="6479" spans="1:7" x14ac:dyDescent="0.25">
      <c r="A6479" s="204">
        <v>43648</v>
      </c>
      <c r="B6479" s="174"/>
      <c r="C6479" s="174" t="s">
        <v>4369</v>
      </c>
      <c r="D6479" s="71"/>
      <c r="E6479" s="58">
        <v>62000</v>
      </c>
      <c r="F6479" s="92">
        <f t="shared" si="123"/>
        <v>1812933</v>
      </c>
    </row>
    <row r="6480" spans="1:7" x14ac:dyDescent="0.25">
      <c r="A6480" s="204">
        <v>43648</v>
      </c>
      <c r="B6480" s="26" t="s">
        <v>2597</v>
      </c>
      <c r="C6480" s="26" t="s">
        <v>5425</v>
      </c>
      <c r="D6480" s="8">
        <v>14733</v>
      </c>
      <c r="E6480" s="8"/>
      <c r="F6480" s="92">
        <f t="shared" si="123"/>
        <v>1798200</v>
      </c>
    </row>
    <row r="6481" spans="1:7" x14ac:dyDescent="0.25">
      <c r="A6481" s="204">
        <v>43648</v>
      </c>
      <c r="B6481" s="26" t="s">
        <v>2597</v>
      </c>
      <c r="C6481" s="26" t="s">
        <v>5425</v>
      </c>
      <c r="D6481" s="8">
        <v>980</v>
      </c>
      <c r="E6481" s="8"/>
      <c r="F6481" s="92">
        <f t="shared" si="123"/>
        <v>1797220</v>
      </c>
    </row>
    <row r="6482" spans="1:7" x14ac:dyDescent="0.25">
      <c r="A6482" s="204">
        <v>43649</v>
      </c>
      <c r="B6482" s="26" t="s">
        <v>4965</v>
      </c>
      <c r="C6482" s="137" t="s">
        <v>5427</v>
      </c>
      <c r="D6482" s="8">
        <v>10000</v>
      </c>
      <c r="E6482" s="8"/>
      <c r="F6482" s="92">
        <f t="shared" si="123"/>
        <v>1787220</v>
      </c>
    </row>
    <row r="6483" spans="1:7" x14ac:dyDescent="0.25">
      <c r="A6483" s="204">
        <v>43649</v>
      </c>
      <c r="B6483" s="26" t="s">
        <v>17</v>
      </c>
      <c r="C6483" s="26" t="s">
        <v>439</v>
      </c>
      <c r="D6483" s="8">
        <v>10000</v>
      </c>
      <c r="E6483" s="8"/>
      <c r="F6483" s="92">
        <f t="shared" si="123"/>
        <v>1777220</v>
      </c>
    </row>
    <row r="6484" spans="1:7" x14ac:dyDescent="0.25">
      <c r="A6484" s="204">
        <v>43649</v>
      </c>
      <c r="B6484" s="26" t="s">
        <v>2573</v>
      </c>
      <c r="C6484" s="26" t="s">
        <v>5435</v>
      </c>
      <c r="D6484" s="8">
        <v>830</v>
      </c>
      <c r="E6484" s="8"/>
      <c r="F6484" s="92">
        <f t="shared" si="123"/>
        <v>1776390</v>
      </c>
    </row>
    <row r="6485" spans="1:7" x14ac:dyDescent="0.25">
      <c r="A6485" s="204">
        <v>43649</v>
      </c>
      <c r="B6485" s="29" t="s">
        <v>3161</v>
      </c>
      <c r="C6485" s="29" t="s">
        <v>41</v>
      </c>
      <c r="D6485" s="8">
        <v>300</v>
      </c>
      <c r="E6485" s="8"/>
      <c r="F6485" s="92">
        <f t="shared" si="123"/>
        <v>1776090</v>
      </c>
    </row>
    <row r="6486" spans="1:7" x14ac:dyDescent="0.25">
      <c r="A6486" s="204">
        <v>43649</v>
      </c>
      <c r="B6486" s="29" t="s">
        <v>1619</v>
      </c>
      <c r="C6486" s="29" t="s">
        <v>5436</v>
      </c>
      <c r="D6486" s="8">
        <v>500</v>
      </c>
      <c r="E6486" s="8"/>
      <c r="F6486" s="92">
        <f t="shared" si="123"/>
        <v>1775590</v>
      </c>
    </row>
    <row r="6487" spans="1:7" x14ac:dyDescent="0.25">
      <c r="A6487" s="204">
        <v>43649</v>
      </c>
      <c r="B6487" s="29" t="s">
        <v>4116</v>
      </c>
      <c r="C6487" s="29" t="s">
        <v>5437</v>
      </c>
      <c r="D6487" s="8">
        <v>300</v>
      </c>
      <c r="E6487" s="8"/>
      <c r="F6487" s="92">
        <f t="shared" si="123"/>
        <v>1775290</v>
      </c>
    </row>
    <row r="6488" spans="1:7" x14ac:dyDescent="0.25">
      <c r="A6488" s="204">
        <v>43649</v>
      </c>
      <c r="B6488" s="26" t="s">
        <v>26</v>
      </c>
      <c r="C6488" s="26" t="s">
        <v>5438</v>
      </c>
      <c r="D6488" s="8">
        <v>2850</v>
      </c>
      <c r="E6488" s="8"/>
      <c r="F6488" s="92">
        <f t="shared" si="123"/>
        <v>1772440</v>
      </c>
    </row>
    <row r="6489" spans="1:7" x14ac:dyDescent="0.25">
      <c r="A6489" s="204">
        <v>43649</v>
      </c>
      <c r="B6489" s="26" t="s">
        <v>2597</v>
      </c>
      <c r="C6489" s="26" t="s">
        <v>5439</v>
      </c>
      <c r="D6489" s="8">
        <v>6440</v>
      </c>
      <c r="E6489" s="8"/>
      <c r="F6489" s="92">
        <f t="shared" si="123"/>
        <v>1766000</v>
      </c>
    </row>
    <row r="6490" spans="1:7" x14ac:dyDescent="0.25">
      <c r="A6490" s="204">
        <v>43649</v>
      </c>
      <c r="B6490" s="26" t="s">
        <v>2597</v>
      </c>
      <c r="C6490" s="46" t="s">
        <v>5440</v>
      </c>
      <c r="D6490" s="140">
        <v>9100</v>
      </c>
      <c r="E6490" s="8"/>
      <c r="F6490" s="92">
        <f t="shared" si="123"/>
        <v>1756900</v>
      </c>
    </row>
    <row r="6491" spans="1:7" x14ac:dyDescent="0.25">
      <c r="A6491" s="204">
        <v>43650</v>
      </c>
      <c r="B6491" s="26" t="s">
        <v>26</v>
      </c>
      <c r="C6491" s="26" t="s">
        <v>5443</v>
      </c>
      <c r="D6491" s="140">
        <f>130+230+290+260+50+200+200+150+210+80+210+190+50+80+50+50+130</f>
        <v>2560</v>
      </c>
      <c r="E6491" s="8"/>
      <c r="F6491" s="92">
        <f t="shared" si="123"/>
        <v>1754340</v>
      </c>
    </row>
    <row r="6492" spans="1:7" x14ac:dyDescent="0.25">
      <c r="A6492" s="204">
        <v>43650</v>
      </c>
      <c r="B6492" s="26" t="s">
        <v>5444</v>
      </c>
      <c r="C6492" s="26" t="s">
        <v>5445</v>
      </c>
      <c r="D6492" s="140">
        <f>356</f>
        <v>356</v>
      </c>
      <c r="E6492" s="8"/>
      <c r="F6492" s="92">
        <f t="shared" si="123"/>
        <v>1753984</v>
      </c>
      <c r="G6492" s="25"/>
    </row>
    <row r="6493" spans="1:7" x14ac:dyDescent="0.25">
      <c r="A6493" s="204">
        <v>43650</v>
      </c>
      <c r="B6493" s="26" t="s">
        <v>26</v>
      </c>
      <c r="C6493" s="46" t="s">
        <v>5441</v>
      </c>
      <c r="D6493" s="140">
        <v>90</v>
      </c>
      <c r="E6493" s="8"/>
      <c r="F6493" s="92">
        <f t="shared" si="123"/>
        <v>1753894</v>
      </c>
    </row>
    <row r="6494" spans="1:7" x14ac:dyDescent="0.25">
      <c r="A6494" s="204">
        <v>43650</v>
      </c>
      <c r="B6494" s="26" t="s">
        <v>26</v>
      </c>
      <c r="C6494" s="46" t="s">
        <v>5446</v>
      </c>
      <c r="D6494" s="140">
        <v>2100</v>
      </c>
      <c r="E6494" s="8"/>
      <c r="F6494" s="92">
        <f t="shared" si="123"/>
        <v>1751794</v>
      </c>
    </row>
    <row r="6495" spans="1:7" x14ac:dyDescent="0.25">
      <c r="A6495" s="204">
        <v>43650</v>
      </c>
      <c r="B6495" s="26" t="s">
        <v>2597</v>
      </c>
      <c r="C6495" s="46" t="s">
        <v>5442</v>
      </c>
      <c r="D6495" s="140">
        <v>15000</v>
      </c>
      <c r="E6495" s="8"/>
      <c r="F6495" s="92">
        <f t="shared" si="123"/>
        <v>1736794</v>
      </c>
    </row>
    <row r="6496" spans="1:7" x14ac:dyDescent="0.25">
      <c r="A6496" s="204">
        <v>43650</v>
      </c>
      <c r="B6496" s="26" t="s">
        <v>0</v>
      </c>
      <c r="C6496" s="26" t="s">
        <v>3914</v>
      </c>
      <c r="D6496" s="8">
        <v>5000</v>
      </c>
      <c r="E6496" s="8"/>
      <c r="F6496" s="92">
        <f t="shared" si="123"/>
        <v>1731794</v>
      </c>
    </row>
    <row r="6497" spans="1:6" x14ac:dyDescent="0.25">
      <c r="A6497" s="204">
        <v>43651</v>
      </c>
      <c r="B6497" s="26" t="s">
        <v>2597</v>
      </c>
      <c r="C6497" s="40" t="s">
        <v>5447</v>
      </c>
      <c r="D6497" s="8">
        <v>21090</v>
      </c>
      <c r="E6497" s="8"/>
      <c r="F6497" s="92">
        <f t="shared" si="123"/>
        <v>1710704</v>
      </c>
    </row>
    <row r="6498" spans="1:6" x14ac:dyDescent="0.25">
      <c r="A6498" s="204">
        <v>43651</v>
      </c>
      <c r="B6498" s="26" t="s">
        <v>2597</v>
      </c>
      <c r="C6498" s="40" t="s">
        <v>5448</v>
      </c>
      <c r="D6498" s="8">
        <v>101300</v>
      </c>
      <c r="E6498" s="8"/>
      <c r="F6498" s="92">
        <f t="shared" si="123"/>
        <v>1609404</v>
      </c>
    </row>
    <row r="6499" spans="1:6" x14ac:dyDescent="0.25">
      <c r="A6499" s="204">
        <v>43651</v>
      </c>
      <c r="B6499" s="26" t="s">
        <v>5257</v>
      </c>
      <c r="C6499" s="137" t="s">
        <v>5449</v>
      </c>
      <c r="D6499" s="8">
        <v>5000</v>
      </c>
      <c r="E6499" s="8"/>
      <c r="F6499" s="92">
        <f t="shared" si="123"/>
        <v>1604404</v>
      </c>
    </row>
    <row r="6500" spans="1:6" x14ac:dyDescent="0.25">
      <c r="A6500" s="204">
        <v>43651</v>
      </c>
      <c r="B6500" s="26" t="s">
        <v>4875</v>
      </c>
      <c r="C6500" s="26" t="s">
        <v>4961</v>
      </c>
      <c r="D6500" s="8">
        <v>15000</v>
      </c>
      <c r="E6500" s="8"/>
      <c r="F6500" s="92">
        <f t="shared" si="123"/>
        <v>1589404</v>
      </c>
    </row>
    <row r="6501" spans="1:6" x14ac:dyDescent="0.25">
      <c r="A6501" s="204">
        <v>43651</v>
      </c>
      <c r="B6501" s="26" t="s">
        <v>248</v>
      </c>
      <c r="C6501" s="26" t="s">
        <v>2016</v>
      </c>
      <c r="D6501" s="8">
        <v>100</v>
      </c>
      <c r="E6501" s="8"/>
      <c r="F6501" s="92">
        <f t="shared" si="123"/>
        <v>1589304</v>
      </c>
    </row>
    <row r="6502" spans="1:6" x14ac:dyDescent="0.25">
      <c r="A6502" s="204">
        <v>43652</v>
      </c>
      <c r="B6502" s="26" t="s">
        <v>48</v>
      </c>
      <c r="C6502" s="26" t="s">
        <v>5450</v>
      </c>
      <c r="D6502" s="8">
        <v>1500</v>
      </c>
      <c r="E6502" s="8"/>
      <c r="F6502" s="92">
        <f t="shared" si="123"/>
        <v>1587804</v>
      </c>
    </row>
    <row r="6503" spans="1:6" x14ac:dyDescent="0.25">
      <c r="A6503" s="204">
        <v>43652</v>
      </c>
      <c r="B6503" s="26" t="s">
        <v>2597</v>
      </c>
      <c r="C6503" s="137" t="s">
        <v>5451</v>
      </c>
      <c r="D6503" s="8">
        <v>20000</v>
      </c>
      <c r="E6503" s="8"/>
      <c r="F6503" s="92">
        <f t="shared" si="123"/>
        <v>1567804</v>
      </c>
    </row>
    <row r="6504" spans="1:6" x14ac:dyDescent="0.25">
      <c r="A6504" s="204">
        <v>43652</v>
      </c>
      <c r="B6504" s="26" t="s">
        <v>5444</v>
      </c>
      <c r="C6504" s="26" t="s">
        <v>5453</v>
      </c>
      <c r="D6504" s="8">
        <v>104500</v>
      </c>
      <c r="E6504" s="8"/>
      <c r="F6504" s="92">
        <f t="shared" si="123"/>
        <v>1463304</v>
      </c>
    </row>
    <row r="6505" spans="1:6" x14ac:dyDescent="0.25">
      <c r="A6505" s="204">
        <v>43652</v>
      </c>
      <c r="B6505" s="26" t="s">
        <v>5444</v>
      </c>
      <c r="C6505" s="26" t="s">
        <v>2775</v>
      </c>
      <c r="D6505" s="8">
        <v>30000</v>
      </c>
      <c r="E6505" s="8"/>
      <c r="F6505" s="92">
        <f t="shared" si="123"/>
        <v>1433304</v>
      </c>
    </row>
    <row r="6506" spans="1:6" x14ac:dyDescent="0.25">
      <c r="A6506" s="204">
        <v>43652</v>
      </c>
      <c r="B6506" s="26" t="s">
        <v>47</v>
      </c>
      <c r="C6506" s="26" t="s">
        <v>41</v>
      </c>
      <c r="D6506" s="8">
        <v>1398460</v>
      </c>
      <c r="E6506" s="8"/>
      <c r="F6506" s="92">
        <f t="shared" si="123"/>
        <v>34844</v>
      </c>
    </row>
    <row r="6507" spans="1:6" x14ac:dyDescent="0.25">
      <c r="A6507" s="204">
        <v>43654</v>
      </c>
      <c r="B6507" s="29" t="s">
        <v>5454</v>
      </c>
      <c r="C6507" s="29" t="s">
        <v>5455</v>
      </c>
      <c r="D6507" s="8">
        <v>16000</v>
      </c>
      <c r="E6507" s="8"/>
      <c r="F6507" s="92">
        <f t="shared" si="123"/>
        <v>18844</v>
      </c>
    </row>
    <row r="6508" spans="1:6" x14ac:dyDescent="0.25">
      <c r="A6508" s="204">
        <v>43654</v>
      </c>
      <c r="B6508" s="26" t="s">
        <v>2597</v>
      </c>
      <c r="C6508" s="46" t="s">
        <v>5451</v>
      </c>
      <c r="D6508" s="8">
        <v>15200</v>
      </c>
      <c r="E6508" s="8"/>
      <c r="F6508" s="92">
        <f t="shared" si="123"/>
        <v>3644</v>
      </c>
    </row>
    <row r="6509" spans="1:6" x14ac:dyDescent="0.25">
      <c r="A6509" s="204">
        <v>43654</v>
      </c>
      <c r="B6509" s="29" t="s">
        <v>1413</v>
      </c>
      <c r="C6509" s="29" t="s">
        <v>5456</v>
      </c>
      <c r="D6509" s="8">
        <v>13000</v>
      </c>
      <c r="E6509" s="8"/>
      <c r="F6509" s="92">
        <f t="shared" si="123"/>
        <v>-9356</v>
      </c>
    </row>
    <row r="6510" spans="1:6" x14ac:dyDescent="0.25">
      <c r="A6510" s="204">
        <v>43654</v>
      </c>
      <c r="B6510" s="29" t="s">
        <v>4116</v>
      </c>
      <c r="C6510" s="29" t="s">
        <v>4819</v>
      </c>
      <c r="D6510" s="8">
        <v>5000</v>
      </c>
      <c r="E6510" s="8"/>
      <c r="F6510" s="92">
        <f t="shared" si="123"/>
        <v>-14356</v>
      </c>
    </row>
    <row r="6511" spans="1:6" x14ac:dyDescent="0.25">
      <c r="A6511" s="204">
        <v>43655</v>
      </c>
      <c r="B6511" s="26" t="s">
        <v>101</v>
      </c>
      <c r="C6511" s="26" t="s">
        <v>5458</v>
      </c>
      <c r="D6511" s="8">
        <v>10000</v>
      </c>
      <c r="E6511" s="8"/>
      <c r="F6511" s="92">
        <f t="shared" si="123"/>
        <v>-24356</v>
      </c>
    </row>
    <row r="6512" spans="1:6" x14ac:dyDescent="0.25">
      <c r="A6512" s="204">
        <v>43655</v>
      </c>
      <c r="B6512" s="46" t="s">
        <v>2597</v>
      </c>
      <c r="C6512" s="46" t="s">
        <v>5457</v>
      </c>
      <c r="D6512" s="140">
        <v>10000</v>
      </c>
      <c r="E6512" s="8"/>
      <c r="F6512" s="92">
        <f t="shared" si="123"/>
        <v>-34356</v>
      </c>
    </row>
    <row r="6513" spans="1:6" x14ac:dyDescent="0.25">
      <c r="A6513" s="204">
        <v>43655</v>
      </c>
      <c r="B6513" s="137" t="s">
        <v>2597</v>
      </c>
      <c r="C6513" s="137" t="s">
        <v>5459</v>
      </c>
      <c r="D6513" s="139">
        <v>4800</v>
      </c>
      <c r="E6513" s="8"/>
      <c r="F6513" s="92">
        <f t="shared" si="123"/>
        <v>-39156</v>
      </c>
    </row>
    <row r="6514" spans="1:6" ht="180" x14ac:dyDescent="0.25">
      <c r="A6514" s="204">
        <v>43655</v>
      </c>
      <c r="B6514" s="244" t="s">
        <v>3448</v>
      </c>
      <c r="C6514" s="207" t="s">
        <v>5461</v>
      </c>
      <c r="D6514" s="245"/>
      <c r="E6514" s="98">
        <v>100000</v>
      </c>
      <c r="F6514" s="92">
        <f t="shared" si="123"/>
        <v>60844</v>
      </c>
    </row>
    <row r="6515" spans="1:6" x14ac:dyDescent="0.25">
      <c r="A6515" s="204">
        <v>43655</v>
      </c>
      <c r="B6515" s="244" t="s">
        <v>26</v>
      </c>
      <c r="C6515" s="207" t="s">
        <v>5462</v>
      </c>
      <c r="D6515" s="245">
        <v>113</v>
      </c>
      <c r="E6515" s="98"/>
      <c r="F6515" s="92">
        <f t="shared" si="123"/>
        <v>60731</v>
      </c>
    </row>
    <row r="6516" spans="1:6" x14ac:dyDescent="0.25">
      <c r="A6516" s="204">
        <v>43655</v>
      </c>
      <c r="B6516" s="26" t="s">
        <v>5347</v>
      </c>
      <c r="C6516" s="26" t="s">
        <v>5463</v>
      </c>
      <c r="D6516" s="8">
        <v>34000</v>
      </c>
      <c r="E6516" s="8"/>
      <c r="F6516" s="92">
        <f t="shared" si="123"/>
        <v>26731</v>
      </c>
    </row>
    <row r="6517" spans="1:6" ht="13.9" customHeight="1" x14ac:dyDescent="0.25">
      <c r="A6517" s="204">
        <v>43655</v>
      </c>
      <c r="B6517" s="46" t="s">
        <v>3563</v>
      </c>
      <c r="C6517" s="46" t="s">
        <v>5464</v>
      </c>
      <c r="D6517" s="140">
        <v>21000</v>
      </c>
      <c r="E6517" s="8"/>
      <c r="F6517" s="92">
        <f t="shared" si="123"/>
        <v>5731</v>
      </c>
    </row>
    <row r="6518" spans="1:6" ht="30" x14ac:dyDescent="0.25">
      <c r="A6518" s="204">
        <v>43656</v>
      </c>
      <c r="B6518" s="244" t="s">
        <v>99</v>
      </c>
      <c r="C6518" s="207" t="s">
        <v>5465</v>
      </c>
      <c r="D6518" s="245"/>
      <c r="E6518" s="98">
        <v>300000</v>
      </c>
      <c r="F6518" s="92">
        <f t="shared" si="123"/>
        <v>305731</v>
      </c>
    </row>
    <row r="6519" spans="1:6" x14ac:dyDescent="0.25">
      <c r="A6519" s="204">
        <v>43656</v>
      </c>
      <c r="B6519" s="244" t="s">
        <v>4776</v>
      </c>
      <c r="C6519" s="206" t="s">
        <v>4323</v>
      </c>
      <c r="D6519" s="8">
        <v>11000</v>
      </c>
      <c r="E6519" s="8"/>
      <c r="F6519" s="92">
        <f>F6518-D6519+E6519</f>
        <v>294731</v>
      </c>
    </row>
    <row r="6520" spans="1:6" x14ac:dyDescent="0.25">
      <c r="A6520" s="204">
        <v>43656</v>
      </c>
      <c r="B6520" s="244" t="s">
        <v>2222</v>
      </c>
      <c r="C6520" s="206" t="s">
        <v>5466</v>
      </c>
      <c r="D6520" s="8">
        <v>12960</v>
      </c>
      <c r="E6520" s="8"/>
      <c r="F6520" s="92">
        <f>F6519-D6520+E6520</f>
        <v>281771</v>
      </c>
    </row>
    <row r="6521" spans="1:6" x14ac:dyDescent="0.25">
      <c r="A6521" s="204">
        <v>43656</v>
      </c>
      <c r="B6521" s="46" t="s">
        <v>2597</v>
      </c>
      <c r="C6521" s="46" t="s">
        <v>5467</v>
      </c>
      <c r="D6521" s="140">
        <v>23000</v>
      </c>
      <c r="E6521" s="8"/>
      <c r="F6521" s="92">
        <f t="shared" si="123"/>
        <v>258771</v>
      </c>
    </row>
    <row r="6522" spans="1:6" x14ac:dyDescent="0.25">
      <c r="A6522" s="204">
        <v>43656</v>
      </c>
      <c r="B6522" s="46" t="s">
        <v>1619</v>
      </c>
      <c r="C6522" s="46" t="s">
        <v>3707</v>
      </c>
      <c r="D6522" s="140">
        <v>1500</v>
      </c>
      <c r="E6522" s="8"/>
      <c r="F6522" s="92">
        <f t="shared" si="123"/>
        <v>257271</v>
      </c>
    </row>
    <row r="6523" spans="1:6" x14ac:dyDescent="0.25">
      <c r="A6523" s="204">
        <v>43656</v>
      </c>
      <c r="B6523" s="46" t="s">
        <v>1619</v>
      </c>
      <c r="C6523" s="46" t="s">
        <v>2438</v>
      </c>
      <c r="D6523" s="140">
        <v>550</v>
      </c>
      <c r="E6523" s="8"/>
      <c r="F6523" s="92">
        <f t="shared" si="123"/>
        <v>256721</v>
      </c>
    </row>
    <row r="6524" spans="1:6" x14ac:dyDescent="0.25">
      <c r="A6524" s="204">
        <v>43656</v>
      </c>
      <c r="B6524" s="46" t="s">
        <v>5468</v>
      </c>
      <c r="C6524" s="206" t="s">
        <v>5469</v>
      </c>
      <c r="D6524" s="8">
        <v>4700</v>
      </c>
      <c r="E6524" s="8"/>
      <c r="F6524" s="92">
        <f t="shared" si="123"/>
        <v>252021</v>
      </c>
    </row>
    <row r="6525" spans="1:6" x14ac:dyDescent="0.25">
      <c r="A6525" s="204">
        <v>43656</v>
      </c>
      <c r="B6525" s="246" t="s">
        <v>85</v>
      </c>
      <c r="C6525" s="206" t="s">
        <v>5470</v>
      </c>
      <c r="D6525" s="8">
        <v>3000</v>
      </c>
      <c r="E6525" s="8"/>
      <c r="F6525" s="92">
        <f t="shared" si="123"/>
        <v>249021</v>
      </c>
    </row>
    <row r="6526" spans="1:6" x14ac:dyDescent="0.25">
      <c r="A6526" s="204">
        <v>43656</v>
      </c>
      <c r="B6526" s="246" t="s">
        <v>5140</v>
      </c>
      <c r="C6526" s="206" t="s">
        <v>41</v>
      </c>
      <c r="D6526" s="8">
        <v>4200</v>
      </c>
      <c r="E6526" s="8"/>
      <c r="F6526" s="92">
        <f t="shared" si="123"/>
        <v>244821</v>
      </c>
    </row>
    <row r="6527" spans="1:6" x14ac:dyDescent="0.25">
      <c r="A6527" s="204">
        <v>43657</v>
      </c>
      <c r="B6527" s="246" t="s">
        <v>5239</v>
      </c>
      <c r="C6527" s="206" t="s">
        <v>5240</v>
      </c>
      <c r="D6527" s="8">
        <v>527</v>
      </c>
      <c r="E6527" s="8"/>
      <c r="F6527" s="92">
        <f t="shared" si="123"/>
        <v>244294</v>
      </c>
    </row>
    <row r="6528" spans="1:6" x14ac:dyDescent="0.25">
      <c r="A6528" s="204">
        <v>43657</v>
      </c>
      <c r="B6528" s="246" t="s">
        <v>26</v>
      </c>
      <c r="C6528" s="206" t="s">
        <v>51</v>
      </c>
      <c r="D6528" s="8">
        <v>1600</v>
      </c>
      <c r="E6528" s="8"/>
      <c r="F6528" s="92">
        <f t="shared" si="123"/>
        <v>242694</v>
      </c>
    </row>
    <row r="6529" spans="1:10" x14ac:dyDescent="0.25">
      <c r="A6529" s="204">
        <v>43657</v>
      </c>
      <c r="B6529" s="26" t="s">
        <v>5474</v>
      </c>
      <c r="C6529" s="26" t="s">
        <v>5475</v>
      </c>
      <c r="D6529" s="8">
        <v>2000</v>
      </c>
      <c r="E6529" s="8"/>
      <c r="F6529" s="92">
        <f t="shared" si="123"/>
        <v>240694</v>
      </c>
    </row>
    <row r="6530" spans="1:10" x14ac:dyDescent="0.25">
      <c r="A6530" s="204">
        <v>43657</v>
      </c>
      <c r="B6530" s="26" t="s">
        <v>4116</v>
      </c>
      <c r="C6530" s="26" t="s">
        <v>4730</v>
      </c>
      <c r="D6530" s="8">
        <v>5000</v>
      </c>
      <c r="E6530" s="8"/>
      <c r="F6530" s="92">
        <f t="shared" si="123"/>
        <v>235694</v>
      </c>
    </row>
    <row r="6531" spans="1:10" s="42" customFormat="1" x14ac:dyDescent="0.25">
      <c r="A6531" s="204">
        <v>43657</v>
      </c>
      <c r="B6531" s="46" t="s">
        <v>2597</v>
      </c>
      <c r="C6531" s="46" t="s">
        <v>5478</v>
      </c>
      <c r="D6531" s="140">
        <v>6420</v>
      </c>
      <c r="E6531" s="140"/>
      <c r="F6531" s="92">
        <f t="shared" si="123"/>
        <v>229274</v>
      </c>
      <c r="H6531" s="147"/>
      <c r="I6531" s="147"/>
      <c r="J6531" s="147"/>
    </row>
    <row r="6532" spans="1:10" s="42" customFormat="1" x14ac:dyDescent="0.25">
      <c r="A6532" s="204">
        <v>43657</v>
      </c>
      <c r="B6532" s="148" t="s">
        <v>2597</v>
      </c>
      <c r="C6532" s="148" t="s">
        <v>5459</v>
      </c>
      <c r="D6532" s="149">
        <f>15000-6420</f>
        <v>8580</v>
      </c>
      <c r="E6532" s="140"/>
      <c r="F6532" s="92">
        <f t="shared" si="123"/>
        <v>220694</v>
      </c>
      <c r="H6532" s="147"/>
      <c r="I6532" s="147"/>
      <c r="J6532" s="147"/>
    </row>
    <row r="6533" spans="1:10" x14ac:dyDescent="0.25">
      <c r="A6533" s="204">
        <v>43657</v>
      </c>
      <c r="B6533" s="26" t="s">
        <v>5476</v>
      </c>
      <c r="C6533" s="26" t="s">
        <v>5477</v>
      </c>
      <c r="D6533" s="8">
        <v>15000</v>
      </c>
      <c r="E6533" s="8"/>
      <c r="F6533" s="92">
        <f t="shared" si="123"/>
        <v>205694</v>
      </c>
    </row>
    <row r="6534" spans="1:10" x14ac:dyDescent="0.25">
      <c r="A6534" s="204">
        <v>43657</v>
      </c>
      <c r="B6534" s="26" t="s">
        <v>14</v>
      </c>
      <c r="C6534" s="26" t="s">
        <v>295</v>
      </c>
      <c r="D6534" s="8">
        <v>13000</v>
      </c>
      <c r="E6534" s="8"/>
      <c r="F6534" s="92">
        <f t="shared" si="123"/>
        <v>192694</v>
      </c>
    </row>
    <row r="6535" spans="1:10" x14ac:dyDescent="0.25">
      <c r="A6535" s="204">
        <v>43658</v>
      </c>
      <c r="B6535" s="29" t="s">
        <v>2597</v>
      </c>
      <c r="C6535" s="26" t="s">
        <v>5480</v>
      </c>
      <c r="D6535" s="8">
        <v>20000</v>
      </c>
      <c r="E6535" s="8"/>
      <c r="F6535" s="92">
        <f t="shared" si="123"/>
        <v>172694</v>
      </c>
    </row>
    <row r="6536" spans="1:10" x14ac:dyDescent="0.25">
      <c r="A6536" s="204">
        <v>43658</v>
      </c>
      <c r="B6536" s="26" t="s">
        <v>5444</v>
      </c>
      <c r="C6536" s="26" t="s">
        <v>5479</v>
      </c>
      <c r="D6536" s="8">
        <f>720+120</f>
        <v>840</v>
      </c>
      <c r="E6536" s="8"/>
      <c r="F6536" s="92">
        <f t="shared" si="123"/>
        <v>171854</v>
      </c>
    </row>
    <row r="6537" spans="1:10" x14ac:dyDescent="0.25">
      <c r="A6537" s="204">
        <v>43658</v>
      </c>
      <c r="B6537" s="26" t="s">
        <v>26</v>
      </c>
      <c r="C6537" s="26" t="s">
        <v>2945</v>
      </c>
      <c r="D6537" s="8">
        <v>100</v>
      </c>
      <c r="E6537" s="8"/>
      <c r="F6537" s="92">
        <f t="shared" si="123"/>
        <v>171754</v>
      </c>
    </row>
    <row r="6538" spans="1:10" x14ac:dyDescent="0.25">
      <c r="A6538" s="204">
        <v>43659</v>
      </c>
      <c r="B6538" s="26" t="s">
        <v>2597</v>
      </c>
      <c r="C6538" s="26" t="s">
        <v>5487</v>
      </c>
      <c r="D6538" s="8">
        <v>5000</v>
      </c>
      <c r="E6538" s="8"/>
      <c r="F6538" s="92">
        <f t="shared" si="123"/>
        <v>166754</v>
      </c>
    </row>
    <row r="6539" spans="1:10" x14ac:dyDescent="0.25">
      <c r="A6539" s="204">
        <v>43659</v>
      </c>
      <c r="B6539" s="26" t="s">
        <v>1619</v>
      </c>
      <c r="C6539" s="26" t="s">
        <v>5481</v>
      </c>
      <c r="D6539" s="8">
        <v>550</v>
      </c>
      <c r="E6539" s="8"/>
      <c r="F6539" s="92">
        <f t="shared" si="123"/>
        <v>166204</v>
      </c>
    </row>
    <row r="6540" spans="1:10" x14ac:dyDescent="0.25">
      <c r="A6540" s="204">
        <v>43659</v>
      </c>
      <c r="B6540" s="26" t="s">
        <v>14</v>
      </c>
      <c r="C6540" s="26" t="s">
        <v>295</v>
      </c>
      <c r="D6540" s="8">
        <v>100</v>
      </c>
      <c r="E6540" s="8"/>
      <c r="F6540" s="92">
        <f t="shared" si="123"/>
        <v>166104</v>
      </c>
    </row>
    <row r="6541" spans="1:10" x14ac:dyDescent="0.25">
      <c r="A6541" s="204">
        <v>43661</v>
      </c>
      <c r="B6541" s="26" t="s">
        <v>26</v>
      </c>
      <c r="C6541" s="26" t="s">
        <v>5482</v>
      </c>
      <c r="D6541" s="8">
        <v>450</v>
      </c>
      <c r="E6541" s="8"/>
      <c r="F6541" s="92">
        <f t="shared" si="123"/>
        <v>165654</v>
      </c>
    </row>
    <row r="6542" spans="1:10" x14ac:dyDescent="0.25">
      <c r="A6542" s="204">
        <v>43661</v>
      </c>
      <c r="B6542" s="29" t="s">
        <v>2951</v>
      </c>
      <c r="C6542" s="29" t="s">
        <v>65</v>
      </c>
      <c r="D6542" s="8">
        <v>2000</v>
      </c>
      <c r="E6542" s="8"/>
      <c r="F6542" s="92">
        <f t="shared" si="123"/>
        <v>163654</v>
      </c>
    </row>
    <row r="6543" spans="1:10" x14ac:dyDescent="0.25">
      <c r="A6543" s="204">
        <v>43661</v>
      </c>
      <c r="B6543" s="26" t="s">
        <v>5444</v>
      </c>
      <c r="C6543" s="26" t="s">
        <v>5483</v>
      </c>
      <c r="D6543" s="8">
        <v>200</v>
      </c>
      <c r="E6543" s="8"/>
      <c r="F6543" s="92">
        <f t="shared" si="123"/>
        <v>163454</v>
      </c>
    </row>
    <row r="6544" spans="1:10" x14ac:dyDescent="0.25">
      <c r="A6544" s="204">
        <v>43661</v>
      </c>
      <c r="B6544" s="26" t="s">
        <v>694</v>
      </c>
      <c r="C6544" s="26" t="s">
        <v>5483</v>
      </c>
      <c r="D6544" s="8">
        <v>540</v>
      </c>
      <c r="E6544" s="8"/>
      <c r="F6544" s="92">
        <f t="shared" si="123"/>
        <v>162914</v>
      </c>
    </row>
    <row r="6545" spans="1:6" ht="30" x14ac:dyDescent="0.25">
      <c r="A6545" s="204">
        <v>43661</v>
      </c>
      <c r="B6545" s="244" t="s">
        <v>14</v>
      </c>
      <c r="C6545" s="207" t="s">
        <v>5484</v>
      </c>
      <c r="D6545" s="245"/>
      <c r="E6545" s="98">
        <v>50000</v>
      </c>
      <c r="F6545" s="92">
        <f t="shared" si="123"/>
        <v>212914</v>
      </c>
    </row>
    <row r="6546" spans="1:6" x14ac:dyDescent="0.25">
      <c r="A6546" s="204">
        <v>43661</v>
      </c>
      <c r="B6546" s="29" t="s">
        <v>5485</v>
      </c>
      <c r="C6546" s="29" t="s">
        <v>1627</v>
      </c>
      <c r="D6546" s="8">
        <v>100</v>
      </c>
      <c r="E6546" s="8"/>
      <c r="F6546" s="92">
        <f t="shared" si="123"/>
        <v>212814</v>
      </c>
    </row>
    <row r="6547" spans="1:6" x14ac:dyDescent="0.25">
      <c r="A6547" s="204">
        <v>43661</v>
      </c>
      <c r="B6547" s="40" t="s">
        <v>4776</v>
      </c>
      <c r="C6547" s="40" t="s">
        <v>5486</v>
      </c>
      <c r="D6547" s="140">
        <v>10000</v>
      </c>
      <c r="E6547" s="8"/>
      <c r="F6547" s="92">
        <f t="shared" si="123"/>
        <v>202814</v>
      </c>
    </row>
    <row r="6548" spans="1:6" x14ac:dyDescent="0.25">
      <c r="A6548" s="204">
        <v>43661</v>
      </c>
      <c r="B6548" s="46" t="s">
        <v>2597</v>
      </c>
      <c r="C6548" s="46" t="s">
        <v>5489</v>
      </c>
      <c r="D6548" s="140">
        <v>35500</v>
      </c>
      <c r="E6548" s="8"/>
      <c r="F6548" s="92">
        <f t="shared" si="123"/>
        <v>167314</v>
      </c>
    </row>
    <row r="6549" spans="1:6" x14ac:dyDescent="0.25">
      <c r="A6549" s="204">
        <v>43662</v>
      </c>
      <c r="B6549" s="26" t="s">
        <v>17</v>
      </c>
      <c r="C6549" s="26" t="s">
        <v>4323</v>
      </c>
      <c r="D6549" s="8">
        <v>5000</v>
      </c>
      <c r="E6549" s="8"/>
      <c r="F6549" s="92">
        <f t="shared" si="123"/>
        <v>162314</v>
      </c>
    </row>
    <row r="6550" spans="1:6" x14ac:dyDescent="0.25">
      <c r="A6550" s="204">
        <v>43662</v>
      </c>
      <c r="B6550" s="26" t="s">
        <v>4776</v>
      </c>
      <c r="C6550" s="26" t="s">
        <v>4323</v>
      </c>
      <c r="D6550" s="8">
        <v>15000</v>
      </c>
      <c r="E6550" s="8"/>
      <c r="F6550" s="92">
        <f t="shared" si="123"/>
        <v>147314</v>
      </c>
    </row>
    <row r="6551" spans="1:6" x14ac:dyDescent="0.25">
      <c r="A6551" s="204">
        <v>43662</v>
      </c>
      <c r="B6551" s="26" t="s">
        <v>5201</v>
      </c>
      <c r="C6551" s="26" t="s">
        <v>41</v>
      </c>
      <c r="D6551" s="8">
        <v>10000</v>
      </c>
      <c r="E6551" s="8"/>
      <c r="F6551" s="92">
        <f t="shared" si="123"/>
        <v>137314</v>
      </c>
    </row>
    <row r="6552" spans="1:6" x14ac:dyDescent="0.25">
      <c r="A6552" s="204">
        <v>43662</v>
      </c>
      <c r="B6552" s="26" t="s">
        <v>4116</v>
      </c>
      <c r="C6552" s="26" t="s">
        <v>4323</v>
      </c>
      <c r="D6552" s="8">
        <v>3000</v>
      </c>
      <c r="E6552" s="8"/>
      <c r="F6552" s="92">
        <f t="shared" si="123"/>
        <v>134314</v>
      </c>
    </row>
    <row r="6553" spans="1:6" x14ac:dyDescent="0.25">
      <c r="A6553" s="204">
        <v>43662</v>
      </c>
      <c r="B6553" s="26" t="s">
        <v>1840</v>
      </c>
      <c r="C6553" s="26" t="s">
        <v>5488</v>
      </c>
      <c r="D6553" s="8">
        <v>2000</v>
      </c>
      <c r="E6553" s="8"/>
      <c r="F6553" s="92">
        <f t="shared" si="123"/>
        <v>132314</v>
      </c>
    </row>
    <row r="6554" spans="1:6" x14ac:dyDescent="0.25">
      <c r="A6554" s="204">
        <v>43662</v>
      </c>
      <c r="B6554" s="29" t="s">
        <v>3829</v>
      </c>
      <c r="C6554" s="29" t="s">
        <v>4819</v>
      </c>
      <c r="D6554" s="8">
        <v>3000</v>
      </c>
      <c r="E6554" s="8"/>
      <c r="F6554" s="92">
        <f t="shared" si="123"/>
        <v>129314</v>
      </c>
    </row>
    <row r="6555" spans="1:6" x14ac:dyDescent="0.25">
      <c r="A6555" s="204">
        <v>43662</v>
      </c>
      <c r="B6555" s="26" t="s">
        <v>2597</v>
      </c>
      <c r="C6555" s="26" t="s">
        <v>5509</v>
      </c>
      <c r="D6555" s="8">
        <v>13085</v>
      </c>
      <c r="E6555" s="8"/>
      <c r="F6555" s="92">
        <f t="shared" si="123"/>
        <v>116229</v>
      </c>
    </row>
    <row r="6556" spans="1:6" x14ac:dyDescent="0.25">
      <c r="A6556" s="204">
        <v>43662</v>
      </c>
      <c r="B6556" s="26" t="s">
        <v>5479</v>
      </c>
      <c r="C6556" s="26" t="s">
        <v>5490</v>
      </c>
      <c r="D6556" s="8">
        <v>120</v>
      </c>
      <c r="E6556" s="8"/>
      <c r="F6556" s="92">
        <f t="shared" si="123"/>
        <v>116109</v>
      </c>
    </row>
    <row r="6557" spans="1:6" x14ac:dyDescent="0.25">
      <c r="A6557" s="204">
        <v>43662</v>
      </c>
      <c r="B6557" s="26" t="s">
        <v>111</v>
      </c>
      <c r="C6557" s="26" t="s">
        <v>5491</v>
      </c>
      <c r="D6557" s="8">
        <v>17000</v>
      </c>
      <c r="E6557" s="8"/>
      <c r="F6557" s="92">
        <f t="shared" si="123"/>
        <v>99109</v>
      </c>
    </row>
    <row r="6558" spans="1:6" x14ac:dyDescent="0.25">
      <c r="A6558" s="204">
        <v>43662</v>
      </c>
      <c r="B6558" s="26" t="s">
        <v>85</v>
      </c>
      <c r="C6558" s="26" t="s">
        <v>5492</v>
      </c>
      <c r="D6558" s="8">
        <v>4000</v>
      </c>
      <c r="E6558" s="8"/>
      <c r="F6558" s="92">
        <f t="shared" si="123"/>
        <v>95109</v>
      </c>
    </row>
    <row r="6559" spans="1:6" x14ac:dyDescent="0.25">
      <c r="A6559" s="204">
        <v>43662</v>
      </c>
      <c r="B6559" s="26" t="s">
        <v>5444</v>
      </c>
      <c r="C6559" s="26" t="s">
        <v>5493</v>
      </c>
      <c r="D6559" s="8">
        <v>80000</v>
      </c>
      <c r="E6559" s="8"/>
      <c r="F6559" s="92">
        <f t="shared" si="123"/>
        <v>15109</v>
      </c>
    </row>
    <row r="6560" spans="1:6" x14ac:dyDescent="0.25">
      <c r="A6560" s="204">
        <v>43663</v>
      </c>
      <c r="B6560" s="29" t="s">
        <v>111</v>
      </c>
      <c r="C6560" s="29" t="s">
        <v>5494</v>
      </c>
      <c r="D6560" s="8">
        <v>330</v>
      </c>
      <c r="E6560" s="8"/>
      <c r="F6560" s="92">
        <f t="shared" si="123"/>
        <v>14779</v>
      </c>
    </row>
    <row r="6561" spans="1:6" x14ac:dyDescent="0.25">
      <c r="A6561" s="204">
        <v>43663</v>
      </c>
      <c r="B6561" s="244" t="s">
        <v>5444</v>
      </c>
      <c r="C6561" s="207" t="s">
        <v>5495</v>
      </c>
      <c r="D6561" s="245"/>
      <c r="E6561" s="98">
        <v>25000</v>
      </c>
      <c r="F6561" s="92">
        <f>F6560-D6561+E6561</f>
        <v>39779</v>
      </c>
    </row>
    <row r="6562" spans="1:6" x14ac:dyDescent="0.25">
      <c r="A6562" s="204">
        <v>43663</v>
      </c>
      <c r="B6562" s="26" t="s">
        <v>85</v>
      </c>
      <c r="C6562" s="26" t="s">
        <v>5496</v>
      </c>
      <c r="D6562" s="8">
        <v>10000</v>
      </c>
      <c r="E6562" s="8"/>
      <c r="F6562" s="92">
        <f t="shared" ref="F6562:F6571" si="124">F6561-D6562+E6562</f>
        <v>29779</v>
      </c>
    </row>
    <row r="6563" spans="1:6" x14ac:dyDescent="0.25">
      <c r="A6563" s="204">
        <v>43663</v>
      </c>
      <c r="B6563" s="26" t="s">
        <v>1840</v>
      </c>
      <c r="C6563" s="26" t="s">
        <v>5499</v>
      </c>
      <c r="D6563" s="8">
        <v>10000</v>
      </c>
      <c r="E6563" s="8"/>
      <c r="F6563" s="92">
        <f t="shared" si="124"/>
        <v>19779</v>
      </c>
    </row>
    <row r="6564" spans="1:6" x14ac:dyDescent="0.25">
      <c r="A6564" s="204">
        <v>43665</v>
      </c>
      <c r="B6564" s="26" t="s">
        <v>17</v>
      </c>
      <c r="C6564" s="26" t="s">
        <v>4323</v>
      </c>
      <c r="D6564" s="8">
        <v>3000</v>
      </c>
      <c r="E6564" s="8"/>
      <c r="F6564" s="92">
        <f t="shared" si="124"/>
        <v>16779</v>
      </c>
    </row>
    <row r="6565" spans="1:6" x14ac:dyDescent="0.25">
      <c r="A6565" s="204">
        <v>43665</v>
      </c>
      <c r="B6565" s="26" t="s">
        <v>5497</v>
      </c>
      <c r="C6565" s="26" t="s">
        <v>5498</v>
      </c>
      <c r="D6565" s="8">
        <v>2400</v>
      </c>
      <c r="E6565" s="8"/>
      <c r="F6565" s="92">
        <f t="shared" si="124"/>
        <v>14379</v>
      </c>
    </row>
    <row r="6566" spans="1:6" x14ac:dyDescent="0.25">
      <c r="A6566" s="204">
        <v>43665</v>
      </c>
      <c r="B6566" s="26" t="s">
        <v>5502</v>
      </c>
      <c r="C6566" s="26" t="s">
        <v>5503</v>
      </c>
      <c r="D6566" s="8">
        <v>2400</v>
      </c>
      <c r="E6566" s="8"/>
      <c r="F6566" s="92">
        <f t="shared" si="124"/>
        <v>11979</v>
      </c>
    </row>
    <row r="6567" spans="1:6" x14ac:dyDescent="0.25">
      <c r="A6567" s="204">
        <v>43665</v>
      </c>
      <c r="B6567" s="26" t="s">
        <v>26</v>
      </c>
      <c r="C6567" s="26" t="s">
        <v>5500</v>
      </c>
      <c r="D6567" s="8">
        <f>190+330+50+160+375+170+230+60+75+430+110+170+30+50+135+400+20+50+20-1</f>
        <v>3054</v>
      </c>
      <c r="E6567" s="8"/>
      <c r="F6567" s="92">
        <f t="shared" si="124"/>
        <v>8925</v>
      </c>
    </row>
    <row r="6568" spans="1:6" x14ac:dyDescent="0.25">
      <c r="A6568" s="204">
        <v>43665</v>
      </c>
      <c r="B6568" s="244" t="s">
        <v>5444</v>
      </c>
      <c r="C6568" s="207" t="s">
        <v>5495</v>
      </c>
      <c r="D6568" s="245"/>
      <c r="E6568" s="98">
        <v>25000</v>
      </c>
      <c r="F6568" s="92">
        <f t="shared" si="124"/>
        <v>33925</v>
      </c>
    </row>
    <row r="6569" spans="1:6" x14ac:dyDescent="0.25">
      <c r="A6569" s="204">
        <v>43665</v>
      </c>
      <c r="B6569" s="26" t="s">
        <v>85</v>
      </c>
      <c r="C6569" s="26" t="s">
        <v>5501</v>
      </c>
      <c r="D6569" s="8">
        <v>6000</v>
      </c>
      <c r="E6569" s="8"/>
      <c r="F6569" s="92">
        <f t="shared" si="124"/>
        <v>27925</v>
      </c>
    </row>
    <row r="6570" spans="1:6" x14ac:dyDescent="0.25">
      <c r="A6570" s="204">
        <v>43665</v>
      </c>
      <c r="B6570" s="26" t="s">
        <v>2597</v>
      </c>
      <c r="C6570" s="29" t="s">
        <v>5510</v>
      </c>
      <c r="D6570" s="8">
        <v>4850</v>
      </c>
      <c r="E6570" s="8"/>
      <c r="F6570" s="92">
        <f t="shared" si="124"/>
        <v>23075</v>
      </c>
    </row>
    <row r="6571" spans="1:6" x14ac:dyDescent="0.25">
      <c r="A6571" s="204">
        <v>43665</v>
      </c>
      <c r="B6571" s="26" t="s">
        <v>1840</v>
      </c>
      <c r="C6571" s="26" t="s">
        <v>295</v>
      </c>
      <c r="D6571" s="8">
        <v>1000</v>
      </c>
      <c r="E6571" s="8"/>
      <c r="F6571" s="92">
        <f t="shared" si="124"/>
        <v>22075</v>
      </c>
    </row>
    <row r="6572" spans="1:6" x14ac:dyDescent="0.25">
      <c r="A6572" s="204">
        <v>43665</v>
      </c>
      <c r="B6572" s="26" t="s">
        <v>85</v>
      </c>
      <c r="C6572" s="26" t="s">
        <v>5504</v>
      </c>
      <c r="D6572" s="8">
        <v>5000</v>
      </c>
      <c r="E6572" s="8"/>
      <c r="F6572" s="92">
        <f t="shared" ref="F6572:F6574" si="125">F6571-D6572+E6572</f>
        <v>17075</v>
      </c>
    </row>
    <row r="6573" spans="1:6" x14ac:dyDescent="0.25">
      <c r="A6573" s="204">
        <v>43665</v>
      </c>
      <c r="B6573" s="26" t="s">
        <v>4116</v>
      </c>
      <c r="C6573" s="26" t="s">
        <v>295</v>
      </c>
      <c r="D6573" s="8">
        <v>1000</v>
      </c>
      <c r="E6573" s="8"/>
      <c r="F6573" s="92">
        <f t="shared" si="125"/>
        <v>16075</v>
      </c>
    </row>
    <row r="6574" spans="1:6" x14ac:dyDescent="0.25">
      <c r="A6574" s="204">
        <v>43665</v>
      </c>
      <c r="B6574" s="29" t="s">
        <v>19</v>
      </c>
      <c r="C6574" s="26" t="s">
        <v>295</v>
      </c>
      <c r="D6574" s="8">
        <v>2000</v>
      </c>
      <c r="E6574" s="8"/>
      <c r="F6574" s="92">
        <f t="shared" si="125"/>
        <v>14075</v>
      </c>
    </row>
    <row r="6575" spans="1:6" x14ac:dyDescent="0.25">
      <c r="A6575" s="204">
        <v>43666</v>
      </c>
      <c r="B6575" s="244"/>
      <c r="C6575" s="207" t="s">
        <v>2963</v>
      </c>
      <c r="D6575" s="245"/>
      <c r="E6575" s="98">
        <v>50000</v>
      </c>
      <c r="F6575" s="92">
        <f t="shared" ref="F6575:F6590" si="126">F6574-D6575+E6575</f>
        <v>64075</v>
      </c>
    </row>
    <row r="6576" spans="1:6" x14ac:dyDescent="0.25">
      <c r="A6576" s="204">
        <v>43666</v>
      </c>
      <c r="B6576" s="29" t="s">
        <v>4116</v>
      </c>
      <c r="C6576" s="29" t="s">
        <v>4323</v>
      </c>
      <c r="D6576" s="8">
        <f>30000-D6577</f>
        <v>3700</v>
      </c>
      <c r="E6576" s="8"/>
      <c r="F6576" s="92">
        <f t="shared" si="126"/>
        <v>60375</v>
      </c>
    </row>
    <row r="6577" spans="1:6" x14ac:dyDescent="0.25">
      <c r="A6577" s="204">
        <v>43666</v>
      </c>
      <c r="B6577" s="29" t="s">
        <v>5507</v>
      </c>
      <c r="C6577" s="29" t="s">
        <v>41</v>
      </c>
      <c r="D6577" s="8">
        <v>26300</v>
      </c>
      <c r="E6577" s="8"/>
      <c r="F6577" s="92">
        <f t="shared" si="126"/>
        <v>34075</v>
      </c>
    </row>
    <row r="6578" spans="1:6" x14ac:dyDescent="0.25">
      <c r="A6578" s="204">
        <v>43666</v>
      </c>
      <c r="B6578" s="29" t="s">
        <v>111</v>
      </c>
      <c r="C6578" s="29" t="s">
        <v>5052</v>
      </c>
      <c r="D6578" s="8">
        <v>12000</v>
      </c>
      <c r="E6578" s="8"/>
      <c r="F6578" s="92">
        <f t="shared" si="126"/>
        <v>22075</v>
      </c>
    </row>
    <row r="6579" spans="1:6" x14ac:dyDescent="0.25">
      <c r="A6579" s="204">
        <v>43666</v>
      </c>
      <c r="B6579" s="29" t="s">
        <v>5257</v>
      </c>
      <c r="C6579" s="29" t="s">
        <v>4755</v>
      </c>
      <c r="D6579" s="8">
        <v>1000</v>
      </c>
      <c r="E6579" s="8"/>
      <c r="F6579" s="92">
        <f t="shared" si="126"/>
        <v>21075</v>
      </c>
    </row>
    <row r="6580" spans="1:6" x14ac:dyDescent="0.25">
      <c r="A6580" s="204">
        <v>43666</v>
      </c>
      <c r="B6580" s="26" t="s">
        <v>85</v>
      </c>
      <c r="C6580" s="26" t="s">
        <v>5508</v>
      </c>
      <c r="D6580" s="8">
        <v>200</v>
      </c>
      <c r="E6580" s="8"/>
      <c r="F6580" s="92">
        <f t="shared" si="126"/>
        <v>20875</v>
      </c>
    </row>
    <row r="6581" spans="1:6" x14ac:dyDescent="0.25">
      <c r="A6581" s="204">
        <v>43666</v>
      </c>
      <c r="B6581" s="26" t="s">
        <v>2597</v>
      </c>
      <c r="C6581" s="26" t="s">
        <v>5459</v>
      </c>
      <c r="D6581" s="139">
        <v>4065</v>
      </c>
      <c r="E6581" s="8"/>
      <c r="F6581" s="92">
        <f t="shared" si="126"/>
        <v>16810</v>
      </c>
    </row>
    <row r="6582" spans="1:6" x14ac:dyDescent="0.25">
      <c r="A6582" s="204">
        <v>43668</v>
      </c>
      <c r="B6582" s="29" t="s">
        <v>14</v>
      </c>
      <c r="C6582" s="29" t="s">
        <v>295</v>
      </c>
      <c r="D6582" s="8">
        <v>5000</v>
      </c>
      <c r="E6582" s="8"/>
      <c r="F6582" s="92">
        <f t="shared" si="126"/>
        <v>11810</v>
      </c>
    </row>
    <row r="6583" spans="1:6" x14ac:dyDescent="0.25">
      <c r="A6583" s="204">
        <v>43668</v>
      </c>
      <c r="B6583" s="29" t="s">
        <v>542</v>
      </c>
      <c r="C6583" s="29" t="s">
        <v>2438</v>
      </c>
      <c r="D6583" s="8">
        <v>600</v>
      </c>
      <c r="E6583" s="8"/>
      <c r="F6583" s="92">
        <f t="shared" si="126"/>
        <v>11210</v>
      </c>
    </row>
    <row r="6584" spans="1:6" x14ac:dyDescent="0.25">
      <c r="A6584" s="204">
        <v>43668</v>
      </c>
      <c r="B6584" s="244" t="s">
        <v>5444</v>
      </c>
      <c r="C6584" s="207" t="s">
        <v>5495</v>
      </c>
      <c r="D6584" s="245"/>
      <c r="E6584" s="98">
        <v>25000</v>
      </c>
      <c r="F6584" s="92">
        <f t="shared" si="126"/>
        <v>36210</v>
      </c>
    </row>
    <row r="6585" spans="1:6" x14ac:dyDescent="0.25">
      <c r="A6585" s="204">
        <v>43668</v>
      </c>
      <c r="B6585" s="26" t="s">
        <v>5512</v>
      </c>
      <c r="C6585" s="26" t="s">
        <v>41</v>
      </c>
      <c r="D6585" s="8">
        <v>9000</v>
      </c>
      <c r="E6585" s="8"/>
      <c r="F6585" s="92">
        <f t="shared" si="126"/>
        <v>27210</v>
      </c>
    </row>
    <row r="6586" spans="1:6" x14ac:dyDescent="0.25">
      <c r="A6586" s="204">
        <v>43668</v>
      </c>
      <c r="B6586" s="29" t="s">
        <v>1682</v>
      </c>
      <c r="C6586" s="29" t="s">
        <v>5513</v>
      </c>
      <c r="D6586" s="8">
        <v>10000</v>
      </c>
      <c r="E6586" s="8"/>
      <c r="F6586" s="92">
        <f t="shared" si="126"/>
        <v>17210</v>
      </c>
    </row>
    <row r="6587" spans="1:6" x14ac:dyDescent="0.25">
      <c r="A6587" s="204">
        <v>43668</v>
      </c>
      <c r="B6587" s="26" t="s">
        <v>4776</v>
      </c>
      <c r="C6587" s="26" t="s">
        <v>4191</v>
      </c>
      <c r="D6587" s="8">
        <v>5000</v>
      </c>
      <c r="E6587" s="8"/>
      <c r="F6587" s="92">
        <f t="shared" si="126"/>
        <v>12210</v>
      </c>
    </row>
    <row r="6588" spans="1:6" x14ac:dyDescent="0.25">
      <c r="A6588" s="204">
        <v>43669</v>
      </c>
      <c r="B6588" s="26" t="s">
        <v>2266</v>
      </c>
      <c r="C6588" s="26" t="s">
        <v>5515</v>
      </c>
      <c r="D6588" s="8">
        <v>300</v>
      </c>
      <c r="E6588" s="8"/>
      <c r="F6588" s="92">
        <f t="shared" si="126"/>
        <v>11910</v>
      </c>
    </row>
    <row r="6589" spans="1:6" x14ac:dyDescent="0.25">
      <c r="A6589" s="204">
        <v>43669</v>
      </c>
      <c r="B6589" s="26" t="s">
        <v>5479</v>
      </c>
      <c r="C6589" s="26" t="s">
        <v>5516</v>
      </c>
      <c r="D6589" s="8">
        <v>360</v>
      </c>
      <c r="E6589" s="8"/>
      <c r="F6589" s="92">
        <f t="shared" si="126"/>
        <v>11550</v>
      </c>
    </row>
    <row r="6590" spans="1:6" x14ac:dyDescent="0.25">
      <c r="A6590" s="204">
        <v>43669</v>
      </c>
      <c r="B6590" s="26" t="s">
        <v>85</v>
      </c>
      <c r="C6590" s="26" t="s">
        <v>5517</v>
      </c>
      <c r="D6590" s="8">
        <v>1000</v>
      </c>
      <c r="E6590" s="8"/>
      <c r="F6590" s="92">
        <f t="shared" si="126"/>
        <v>10550</v>
      </c>
    </row>
    <row r="6591" spans="1:6" x14ac:dyDescent="0.25">
      <c r="A6591" s="204">
        <v>43669</v>
      </c>
      <c r="B6591" s="244" t="s">
        <v>5444</v>
      </c>
      <c r="C6591" s="207" t="s">
        <v>5518</v>
      </c>
      <c r="D6591" s="245"/>
      <c r="E6591" s="98">
        <v>50000</v>
      </c>
      <c r="F6591" s="92">
        <f t="shared" ref="F6591:F6654" si="127">F6590-D6591+E6591</f>
        <v>60550</v>
      </c>
    </row>
    <row r="6592" spans="1:6" x14ac:dyDescent="0.25">
      <c r="A6592" s="204">
        <v>43669</v>
      </c>
      <c r="B6592" s="26" t="s">
        <v>2597</v>
      </c>
      <c r="C6592" s="26" t="s">
        <v>5440</v>
      </c>
      <c r="D6592" s="139">
        <v>4000</v>
      </c>
      <c r="E6592" s="8"/>
      <c r="F6592" s="92">
        <f t="shared" si="127"/>
        <v>56550</v>
      </c>
    </row>
    <row r="6593" spans="1:6" x14ac:dyDescent="0.25">
      <c r="A6593" s="204">
        <v>43669</v>
      </c>
      <c r="B6593" s="26" t="s">
        <v>14</v>
      </c>
      <c r="C6593" s="26" t="s">
        <v>295</v>
      </c>
      <c r="D6593" s="8">
        <v>5000</v>
      </c>
      <c r="E6593" s="8"/>
      <c r="F6593" s="92">
        <f t="shared" si="127"/>
        <v>51550</v>
      </c>
    </row>
    <row r="6594" spans="1:6" x14ac:dyDescent="0.25">
      <c r="A6594" s="204">
        <v>43669</v>
      </c>
      <c r="B6594" s="26" t="s">
        <v>85</v>
      </c>
      <c r="C6594" s="26" t="s">
        <v>5520</v>
      </c>
      <c r="D6594" s="8">
        <v>5000</v>
      </c>
      <c r="E6594" s="8"/>
      <c r="F6594" s="92">
        <f t="shared" si="127"/>
        <v>46550</v>
      </c>
    </row>
    <row r="6595" spans="1:6" x14ac:dyDescent="0.25">
      <c r="A6595" s="204">
        <v>43670</v>
      </c>
      <c r="B6595" s="26" t="s">
        <v>3563</v>
      </c>
      <c r="C6595" s="26" t="s">
        <v>3446</v>
      </c>
      <c r="D6595" s="8">
        <v>640</v>
      </c>
      <c r="E6595" s="8"/>
      <c r="F6595" s="92">
        <f t="shared" si="127"/>
        <v>45910</v>
      </c>
    </row>
    <row r="6596" spans="1:6" x14ac:dyDescent="0.25">
      <c r="A6596" s="204">
        <v>43670</v>
      </c>
      <c r="B6596" s="26" t="s">
        <v>85</v>
      </c>
      <c r="C6596" s="26" t="s">
        <v>5521</v>
      </c>
      <c r="D6596" s="8">
        <v>2000</v>
      </c>
      <c r="E6596" s="8"/>
      <c r="F6596" s="92">
        <f t="shared" si="127"/>
        <v>43910</v>
      </c>
    </row>
    <row r="6597" spans="1:6" x14ac:dyDescent="0.25">
      <c r="A6597" s="204">
        <v>43670</v>
      </c>
      <c r="B6597" s="26" t="s">
        <v>17</v>
      </c>
      <c r="C6597" s="26" t="s">
        <v>5522</v>
      </c>
      <c r="D6597" s="8">
        <v>20000</v>
      </c>
      <c r="E6597" s="8"/>
      <c r="F6597" s="92">
        <f t="shared" si="127"/>
        <v>23910</v>
      </c>
    </row>
    <row r="6598" spans="1:6" x14ac:dyDescent="0.25">
      <c r="A6598" s="204">
        <v>43671</v>
      </c>
      <c r="B6598" s="244" t="s">
        <v>5444</v>
      </c>
      <c r="C6598" s="207" t="s">
        <v>5495</v>
      </c>
      <c r="D6598" s="245"/>
      <c r="E6598" s="98">
        <v>25000</v>
      </c>
      <c r="F6598" s="92">
        <f t="shared" si="127"/>
        <v>48910</v>
      </c>
    </row>
    <row r="6599" spans="1:6" x14ac:dyDescent="0.25">
      <c r="A6599" s="204">
        <v>43671</v>
      </c>
      <c r="B6599" s="26" t="s">
        <v>14</v>
      </c>
      <c r="C6599" s="26" t="s">
        <v>5523</v>
      </c>
      <c r="D6599" s="8">
        <v>5800</v>
      </c>
      <c r="E6599" s="8"/>
      <c r="F6599" s="92">
        <f t="shared" si="127"/>
        <v>43110</v>
      </c>
    </row>
    <row r="6600" spans="1:6" x14ac:dyDescent="0.25">
      <c r="A6600" s="204">
        <v>43671</v>
      </c>
      <c r="B6600" s="26" t="s">
        <v>2597</v>
      </c>
      <c r="C6600" s="26" t="s">
        <v>5524</v>
      </c>
      <c r="D6600" s="8">
        <v>22000</v>
      </c>
      <c r="E6600" s="8"/>
      <c r="F6600" s="92">
        <f t="shared" si="127"/>
        <v>21110</v>
      </c>
    </row>
    <row r="6601" spans="1:6" x14ac:dyDescent="0.25">
      <c r="A6601" s="204">
        <v>43671</v>
      </c>
      <c r="B6601" s="26" t="s">
        <v>2597</v>
      </c>
      <c r="C6601" s="26" t="s">
        <v>5529</v>
      </c>
      <c r="D6601" s="8">
        <v>5000</v>
      </c>
      <c r="E6601" s="8"/>
      <c r="F6601" s="92">
        <f t="shared" si="127"/>
        <v>16110</v>
      </c>
    </row>
    <row r="6602" spans="1:6" x14ac:dyDescent="0.25">
      <c r="A6602" s="204">
        <v>43672</v>
      </c>
      <c r="B6602" s="29" t="s">
        <v>2597</v>
      </c>
      <c r="C6602" s="29" t="s">
        <v>5535</v>
      </c>
      <c r="D6602" s="8">
        <v>1220</v>
      </c>
      <c r="E6602" s="8"/>
      <c r="F6602" s="92">
        <f t="shared" si="127"/>
        <v>14890</v>
      </c>
    </row>
    <row r="6603" spans="1:6" x14ac:dyDescent="0.25">
      <c r="A6603" s="204">
        <v>43672</v>
      </c>
      <c r="B6603" s="29" t="s">
        <v>4776</v>
      </c>
      <c r="C6603" s="29" t="s">
        <v>5530</v>
      </c>
      <c r="D6603" s="8">
        <v>10000</v>
      </c>
      <c r="E6603" s="8"/>
      <c r="F6603" s="92">
        <f t="shared" si="127"/>
        <v>4890</v>
      </c>
    </row>
    <row r="6604" spans="1:6" x14ac:dyDescent="0.25">
      <c r="A6604" s="204">
        <v>43672</v>
      </c>
      <c r="B6604" s="26" t="s">
        <v>85</v>
      </c>
      <c r="C6604" s="26" t="s">
        <v>5531</v>
      </c>
      <c r="D6604" s="8">
        <v>2000</v>
      </c>
      <c r="E6604" s="8"/>
      <c r="F6604" s="92">
        <f t="shared" si="127"/>
        <v>2890</v>
      </c>
    </row>
    <row r="6605" spans="1:6" x14ac:dyDescent="0.25">
      <c r="A6605" s="204">
        <v>43673</v>
      </c>
      <c r="B6605" s="26" t="s">
        <v>4116</v>
      </c>
      <c r="C6605" s="26" t="s">
        <v>5532</v>
      </c>
      <c r="D6605" s="8">
        <v>2000</v>
      </c>
      <c r="E6605" s="8"/>
      <c r="F6605" s="92">
        <f t="shared" si="127"/>
        <v>890</v>
      </c>
    </row>
    <row r="6606" spans="1:6" x14ac:dyDescent="0.25">
      <c r="A6606" s="204">
        <v>43673</v>
      </c>
      <c r="B6606" s="244" t="s">
        <v>3448</v>
      </c>
      <c r="C6606" s="214">
        <v>1961970</v>
      </c>
      <c r="D6606" s="245"/>
      <c r="E6606" s="98">
        <v>50000</v>
      </c>
      <c r="F6606" s="92">
        <f t="shared" si="127"/>
        <v>50890</v>
      </c>
    </row>
    <row r="6607" spans="1:6" x14ac:dyDescent="0.25">
      <c r="A6607" s="204">
        <v>43673</v>
      </c>
      <c r="B6607" s="26" t="s">
        <v>26</v>
      </c>
      <c r="C6607" s="26" t="s">
        <v>5533</v>
      </c>
      <c r="D6607" s="8">
        <f>240+50+30+130+160+120+160+60+75+220+150+230+200+220+90+200+80+20+220+200</f>
        <v>2855</v>
      </c>
      <c r="E6607" s="8"/>
      <c r="F6607" s="92">
        <f t="shared" si="127"/>
        <v>48035</v>
      </c>
    </row>
    <row r="6608" spans="1:6" x14ac:dyDescent="0.25">
      <c r="A6608" s="204">
        <v>43673</v>
      </c>
      <c r="B6608" s="26" t="s">
        <v>694</v>
      </c>
      <c r="C6608" s="26" t="s">
        <v>5479</v>
      </c>
      <c r="D6608" s="8">
        <v>1080</v>
      </c>
      <c r="E6608" s="8"/>
      <c r="F6608" s="92">
        <f t="shared" si="127"/>
        <v>46955</v>
      </c>
    </row>
    <row r="6609" spans="1:7" x14ac:dyDescent="0.25">
      <c r="A6609" s="204">
        <v>43673</v>
      </c>
      <c r="B6609" s="26" t="s">
        <v>14</v>
      </c>
      <c r="C6609" s="26" t="s">
        <v>295</v>
      </c>
      <c r="D6609" s="8">
        <v>9000</v>
      </c>
      <c r="E6609" s="8"/>
      <c r="F6609" s="92">
        <f t="shared" si="127"/>
        <v>37955</v>
      </c>
    </row>
    <row r="6610" spans="1:7" x14ac:dyDescent="0.25">
      <c r="A6610" s="204">
        <v>43678</v>
      </c>
      <c r="B6610" s="244" t="s">
        <v>3448</v>
      </c>
      <c r="C6610" s="214"/>
      <c r="D6610" s="245"/>
      <c r="E6610" s="98">
        <v>100000</v>
      </c>
      <c r="F6610" s="92">
        <f t="shared" si="127"/>
        <v>137955</v>
      </c>
    </row>
    <row r="6611" spans="1:7" x14ac:dyDescent="0.25">
      <c r="A6611" s="204">
        <v>43673</v>
      </c>
      <c r="B6611" s="26" t="s">
        <v>2597</v>
      </c>
      <c r="C6611" s="26" t="s">
        <v>5534</v>
      </c>
      <c r="D6611" s="8">
        <v>49000</v>
      </c>
      <c r="E6611" s="8"/>
      <c r="F6611" s="92">
        <f t="shared" si="127"/>
        <v>88955</v>
      </c>
    </row>
    <row r="6612" spans="1:7" x14ac:dyDescent="0.25">
      <c r="A6612" s="204">
        <v>43673</v>
      </c>
      <c r="B6612" s="29" t="s">
        <v>2597</v>
      </c>
      <c r="C6612" s="29" t="s">
        <v>5545</v>
      </c>
      <c r="D6612" s="8">
        <f>5000+280</f>
        <v>5280</v>
      </c>
      <c r="E6612" s="8"/>
      <c r="F6612" s="92">
        <f t="shared" si="127"/>
        <v>83675</v>
      </c>
    </row>
    <row r="6613" spans="1:7" x14ac:dyDescent="0.25">
      <c r="A6613" s="204">
        <v>43673</v>
      </c>
      <c r="B6613" s="29" t="s">
        <v>3563</v>
      </c>
      <c r="C6613" s="29" t="s">
        <v>5536</v>
      </c>
      <c r="D6613" s="8">
        <v>1000</v>
      </c>
      <c r="E6613" s="8"/>
      <c r="F6613" s="92">
        <f t="shared" si="127"/>
        <v>82675</v>
      </c>
    </row>
    <row r="6614" spans="1:7" x14ac:dyDescent="0.25">
      <c r="A6614" s="204">
        <v>43676</v>
      </c>
      <c r="B6614" s="29" t="s">
        <v>5537</v>
      </c>
      <c r="C6614" s="29" t="s">
        <v>5538</v>
      </c>
      <c r="D6614" s="8">
        <v>10000</v>
      </c>
      <c r="E6614" s="8"/>
      <c r="F6614" s="92">
        <f t="shared" si="127"/>
        <v>72675</v>
      </c>
    </row>
    <row r="6615" spans="1:7" x14ac:dyDescent="0.25">
      <c r="A6615" s="204">
        <v>43676</v>
      </c>
      <c r="B6615" s="29" t="s">
        <v>14</v>
      </c>
      <c r="C6615" s="29" t="s">
        <v>641</v>
      </c>
      <c r="D6615" s="8">
        <v>1000</v>
      </c>
      <c r="E6615" s="8"/>
      <c r="F6615" s="92">
        <f t="shared" si="127"/>
        <v>71675</v>
      </c>
    </row>
    <row r="6616" spans="1:7" x14ac:dyDescent="0.25">
      <c r="A6616" s="204">
        <v>43678</v>
      </c>
      <c r="B6616" s="26" t="s">
        <v>85</v>
      </c>
      <c r="C6616" s="26" t="s">
        <v>5539</v>
      </c>
      <c r="D6616" s="8">
        <v>5000</v>
      </c>
      <c r="E6616" s="8"/>
      <c r="F6616" s="92">
        <f t="shared" si="127"/>
        <v>66675</v>
      </c>
    </row>
    <row r="6617" spans="1:7" x14ac:dyDescent="0.25">
      <c r="A6617" s="204">
        <v>43678</v>
      </c>
      <c r="B6617" s="26" t="s">
        <v>85</v>
      </c>
      <c r="C6617" s="26" t="s">
        <v>5542</v>
      </c>
      <c r="D6617" s="8">
        <v>10000</v>
      </c>
      <c r="E6617" s="8"/>
      <c r="F6617" s="92">
        <f t="shared" si="127"/>
        <v>56675</v>
      </c>
    </row>
    <row r="6618" spans="1:7" x14ac:dyDescent="0.25">
      <c r="A6618" s="204">
        <v>43678</v>
      </c>
      <c r="B6618" s="26" t="s">
        <v>55</v>
      </c>
      <c r="C6618" s="26" t="s">
        <v>5540</v>
      </c>
      <c r="D6618" s="8">
        <v>35000</v>
      </c>
      <c r="E6618" s="8"/>
      <c r="F6618" s="92">
        <f t="shared" si="127"/>
        <v>21675</v>
      </c>
      <c r="G6618" s="25"/>
    </row>
    <row r="6619" spans="1:7" x14ac:dyDescent="0.25">
      <c r="A6619" s="204">
        <v>43678</v>
      </c>
      <c r="B6619" s="26" t="s">
        <v>694</v>
      </c>
      <c r="C6619" s="26" t="s">
        <v>5541</v>
      </c>
      <c r="D6619" s="8">
        <v>1000</v>
      </c>
      <c r="E6619" s="8"/>
      <c r="F6619" s="92">
        <f t="shared" si="127"/>
        <v>20675</v>
      </c>
    </row>
    <row r="6620" spans="1:7" x14ac:dyDescent="0.25">
      <c r="A6620" s="204">
        <v>43678</v>
      </c>
      <c r="B6620" s="26" t="s">
        <v>4116</v>
      </c>
      <c r="C6620" s="26" t="s">
        <v>4323</v>
      </c>
      <c r="D6620" s="8">
        <v>2000</v>
      </c>
      <c r="E6620" s="8"/>
      <c r="F6620" s="92">
        <f t="shared" si="127"/>
        <v>18675</v>
      </c>
    </row>
    <row r="6621" spans="1:7" x14ac:dyDescent="0.25">
      <c r="A6621" s="204">
        <v>43678</v>
      </c>
      <c r="B6621" s="244" t="s">
        <v>3448</v>
      </c>
      <c r="C6621" s="214"/>
      <c r="D6621" s="245"/>
      <c r="E6621" s="98">
        <v>50000</v>
      </c>
      <c r="F6621" s="92">
        <f t="shared" si="127"/>
        <v>68675</v>
      </c>
    </row>
    <row r="6622" spans="1:7" x14ac:dyDescent="0.25">
      <c r="A6622" s="204">
        <v>43678</v>
      </c>
      <c r="B6622" s="26" t="s">
        <v>5214</v>
      </c>
      <c r="C6622" s="26" t="s">
        <v>295</v>
      </c>
      <c r="D6622" s="161">
        <v>20000</v>
      </c>
      <c r="E6622" s="8"/>
      <c r="F6622" s="92">
        <f t="shared" si="127"/>
        <v>48675</v>
      </c>
    </row>
    <row r="6623" spans="1:7" x14ac:dyDescent="0.25">
      <c r="A6623" s="204">
        <v>43678</v>
      </c>
      <c r="B6623" s="26" t="s">
        <v>4776</v>
      </c>
      <c r="C6623" s="26" t="s">
        <v>5544</v>
      </c>
      <c r="D6623" s="8">
        <f>14000-3000</f>
        <v>11000</v>
      </c>
      <c r="E6623" s="8"/>
      <c r="F6623" s="92">
        <f t="shared" si="127"/>
        <v>37675</v>
      </c>
    </row>
    <row r="6624" spans="1:7" x14ac:dyDescent="0.25">
      <c r="A6624" s="204">
        <v>43678</v>
      </c>
      <c r="B6624" s="26" t="s">
        <v>85</v>
      </c>
      <c r="C6624" s="26" t="s">
        <v>5562</v>
      </c>
      <c r="D6624" s="8">
        <v>3000</v>
      </c>
      <c r="E6624" s="8"/>
      <c r="F6624" s="92">
        <f t="shared" si="127"/>
        <v>34675</v>
      </c>
    </row>
    <row r="6625" spans="1:6" x14ac:dyDescent="0.25">
      <c r="A6625" s="204">
        <v>43678</v>
      </c>
      <c r="B6625" s="26" t="s">
        <v>1515</v>
      </c>
      <c r="C6625" s="26" t="s">
        <v>5543</v>
      </c>
      <c r="D6625" s="8">
        <v>6000</v>
      </c>
      <c r="E6625" s="8"/>
      <c r="F6625" s="92">
        <f t="shared" si="127"/>
        <v>28675</v>
      </c>
    </row>
    <row r="6626" spans="1:6" x14ac:dyDescent="0.25">
      <c r="A6626" s="204">
        <v>43678</v>
      </c>
      <c r="B6626" s="244" t="s">
        <v>5549</v>
      </c>
      <c r="C6626" s="214"/>
      <c r="D6626" s="245"/>
      <c r="E6626" s="98">
        <v>18000</v>
      </c>
      <c r="F6626" s="92">
        <f t="shared" si="127"/>
        <v>46675</v>
      </c>
    </row>
    <row r="6627" spans="1:6" x14ac:dyDescent="0.25">
      <c r="A6627" s="204">
        <v>43679</v>
      </c>
      <c r="B6627" s="26" t="s">
        <v>2597</v>
      </c>
      <c r="C6627" s="26" t="s">
        <v>4589</v>
      </c>
      <c r="D6627" s="8">
        <v>12350</v>
      </c>
      <c r="E6627" s="8"/>
      <c r="F6627" s="92">
        <f t="shared" si="127"/>
        <v>34325</v>
      </c>
    </row>
    <row r="6628" spans="1:6" x14ac:dyDescent="0.25">
      <c r="A6628" s="204">
        <v>43679</v>
      </c>
      <c r="B6628" s="26" t="s">
        <v>2597</v>
      </c>
      <c r="C6628" s="26" t="s">
        <v>4589</v>
      </c>
      <c r="D6628" s="8">
        <v>8465</v>
      </c>
      <c r="E6628" s="8"/>
      <c r="F6628" s="92">
        <f t="shared" si="127"/>
        <v>25860</v>
      </c>
    </row>
    <row r="6629" spans="1:6" x14ac:dyDescent="0.25">
      <c r="A6629" s="204">
        <v>43678</v>
      </c>
      <c r="B6629" s="26" t="s">
        <v>2597</v>
      </c>
      <c r="C6629" s="26" t="s">
        <v>3146</v>
      </c>
      <c r="D6629" s="8">
        <v>12000</v>
      </c>
      <c r="E6629" s="8"/>
      <c r="F6629" s="92">
        <f t="shared" si="127"/>
        <v>13860</v>
      </c>
    </row>
    <row r="6630" spans="1:6" x14ac:dyDescent="0.25">
      <c r="A6630" s="204">
        <v>43678</v>
      </c>
      <c r="B6630" s="26" t="s">
        <v>26</v>
      </c>
      <c r="C6630" s="26" t="s">
        <v>5546</v>
      </c>
      <c r="D6630" s="8">
        <v>2300</v>
      </c>
      <c r="E6630" s="8"/>
      <c r="F6630" s="92">
        <f t="shared" si="127"/>
        <v>11560</v>
      </c>
    </row>
    <row r="6631" spans="1:6" x14ac:dyDescent="0.25">
      <c r="A6631" s="204">
        <v>43679</v>
      </c>
      <c r="B6631" s="26" t="s">
        <v>17</v>
      </c>
      <c r="C6631" s="26" t="s">
        <v>295</v>
      </c>
      <c r="D6631" s="8">
        <v>10000</v>
      </c>
      <c r="E6631" s="8"/>
      <c r="F6631" s="92">
        <f t="shared" si="127"/>
        <v>1560</v>
      </c>
    </row>
    <row r="6632" spans="1:6" x14ac:dyDescent="0.25">
      <c r="A6632" s="204">
        <v>43679</v>
      </c>
      <c r="B6632" s="244" t="s">
        <v>5547</v>
      </c>
      <c r="C6632" s="214"/>
      <c r="D6632" s="245"/>
      <c r="E6632" s="98">
        <v>5000</v>
      </c>
      <c r="F6632" s="92">
        <f t="shared" si="127"/>
        <v>6560</v>
      </c>
    </row>
    <row r="6633" spans="1:6" x14ac:dyDescent="0.25">
      <c r="A6633" s="204">
        <v>43679</v>
      </c>
      <c r="B6633" s="26" t="s">
        <v>2597</v>
      </c>
      <c r="C6633" s="26" t="s">
        <v>5553</v>
      </c>
      <c r="D6633" s="8">
        <v>2663</v>
      </c>
      <c r="E6633" s="8"/>
      <c r="F6633" s="92">
        <f t="shared" si="127"/>
        <v>3897</v>
      </c>
    </row>
    <row r="6634" spans="1:6" x14ac:dyDescent="0.25">
      <c r="A6634" s="204">
        <v>43679</v>
      </c>
      <c r="B6634" s="26" t="s">
        <v>14</v>
      </c>
      <c r="C6634" s="26" t="s">
        <v>295</v>
      </c>
      <c r="D6634" s="8">
        <v>2000</v>
      </c>
      <c r="E6634" s="8"/>
      <c r="F6634" s="92">
        <f t="shared" si="127"/>
        <v>1897</v>
      </c>
    </row>
    <row r="6635" spans="1:6" x14ac:dyDescent="0.25">
      <c r="A6635" s="204">
        <v>43679</v>
      </c>
      <c r="B6635" s="26" t="s">
        <v>5444</v>
      </c>
      <c r="C6635" s="26" t="s">
        <v>5548</v>
      </c>
      <c r="D6635" s="8">
        <v>1000</v>
      </c>
      <c r="E6635" s="8"/>
      <c r="F6635" s="92">
        <f t="shared" si="127"/>
        <v>897</v>
      </c>
    </row>
    <row r="6636" spans="1:6" x14ac:dyDescent="0.25">
      <c r="A6636" s="204">
        <v>43682</v>
      </c>
      <c r="B6636" s="244" t="s">
        <v>5555</v>
      </c>
      <c r="C6636" s="214"/>
      <c r="D6636" s="245"/>
      <c r="E6636" s="98">
        <v>1000000</v>
      </c>
      <c r="F6636" s="92">
        <f t="shared" si="127"/>
        <v>1000897</v>
      </c>
    </row>
    <row r="6637" spans="1:6" x14ac:dyDescent="0.25">
      <c r="A6637" s="204">
        <v>43680</v>
      </c>
      <c r="B6637" s="29" t="s">
        <v>2597</v>
      </c>
      <c r="C6637" s="29" t="s">
        <v>5459</v>
      </c>
      <c r="D6637" s="8">
        <v>1000</v>
      </c>
      <c r="E6637" s="8"/>
      <c r="F6637" s="92">
        <f t="shared" si="127"/>
        <v>999897</v>
      </c>
    </row>
    <row r="6638" spans="1:6" x14ac:dyDescent="0.25">
      <c r="A6638" s="204">
        <v>43680</v>
      </c>
      <c r="B6638" s="29" t="s">
        <v>2597</v>
      </c>
      <c r="C6638" s="29" t="s">
        <v>5552</v>
      </c>
      <c r="D6638" s="8">
        <v>1500</v>
      </c>
      <c r="E6638" s="8"/>
      <c r="F6638" s="92">
        <f t="shared" si="127"/>
        <v>998397</v>
      </c>
    </row>
    <row r="6639" spans="1:6" x14ac:dyDescent="0.25">
      <c r="A6639" s="204">
        <v>43680</v>
      </c>
      <c r="B6639" s="26" t="s">
        <v>85</v>
      </c>
      <c r="C6639" s="26" t="s">
        <v>5550</v>
      </c>
      <c r="D6639" s="8">
        <v>1000</v>
      </c>
      <c r="E6639" s="8"/>
      <c r="F6639" s="92">
        <f t="shared" si="127"/>
        <v>997397</v>
      </c>
    </row>
    <row r="6640" spans="1:6" x14ac:dyDescent="0.25">
      <c r="A6640" s="204">
        <v>43680</v>
      </c>
      <c r="B6640" s="26" t="s">
        <v>85</v>
      </c>
      <c r="C6640" s="26" t="s">
        <v>5551</v>
      </c>
      <c r="D6640" s="8">
        <v>1000</v>
      </c>
      <c r="E6640" s="8"/>
      <c r="F6640" s="92">
        <f t="shared" si="127"/>
        <v>996397</v>
      </c>
    </row>
    <row r="6641" spans="1:6" x14ac:dyDescent="0.25">
      <c r="A6641" s="204">
        <v>43680</v>
      </c>
      <c r="B6641" s="26" t="s">
        <v>2597</v>
      </c>
      <c r="C6641" s="26" t="s">
        <v>5554</v>
      </c>
      <c r="D6641" s="8">
        <v>4237</v>
      </c>
      <c r="E6641" s="8"/>
      <c r="F6641" s="92">
        <f t="shared" si="127"/>
        <v>992160</v>
      </c>
    </row>
    <row r="6642" spans="1:6" x14ac:dyDescent="0.25">
      <c r="A6642" s="204">
        <v>43682</v>
      </c>
      <c r="B6642" s="29" t="s">
        <v>14</v>
      </c>
      <c r="C6642" s="29" t="s">
        <v>5556</v>
      </c>
      <c r="D6642" s="8">
        <v>25000</v>
      </c>
      <c r="E6642" s="8"/>
      <c r="F6642" s="92">
        <f t="shared" si="127"/>
        <v>967160</v>
      </c>
    </row>
    <row r="6643" spans="1:6" x14ac:dyDescent="0.25">
      <c r="A6643" s="204">
        <v>43682</v>
      </c>
      <c r="B6643" s="29" t="s">
        <v>58</v>
      </c>
      <c r="C6643" s="29" t="s">
        <v>5573</v>
      </c>
      <c r="D6643" s="8">
        <v>7600</v>
      </c>
      <c r="E6643" s="8"/>
      <c r="F6643" s="92">
        <f t="shared" si="127"/>
        <v>959560</v>
      </c>
    </row>
    <row r="6644" spans="1:6" x14ac:dyDescent="0.25">
      <c r="A6644" s="204">
        <v>43682</v>
      </c>
      <c r="B6644" s="29" t="s">
        <v>4778</v>
      </c>
      <c r="C6644" s="29" t="s">
        <v>5557</v>
      </c>
      <c r="D6644" s="8">
        <v>10500</v>
      </c>
      <c r="E6644" s="8"/>
      <c r="F6644" s="92">
        <f t="shared" si="127"/>
        <v>949060</v>
      </c>
    </row>
    <row r="6645" spans="1:6" x14ac:dyDescent="0.25">
      <c r="A6645" s="204">
        <v>43682</v>
      </c>
      <c r="B6645" s="29" t="s">
        <v>0</v>
      </c>
      <c r="C6645" s="29" t="s">
        <v>2016</v>
      </c>
      <c r="D6645" s="8">
        <v>100</v>
      </c>
      <c r="E6645" s="8"/>
      <c r="F6645" s="92">
        <f t="shared" si="127"/>
        <v>948960</v>
      </c>
    </row>
    <row r="6646" spans="1:6" x14ac:dyDescent="0.25">
      <c r="A6646" s="204">
        <v>43682</v>
      </c>
      <c r="B6646" s="29" t="s">
        <v>694</v>
      </c>
      <c r="C6646" s="29" t="s">
        <v>5558</v>
      </c>
      <c r="D6646" s="8">
        <f>800*7-1000</f>
        <v>4600</v>
      </c>
      <c r="E6646" s="8"/>
      <c r="F6646" s="92">
        <f t="shared" si="127"/>
        <v>944360</v>
      </c>
    </row>
    <row r="6647" spans="1:6" x14ac:dyDescent="0.25">
      <c r="A6647" s="204">
        <v>43682</v>
      </c>
      <c r="B6647" s="29" t="s">
        <v>2597</v>
      </c>
      <c r="C6647" s="29" t="s">
        <v>2016</v>
      </c>
      <c r="D6647" s="8">
        <v>200</v>
      </c>
      <c r="E6647" s="8"/>
      <c r="F6647" s="92">
        <f t="shared" si="127"/>
        <v>944160</v>
      </c>
    </row>
    <row r="6648" spans="1:6" x14ac:dyDescent="0.25">
      <c r="A6648" s="204">
        <v>43682</v>
      </c>
      <c r="B6648" s="29" t="s">
        <v>48</v>
      </c>
      <c r="C6648" s="29" t="s">
        <v>5559</v>
      </c>
      <c r="D6648" s="8">
        <v>1000</v>
      </c>
      <c r="E6648" s="8"/>
      <c r="F6648" s="92">
        <f t="shared" si="127"/>
        <v>943160</v>
      </c>
    </row>
    <row r="6649" spans="1:6" x14ac:dyDescent="0.25">
      <c r="A6649" s="204">
        <v>43683</v>
      </c>
      <c r="B6649" s="29" t="s">
        <v>2597</v>
      </c>
      <c r="C6649" s="29" t="s">
        <v>5578</v>
      </c>
      <c r="D6649" s="8">
        <v>20642</v>
      </c>
      <c r="E6649" s="8"/>
      <c r="F6649" s="92">
        <f t="shared" si="127"/>
        <v>922518</v>
      </c>
    </row>
    <row r="6650" spans="1:6" x14ac:dyDescent="0.25">
      <c r="A6650" s="204">
        <v>43683</v>
      </c>
      <c r="B6650" s="29" t="s">
        <v>58</v>
      </c>
      <c r="C6650" s="29" t="s">
        <v>5560</v>
      </c>
      <c r="D6650" s="8">
        <v>1000</v>
      </c>
      <c r="E6650" s="8"/>
      <c r="F6650" s="92">
        <f t="shared" si="127"/>
        <v>921518</v>
      </c>
    </row>
    <row r="6651" spans="1:6" x14ac:dyDescent="0.25">
      <c r="A6651" s="204">
        <v>43683</v>
      </c>
      <c r="B6651" s="29" t="s">
        <v>1840</v>
      </c>
      <c r="C6651" s="29" t="s">
        <v>4191</v>
      </c>
      <c r="D6651" s="8">
        <v>1000</v>
      </c>
      <c r="E6651" s="8"/>
      <c r="F6651" s="92">
        <f t="shared" si="127"/>
        <v>920518</v>
      </c>
    </row>
    <row r="6652" spans="1:6" x14ac:dyDescent="0.25">
      <c r="A6652" s="204">
        <v>43683</v>
      </c>
      <c r="B6652" s="26" t="s">
        <v>106</v>
      </c>
      <c r="C6652" s="26" t="s">
        <v>5561</v>
      </c>
      <c r="D6652" s="8">
        <v>1000</v>
      </c>
      <c r="E6652" s="8"/>
      <c r="F6652" s="92">
        <f t="shared" si="127"/>
        <v>919518</v>
      </c>
    </row>
    <row r="6653" spans="1:6" x14ac:dyDescent="0.25">
      <c r="A6653" s="204">
        <v>43684</v>
      </c>
      <c r="B6653" s="26" t="s">
        <v>3141</v>
      </c>
      <c r="C6653" s="26" t="s">
        <v>5563</v>
      </c>
      <c r="D6653" s="8">
        <v>527</v>
      </c>
      <c r="E6653" s="8"/>
      <c r="F6653" s="92">
        <f t="shared" si="127"/>
        <v>918991</v>
      </c>
    </row>
    <row r="6654" spans="1:6" x14ac:dyDescent="0.25">
      <c r="A6654" s="204">
        <v>43684</v>
      </c>
      <c r="B6654" s="26" t="s">
        <v>4776</v>
      </c>
      <c r="C6654" s="26" t="s">
        <v>4191</v>
      </c>
      <c r="D6654" s="8">
        <v>15000</v>
      </c>
      <c r="E6654" s="8"/>
      <c r="F6654" s="92">
        <f t="shared" si="127"/>
        <v>903991</v>
      </c>
    </row>
    <row r="6655" spans="1:6" x14ac:dyDescent="0.25">
      <c r="A6655" s="204">
        <v>43684</v>
      </c>
      <c r="B6655" s="26" t="s">
        <v>2597</v>
      </c>
      <c r="C6655" s="26" t="s">
        <v>5564</v>
      </c>
      <c r="D6655" s="8">
        <v>220</v>
      </c>
      <c r="E6655" s="8"/>
      <c r="F6655" s="92">
        <f t="shared" ref="F6655:F6710" si="128">F6654-D6655+E6655</f>
        <v>903771</v>
      </c>
    </row>
    <row r="6656" spans="1:6" x14ac:dyDescent="0.25">
      <c r="A6656" s="204">
        <v>43682</v>
      </c>
      <c r="B6656" s="244" t="s">
        <v>5566</v>
      </c>
      <c r="C6656" s="214"/>
      <c r="D6656" s="245"/>
      <c r="E6656" s="98">
        <v>600000</v>
      </c>
      <c r="F6656" s="92">
        <f t="shared" si="128"/>
        <v>1503771</v>
      </c>
    </row>
    <row r="6657" spans="1:6" x14ac:dyDescent="0.25">
      <c r="A6657" s="204">
        <v>43684</v>
      </c>
      <c r="B6657" s="26" t="s">
        <v>26</v>
      </c>
      <c r="C6657" s="26" t="s">
        <v>5565</v>
      </c>
      <c r="D6657" s="8">
        <f>2835+100</f>
        <v>2935</v>
      </c>
      <c r="E6657" s="8"/>
      <c r="F6657" s="92">
        <f t="shared" si="128"/>
        <v>1500836</v>
      </c>
    </row>
    <row r="6658" spans="1:6" x14ac:dyDescent="0.25">
      <c r="A6658" s="204">
        <v>43684</v>
      </c>
      <c r="B6658" s="29" t="s">
        <v>2597</v>
      </c>
      <c r="C6658" s="29" t="s">
        <v>5578</v>
      </c>
      <c r="D6658" s="8">
        <v>10540</v>
      </c>
      <c r="E6658" s="8"/>
      <c r="F6658" s="92">
        <f t="shared" si="128"/>
        <v>1490296</v>
      </c>
    </row>
    <row r="6659" spans="1:6" x14ac:dyDescent="0.25">
      <c r="A6659" s="204">
        <v>43684</v>
      </c>
      <c r="B6659" s="29" t="s">
        <v>5568</v>
      </c>
      <c r="C6659" s="29" t="s">
        <v>5567</v>
      </c>
      <c r="D6659" s="8">
        <v>1000</v>
      </c>
      <c r="E6659" s="8"/>
      <c r="F6659" s="92">
        <f t="shared" si="128"/>
        <v>1489296</v>
      </c>
    </row>
    <row r="6660" spans="1:6" x14ac:dyDescent="0.25">
      <c r="A6660" s="204">
        <v>43684</v>
      </c>
      <c r="B6660" s="29" t="s">
        <v>5569</v>
      </c>
      <c r="C6660" s="29" t="s">
        <v>5570</v>
      </c>
      <c r="D6660" s="8">
        <v>100000</v>
      </c>
      <c r="E6660" s="8"/>
      <c r="F6660" s="92">
        <f t="shared" si="128"/>
        <v>1389296</v>
      </c>
    </row>
    <row r="6661" spans="1:6" x14ac:dyDescent="0.25">
      <c r="A6661" s="204">
        <v>43684</v>
      </c>
      <c r="B6661" s="29" t="s">
        <v>5140</v>
      </c>
      <c r="C6661" s="29" t="s">
        <v>41</v>
      </c>
      <c r="D6661" s="8">
        <v>4200</v>
      </c>
      <c r="E6661" s="8"/>
      <c r="F6661" s="92">
        <f t="shared" si="128"/>
        <v>1385096</v>
      </c>
    </row>
    <row r="6662" spans="1:6" x14ac:dyDescent="0.25">
      <c r="A6662" s="204">
        <v>43684</v>
      </c>
      <c r="B6662" s="29" t="s">
        <v>1619</v>
      </c>
      <c r="C6662" s="29" t="s">
        <v>5571</v>
      </c>
      <c r="D6662" s="8">
        <v>2000</v>
      </c>
      <c r="E6662" s="8"/>
      <c r="F6662" s="92">
        <f t="shared" si="128"/>
        <v>1383096</v>
      </c>
    </row>
    <row r="6663" spans="1:6" x14ac:dyDescent="0.25">
      <c r="A6663" s="204">
        <v>43684</v>
      </c>
      <c r="B6663" s="29" t="s">
        <v>1515</v>
      </c>
      <c r="C6663" s="26" t="s">
        <v>5572</v>
      </c>
      <c r="D6663" s="8">
        <v>86000</v>
      </c>
      <c r="E6663" s="8"/>
      <c r="F6663" s="92">
        <f t="shared" si="128"/>
        <v>1297096</v>
      </c>
    </row>
    <row r="6664" spans="1:6" x14ac:dyDescent="0.25">
      <c r="A6664" s="204">
        <v>43684</v>
      </c>
      <c r="B6664" s="26" t="s">
        <v>58</v>
      </c>
      <c r="C6664" s="26" t="s">
        <v>5586</v>
      </c>
      <c r="D6664" s="8">
        <v>500</v>
      </c>
      <c r="E6664" s="8"/>
      <c r="F6664" s="92">
        <f t="shared" si="128"/>
        <v>1296596</v>
      </c>
    </row>
    <row r="6665" spans="1:6" x14ac:dyDescent="0.25">
      <c r="A6665" s="204">
        <v>43684</v>
      </c>
      <c r="B6665" s="26" t="s">
        <v>5574</v>
      </c>
      <c r="C6665" s="26" t="s">
        <v>5575</v>
      </c>
      <c r="D6665" s="8">
        <v>11000</v>
      </c>
      <c r="E6665" s="8"/>
      <c r="F6665" s="92">
        <f t="shared" si="128"/>
        <v>1285596</v>
      </c>
    </row>
    <row r="6666" spans="1:6" x14ac:dyDescent="0.25">
      <c r="A6666" s="204">
        <v>43684</v>
      </c>
      <c r="B6666" s="26" t="s">
        <v>248</v>
      </c>
      <c r="C6666" s="26" t="s">
        <v>2016</v>
      </c>
      <c r="D6666" s="8">
        <v>100</v>
      </c>
      <c r="E6666" s="8"/>
      <c r="F6666" s="92">
        <f t="shared" si="128"/>
        <v>1285496</v>
      </c>
    </row>
    <row r="6667" spans="1:6" x14ac:dyDescent="0.25">
      <c r="A6667" s="204">
        <v>43684</v>
      </c>
      <c r="B6667" s="26" t="s">
        <v>5485</v>
      </c>
      <c r="C6667" s="26" t="s">
        <v>5576</v>
      </c>
      <c r="D6667" s="8">
        <v>500</v>
      </c>
      <c r="E6667" s="8"/>
      <c r="F6667" s="92">
        <f t="shared" si="128"/>
        <v>1284996</v>
      </c>
    </row>
    <row r="6668" spans="1:6" x14ac:dyDescent="0.25">
      <c r="A6668" s="204">
        <v>43684</v>
      </c>
      <c r="B6668" s="29" t="s">
        <v>5422</v>
      </c>
      <c r="C6668" s="29" t="s">
        <v>5577</v>
      </c>
      <c r="D6668" s="8">
        <v>500</v>
      </c>
      <c r="E6668" s="8"/>
      <c r="F6668" s="92">
        <f t="shared" si="128"/>
        <v>1284496</v>
      </c>
    </row>
    <row r="6669" spans="1:6" x14ac:dyDescent="0.25">
      <c r="A6669" s="204">
        <v>43685</v>
      </c>
      <c r="B6669" s="29" t="s">
        <v>1413</v>
      </c>
      <c r="C6669" s="29" t="s">
        <v>3112</v>
      </c>
      <c r="D6669" s="8">
        <v>8000</v>
      </c>
      <c r="E6669" s="8"/>
      <c r="F6669" s="92">
        <f t="shared" si="128"/>
        <v>1276496</v>
      </c>
    </row>
    <row r="6670" spans="1:6" x14ac:dyDescent="0.25">
      <c r="A6670" s="204">
        <v>43685</v>
      </c>
      <c r="B6670" s="29" t="s">
        <v>2597</v>
      </c>
      <c r="C6670" s="29" t="s">
        <v>5595</v>
      </c>
      <c r="D6670" s="8">
        <v>25000</v>
      </c>
      <c r="E6670" s="8"/>
      <c r="F6670" s="92">
        <f t="shared" si="128"/>
        <v>1251496</v>
      </c>
    </row>
    <row r="6671" spans="1:6" x14ac:dyDescent="0.25">
      <c r="A6671" s="204">
        <v>43685</v>
      </c>
      <c r="B6671" s="244" t="s">
        <v>5580</v>
      </c>
      <c r="C6671" s="214"/>
      <c r="D6671" s="245"/>
      <c r="E6671" s="98">
        <v>300000</v>
      </c>
      <c r="F6671" s="92">
        <f t="shared" si="128"/>
        <v>1551496</v>
      </c>
    </row>
    <row r="6672" spans="1:6" x14ac:dyDescent="0.25">
      <c r="A6672" s="204">
        <v>43685</v>
      </c>
      <c r="B6672" s="29" t="s">
        <v>5585</v>
      </c>
      <c r="C6672" s="29"/>
      <c r="D6672" s="8">
        <v>1523829</v>
      </c>
      <c r="E6672" s="8"/>
      <c r="F6672" s="92">
        <f t="shared" si="128"/>
        <v>27667</v>
      </c>
    </row>
    <row r="6673" spans="1:6" x14ac:dyDescent="0.25">
      <c r="A6673" s="204">
        <v>43685</v>
      </c>
      <c r="B6673" s="29" t="s">
        <v>85</v>
      </c>
      <c r="C6673" s="29" t="s">
        <v>5581</v>
      </c>
      <c r="D6673" s="8">
        <v>10000</v>
      </c>
      <c r="E6673" s="8"/>
      <c r="F6673" s="92">
        <f t="shared" si="128"/>
        <v>17667</v>
      </c>
    </row>
    <row r="6674" spans="1:6" x14ac:dyDescent="0.25">
      <c r="A6674" s="204">
        <v>43686</v>
      </c>
      <c r="B6674" s="26" t="s">
        <v>14</v>
      </c>
      <c r="C6674" s="26" t="s">
        <v>295</v>
      </c>
      <c r="D6674" s="8">
        <v>100</v>
      </c>
      <c r="E6674" s="8"/>
      <c r="F6674" s="92">
        <f t="shared" si="128"/>
        <v>17567</v>
      </c>
    </row>
    <row r="6675" spans="1:6" x14ac:dyDescent="0.25">
      <c r="A6675" s="204">
        <v>43686</v>
      </c>
      <c r="B6675" s="26" t="s">
        <v>2597</v>
      </c>
      <c r="C6675" s="26" t="s">
        <v>5596</v>
      </c>
      <c r="D6675" s="8">
        <v>3000</v>
      </c>
      <c r="E6675" s="8"/>
      <c r="F6675" s="92">
        <f t="shared" si="128"/>
        <v>14567</v>
      </c>
    </row>
    <row r="6676" spans="1:6" x14ac:dyDescent="0.25">
      <c r="A6676" s="204">
        <v>43686</v>
      </c>
      <c r="B6676" s="29" t="s">
        <v>85</v>
      </c>
      <c r="C6676" s="29" t="s">
        <v>5581</v>
      </c>
      <c r="D6676" s="8">
        <v>10000</v>
      </c>
      <c r="E6676" s="8"/>
      <c r="F6676" s="92">
        <f t="shared" si="128"/>
        <v>4567</v>
      </c>
    </row>
    <row r="6677" spans="1:6" x14ac:dyDescent="0.25">
      <c r="A6677" s="204">
        <v>43686</v>
      </c>
      <c r="B6677" s="26" t="s">
        <v>14</v>
      </c>
      <c r="C6677" s="26" t="s">
        <v>295</v>
      </c>
      <c r="D6677" s="8">
        <v>1000</v>
      </c>
      <c r="E6677" s="8"/>
      <c r="F6677" s="92">
        <f t="shared" si="128"/>
        <v>3567</v>
      </c>
    </row>
    <row r="6678" spans="1:6" x14ac:dyDescent="0.25">
      <c r="A6678" s="204">
        <v>43686</v>
      </c>
      <c r="B6678" s="29" t="s">
        <v>85</v>
      </c>
      <c r="C6678" s="29" t="s">
        <v>5584</v>
      </c>
      <c r="D6678" s="8">
        <v>2000</v>
      </c>
      <c r="E6678" s="8"/>
      <c r="F6678" s="92">
        <f t="shared" si="128"/>
        <v>1567</v>
      </c>
    </row>
    <row r="6679" spans="1:6" x14ac:dyDescent="0.25">
      <c r="A6679" s="204">
        <v>43686</v>
      </c>
      <c r="B6679" s="26" t="s">
        <v>1461</v>
      </c>
      <c r="C6679" s="26" t="s">
        <v>5093</v>
      </c>
      <c r="D6679" s="8">
        <v>1000</v>
      </c>
      <c r="E6679" s="8"/>
      <c r="F6679" s="92">
        <f t="shared" si="128"/>
        <v>567</v>
      </c>
    </row>
    <row r="6680" spans="1:6" x14ac:dyDescent="0.25">
      <c r="A6680" s="204">
        <v>43693</v>
      </c>
      <c r="B6680" s="244" t="s">
        <v>5587</v>
      </c>
      <c r="C6680" s="214"/>
      <c r="D6680" s="245"/>
      <c r="E6680" s="98">
        <v>22000</v>
      </c>
      <c r="F6680" s="92">
        <f t="shared" si="128"/>
        <v>22567</v>
      </c>
    </row>
    <row r="6681" spans="1:6" x14ac:dyDescent="0.25">
      <c r="A6681" s="204">
        <v>43693</v>
      </c>
      <c r="B6681" s="26" t="s">
        <v>2951</v>
      </c>
      <c r="C6681" s="26" t="s">
        <v>65</v>
      </c>
      <c r="D6681" s="8">
        <v>3500</v>
      </c>
      <c r="E6681" s="8"/>
      <c r="F6681" s="92">
        <f t="shared" si="128"/>
        <v>19067</v>
      </c>
    </row>
    <row r="6682" spans="1:6" x14ac:dyDescent="0.25">
      <c r="A6682" s="204">
        <v>43693</v>
      </c>
      <c r="B6682" s="26" t="s">
        <v>4116</v>
      </c>
      <c r="C6682" s="26" t="s">
        <v>4323</v>
      </c>
      <c r="D6682" s="8">
        <v>1500</v>
      </c>
      <c r="E6682" s="8"/>
      <c r="F6682" s="92">
        <f t="shared" si="128"/>
        <v>17567</v>
      </c>
    </row>
    <row r="6683" spans="1:6" x14ac:dyDescent="0.25">
      <c r="A6683" s="204">
        <v>43693</v>
      </c>
      <c r="B6683" s="26" t="s">
        <v>2597</v>
      </c>
      <c r="C6683" s="26" t="s">
        <v>5596</v>
      </c>
      <c r="D6683" s="8">
        <v>2000</v>
      </c>
      <c r="E6683" s="8"/>
      <c r="F6683" s="92">
        <f t="shared" si="128"/>
        <v>15567</v>
      </c>
    </row>
    <row r="6684" spans="1:6" x14ac:dyDescent="0.25">
      <c r="A6684" s="204">
        <v>43693</v>
      </c>
      <c r="B6684" s="29" t="s">
        <v>5537</v>
      </c>
      <c r="C6684" s="29" t="s">
        <v>5588</v>
      </c>
      <c r="D6684" s="8">
        <v>10000</v>
      </c>
      <c r="E6684" s="8"/>
      <c r="F6684" s="92">
        <f t="shared" si="128"/>
        <v>5567</v>
      </c>
    </row>
    <row r="6685" spans="1:6" x14ac:dyDescent="0.25">
      <c r="A6685" s="204">
        <v>43693</v>
      </c>
      <c r="B6685" s="244" t="s">
        <v>3448</v>
      </c>
      <c r="C6685" s="214"/>
      <c r="D6685" s="245"/>
      <c r="E6685" s="98">
        <v>100000</v>
      </c>
      <c r="F6685" s="92">
        <f t="shared" si="128"/>
        <v>105567</v>
      </c>
    </row>
    <row r="6686" spans="1:6" x14ac:dyDescent="0.25">
      <c r="A6686" s="204">
        <v>43694</v>
      </c>
      <c r="B6686" s="29" t="s">
        <v>2597</v>
      </c>
      <c r="C6686" s="29" t="s">
        <v>5594</v>
      </c>
      <c r="D6686" s="8">
        <v>10000</v>
      </c>
      <c r="E6686" s="8"/>
      <c r="F6686" s="92">
        <f t="shared" si="128"/>
        <v>95567</v>
      </c>
    </row>
    <row r="6687" spans="1:6" x14ac:dyDescent="0.25">
      <c r="A6687" s="204">
        <v>43696</v>
      </c>
      <c r="B6687" s="29" t="s">
        <v>101</v>
      </c>
      <c r="C6687" s="29" t="s">
        <v>4323</v>
      </c>
      <c r="D6687" s="8">
        <v>2000</v>
      </c>
      <c r="E6687" s="8"/>
      <c r="F6687" s="92">
        <f t="shared" si="128"/>
        <v>93567</v>
      </c>
    </row>
    <row r="6688" spans="1:6" x14ac:dyDescent="0.25">
      <c r="A6688" s="204">
        <v>43696</v>
      </c>
      <c r="B6688" s="29" t="s">
        <v>2597</v>
      </c>
      <c r="C6688" s="29" t="s">
        <v>5592</v>
      </c>
      <c r="D6688" s="8">
        <v>66000</v>
      </c>
      <c r="E6688" s="8"/>
      <c r="F6688" s="92">
        <f t="shared" si="128"/>
        <v>27567</v>
      </c>
    </row>
    <row r="6689" spans="1:6" x14ac:dyDescent="0.25">
      <c r="A6689" s="204">
        <v>43696</v>
      </c>
      <c r="B6689" s="26" t="s">
        <v>14</v>
      </c>
      <c r="C6689" s="26" t="s">
        <v>641</v>
      </c>
      <c r="D6689" s="8">
        <v>1000</v>
      </c>
      <c r="E6689" s="8"/>
      <c r="F6689" s="92">
        <f t="shared" si="128"/>
        <v>26567</v>
      </c>
    </row>
    <row r="6690" spans="1:6" x14ac:dyDescent="0.25">
      <c r="A6690" s="204">
        <v>43696</v>
      </c>
      <c r="B6690" s="26" t="s">
        <v>5444</v>
      </c>
      <c r="C6690" s="26" t="s">
        <v>5589</v>
      </c>
      <c r="D6690" s="8">
        <v>1000</v>
      </c>
      <c r="E6690" s="8"/>
      <c r="F6690" s="92">
        <f t="shared" si="128"/>
        <v>25567</v>
      </c>
    </row>
    <row r="6691" spans="1:6" x14ac:dyDescent="0.25">
      <c r="A6691" s="204">
        <v>43696</v>
      </c>
      <c r="B6691" s="29" t="s">
        <v>85</v>
      </c>
      <c r="C6691" s="29" t="s">
        <v>5590</v>
      </c>
      <c r="D6691" s="8">
        <v>3000</v>
      </c>
      <c r="E6691" s="8"/>
      <c r="F6691" s="92">
        <f t="shared" si="128"/>
        <v>22567</v>
      </c>
    </row>
    <row r="6692" spans="1:6" x14ac:dyDescent="0.25">
      <c r="A6692" s="204">
        <v>43696</v>
      </c>
      <c r="B6692" s="26" t="s">
        <v>4116</v>
      </c>
      <c r="C6692" s="26" t="s">
        <v>1533</v>
      </c>
      <c r="D6692" s="8">
        <v>5000</v>
      </c>
      <c r="E6692" s="8"/>
      <c r="F6692" s="92">
        <f t="shared" si="128"/>
        <v>17567</v>
      </c>
    </row>
    <row r="6693" spans="1:6" x14ac:dyDescent="0.25">
      <c r="A6693" s="204">
        <v>43696</v>
      </c>
      <c r="B6693" s="26" t="s">
        <v>14</v>
      </c>
      <c r="C6693" s="26" t="s">
        <v>295</v>
      </c>
      <c r="D6693" s="8">
        <v>5000</v>
      </c>
      <c r="E6693" s="8"/>
      <c r="F6693" s="92">
        <f t="shared" si="128"/>
        <v>12567</v>
      </c>
    </row>
    <row r="6694" spans="1:6" x14ac:dyDescent="0.25">
      <c r="A6694" s="204">
        <v>43696</v>
      </c>
      <c r="B6694" s="26" t="s">
        <v>26</v>
      </c>
      <c r="C6694" s="26" t="s">
        <v>5591</v>
      </c>
      <c r="D6694" s="8">
        <f>345+150+150+60+240+460+440+460+180+90+240+220+60+50+50+200+275+200+200+130+160</f>
        <v>4360</v>
      </c>
      <c r="E6694" s="8"/>
      <c r="F6694" s="92">
        <f t="shared" si="128"/>
        <v>8207</v>
      </c>
    </row>
    <row r="6695" spans="1:6" x14ac:dyDescent="0.25">
      <c r="A6695" s="204">
        <v>43696</v>
      </c>
      <c r="B6695" s="244" t="s">
        <v>3448</v>
      </c>
      <c r="C6695" s="214"/>
      <c r="D6695" s="245"/>
      <c r="E6695" s="98">
        <v>50000</v>
      </c>
      <c r="F6695" s="92">
        <f t="shared" si="128"/>
        <v>58207</v>
      </c>
    </row>
    <row r="6696" spans="1:6" x14ac:dyDescent="0.25">
      <c r="A6696" s="204">
        <v>43697</v>
      </c>
      <c r="B6696" s="29" t="s">
        <v>17</v>
      </c>
      <c r="C6696" s="29" t="s">
        <v>5593</v>
      </c>
      <c r="D6696" s="8">
        <v>22000</v>
      </c>
      <c r="E6696" s="8"/>
      <c r="F6696" s="92">
        <f t="shared" si="128"/>
        <v>36207</v>
      </c>
    </row>
    <row r="6697" spans="1:6" x14ac:dyDescent="0.25">
      <c r="A6697" s="204">
        <v>43697</v>
      </c>
      <c r="B6697" s="26" t="s">
        <v>2597</v>
      </c>
      <c r="C6697" s="26" t="s">
        <v>5597</v>
      </c>
      <c r="D6697" s="8">
        <v>7970</v>
      </c>
      <c r="E6697" s="8"/>
      <c r="F6697" s="92">
        <f t="shared" si="128"/>
        <v>28237</v>
      </c>
    </row>
    <row r="6698" spans="1:6" x14ac:dyDescent="0.25">
      <c r="A6698" s="204">
        <v>43697</v>
      </c>
      <c r="B6698" s="26" t="s">
        <v>1840</v>
      </c>
      <c r="C6698" s="26" t="s">
        <v>5638</v>
      </c>
      <c r="D6698" s="8">
        <v>1000</v>
      </c>
      <c r="E6698" s="8"/>
      <c r="F6698" s="92">
        <f t="shared" si="128"/>
        <v>27237</v>
      </c>
    </row>
    <row r="6699" spans="1:6" x14ac:dyDescent="0.25">
      <c r="A6699" s="204">
        <v>43697</v>
      </c>
      <c r="B6699" s="26" t="s">
        <v>2597</v>
      </c>
      <c r="C6699" s="26" t="s">
        <v>5599</v>
      </c>
      <c r="D6699" s="8">
        <v>4500</v>
      </c>
      <c r="E6699" s="8"/>
      <c r="F6699" s="92">
        <f t="shared" si="128"/>
        <v>22737</v>
      </c>
    </row>
    <row r="6700" spans="1:6" x14ac:dyDescent="0.25">
      <c r="A6700" s="204">
        <v>43697</v>
      </c>
      <c r="B6700" s="26" t="s">
        <v>2597</v>
      </c>
      <c r="C6700" s="26" t="s">
        <v>5600</v>
      </c>
      <c r="D6700" s="8">
        <v>1000</v>
      </c>
      <c r="E6700" s="8"/>
      <c r="F6700" s="92">
        <f t="shared" si="128"/>
        <v>21737</v>
      </c>
    </row>
    <row r="6701" spans="1:6" x14ac:dyDescent="0.25">
      <c r="A6701" s="204">
        <v>43697</v>
      </c>
      <c r="B6701" s="26" t="s">
        <v>2597</v>
      </c>
      <c r="C6701" s="26" t="s">
        <v>5601</v>
      </c>
      <c r="D6701" s="8">
        <v>6510</v>
      </c>
      <c r="E6701" s="8"/>
      <c r="F6701" s="92">
        <f t="shared" si="128"/>
        <v>15227</v>
      </c>
    </row>
    <row r="6702" spans="1:6" x14ac:dyDescent="0.25">
      <c r="A6702" s="204">
        <v>43697</v>
      </c>
      <c r="B6702" s="26" t="s">
        <v>2266</v>
      </c>
      <c r="C6702" s="26" t="s">
        <v>5598</v>
      </c>
      <c r="D6702" s="8">
        <v>500</v>
      </c>
      <c r="E6702" s="8"/>
      <c r="F6702" s="92">
        <f t="shared" si="128"/>
        <v>14727</v>
      </c>
    </row>
    <row r="6703" spans="1:6" x14ac:dyDescent="0.25">
      <c r="A6703" s="204">
        <v>43698</v>
      </c>
      <c r="B6703" s="26" t="s">
        <v>4778</v>
      </c>
      <c r="C6703" s="26" t="s">
        <v>5611</v>
      </c>
      <c r="D6703" s="8">
        <v>10000</v>
      </c>
      <c r="E6703" s="8"/>
      <c r="F6703" s="92">
        <f t="shared" si="128"/>
        <v>4727</v>
      </c>
    </row>
    <row r="6704" spans="1:6" x14ac:dyDescent="0.25">
      <c r="A6704" s="204">
        <v>43698</v>
      </c>
      <c r="B6704" s="244" t="s">
        <v>3448</v>
      </c>
      <c r="C6704" s="214"/>
      <c r="D6704" s="245"/>
      <c r="E6704" s="98">
        <v>50000</v>
      </c>
      <c r="F6704" s="92">
        <f t="shared" si="128"/>
        <v>54727</v>
      </c>
    </row>
    <row r="6705" spans="1:6" x14ac:dyDescent="0.25">
      <c r="A6705" s="204">
        <v>43698</v>
      </c>
      <c r="B6705" s="26" t="s">
        <v>5201</v>
      </c>
      <c r="C6705" s="26" t="s">
        <v>5602</v>
      </c>
      <c r="D6705" s="8">
        <v>8000</v>
      </c>
      <c r="E6705" s="8"/>
      <c r="F6705" s="92">
        <f t="shared" si="128"/>
        <v>46727</v>
      </c>
    </row>
    <row r="6706" spans="1:6" x14ac:dyDescent="0.25">
      <c r="A6706" s="204">
        <v>43698</v>
      </c>
      <c r="B6706" s="246"/>
      <c r="C6706" s="155" t="s">
        <v>5603</v>
      </c>
      <c r="D6706" s="247">
        <v>22000</v>
      </c>
      <c r="E6706" s="98"/>
      <c r="F6706" s="92">
        <f t="shared" si="128"/>
        <v>24727</v>
      </c>
    </row>
    <row r="6707" spans="1:6" x14ac:dyDescent="0.25">
      <c r="A6707" s="204">
        <v>43698</v>
      </c>
      <c r="B6707" s="26" t="s">
        <v>4778</v>
      </c>
      <c r="C6707" s="26" t="s">
        <v>5604</v>
      </c>
      <c r="D6707" s="8">
        <v>2000</v>
      </c>
      <c r="E6707" s="8"/>
      <c r="F6707" s="92">
        <f t="shared" si="128"/>
        <v>22727</v>
      </c>
    </row>
    <row r="6708" spans="1:6" x14ac:dyDescent="0.25">
      <c r="A6708" s="204">
        <v>43698</v>
      </c>
      <c r="B6708" s="26" t="s">
        <v>248</v>
      </c>
      <c r="C6708" s="26" t="s">
        <v>5605</v>
      </c>
      <c r="D6708" s="8">
        <v>720</v>
      </c>
      <c r="E6708" s="8"/>
      <c r="F6708" s="92">
        <f t="shared" si="128"/>
        <v>22007</v>
      </c>
    </row>
    <row r="6709" spans="1:6" x14ac:dyDescent="0.25">
      <c r="A6709" s="204">
        <v>43698</v>
      </c>
      <c r="B6709" s="26" t="s">
        <v>248</v>
      </c>
      <c r="C6709" s="26" t="s">
        <v>5613</v>
      </c>
      <c r="D6709" s="8">
        <v>250</v>
      </c>
      <c r="E6709" s="8"/>
      <c r="F6709" s="92">
        <f t="shared" si="128"/>
        <v>21757</v>
      </c>
    </row>
    <row r="6710" spans="1:6" x14ac:dyDescent="0.25">
      <c r="A6710" s="204">
        <v>43698</v>
      </c>
      <c r="B6710" s="29" t="s">
        <v>85</v>
      </c>
      <c r="C6710" s="29" t="s">
        <v>5606</v>
      </c>
      <c r="D6710" s="8">
        <v>15000</v>
      </c>
      <c r="E6710" s="8"/>
      <c r="F6710" s="92">
        <f t="shared" si="128"/>
        <v>6757</v>
      </c>
    </row>
    <row r="6711" spans="1:6" x14ac:dyDescent="0.25">
      <c r="A6711" s="204">
        <v>43699</v>
      </c>
      <c r="B6711" s="29" t="s">
        <v>85</v>
      </c>
      <c r="C6711" s="29" t="s">
        <v>5607</v>
      </c>
      <c r="D6711" s="8">
        <v>500</v>
      </c>
      <c r="E6711" s="8"/>
      <c r="F6711" s="92">
        <f t="shared" ref="F6711:F6724" si="129">F6710-D6711+E6711</f>
        <v>6257</v>
      </c>
    </row>
    <row r="6712" spans="1:6" x14ac:dyDescent="0.25">
      <c r="A6712" s="204">
        <v>43699</v>
      </c>
      <c r="B6712" s="26" t="s">
        <v>5218</v>
      </c>
      <c r="C6712" s="26" t="s">
        <v>5608</v>
      </c>
      <c r="D6712" s="8">
        <v>3500</v>
      </c>
      <c r="E6712" s="8"/>
      <c r="F6712" s="92">
        <f t="shared" si="129"/>
        <v>2757</v>
      </c>
    </row>
    <row r="6713" spans="1:6" x14ac:dyDescent="0.25">
      <c r="A6713" s="204">
        <v>43699</v>
      </c>
      <c r="B6713" s="26" t="s">
        <v>5444</v>
      </c>
      <c r="C6713" s="26" t="s">
        <v>5609</v>
      </c>
      <c r="D6713" s="8">
        <v>930</v>
      </c>
      <c r="E6713" s="8"/>
      <c r="F6713" s="92">
        <f t="shared" si="129"/>
        <v>1827</v>
      </c>
    </row>
    <row r="6714" spans="1:6" x14ac:dyDescent="0.25">
      <c r="A6714" s="204">
        <v>43699</v>
      </c>
      <c r="B6714" s="26" t="s">
        <v>2951</v>
      </c>
      <c r="C6714" s="26" t="s">
        <v>1790</v>
      </c>
      <c r="D6714" s="8">
        <v>1300</v>
      </c>
      <c r="E6714" s="8"/>
      <c r="F6714" s="92">
        <f t="shared" si="129"/>
        <v>527</v>
      </c>
    </row>
    <row r="6715" spans="1:6" x14ac:dyDescent="0.25">
      <c r="A6715" s="204">
        <v>43698</v>
      </c>
      <c r="B6715" s="244" t="s">
        <v>3448</v>
      </c>
      <c r="C6715" s="214"/>
      <c r="D6715" s="245"/>
      <c r="E6715" s="98">
        <v>50000</v>
      </c>
      <c r="F6715" s="92">
        <f t="shared" si="129"/>
        <v>50527</v>
      </c>
    </row>
    <row r="6716" spans="1:6" x14ac:dyDescent="0.25">
      <c r="A6716" s="204">
        <v>43699</v>
      </c>
      <c r="B6716" s="29" t="s">
        <v>2597</v>
      </c>
      <c r="C6716" s="29" t="s">
        <v>5623</v>
      </c>
      <c r="D6716" s="8">
        <v>7440</v>
      </c>
      <c r="E6716" s="8"/>
      <c r="F6716" s="92">
        <f t="shared" si="129"/>
        <v>43087</v>
      </c>
    </row>
    <row r="6717" spans="1:6" x14ac:dyDescent="0.25">
      <c r="A6717" s="204">
        <v>43699</v>
      </c>
      <c r="B6717" s="29" t="s">
        <v>2597</v>
      </c>
      <c r="C6717" s="138" t="s">
        <v>5622</v>
      </c>
      <c r="D6717" s="8">
        <v>400</v>
      </c>
      <c r="E6717" s="8"/>
      <c r="F6717" s="92">
        <f t="shared" si="129"/>
        <v>42687</v>
      </c>
    </row>
    <row r="6718" spans="1:6" x14ac:dyDescent="0.25">
      <c r="A6718" s="204">
        <v>43699</v>
      </c>
      <c r="B6718" s="29" t="s">
        <v>4776</v>
      </c>
      <c r="C6718" s="29" t="s">
        <v>5610</v>
      </c>
      <c r="D6718" s="8">
        <v>10000</v>
      </c>
      <c r="E6718" s="8"/>
      <c r="F6718" s="92">
        <f t="shared" si="129"/>
        <v>32687</v>
      </c>
    </row>
    <row r="6719" spans="1:6" x14ac:dyDescent="0.25">
      <c r="A6719" s="204">
        <v>43699</v>
      </c>
      <c r="B6719" s="29" t="s">
        <v>14</v>
      </c>
      <c r="C6719" s="29" t="s">
        <v>295</v>
      </c>
      <c r="D6719" s="8">
        <v>5000</v>
      </c>
      <c r="E6719" s="8"/>
      <c r="F6719" s="92">
        <f t="shared" si="129"/>
        <v>27687</v>
      </c>
    </row>
    <row r="6720" spans="1:6" x14ac:dyDescent="0.25">
      <c r="A6720" s="204">
        <v>43699</v>
      </c>
      <c r="B6720" s="26" t="s">
        <v>694</v>
      </c>
      <c r="C6720" s="26" t="s">
        <v>5612</v>
      </c>
      <c r="D6720" s="8">
        <v>1200</v>
      </c>
      <c r="E6720" s="8"/>
      <c r="F6720" s="92">
        <f t="shared" si="129"/>
        <v>26487</v>
      </c>
    </row>
    <row r="6721" spans="1:6" x14ac:dyDescent="0.25">
      <c r="A6721" s="204">
        <v>43699</v>
      </c>
      <c r="B6721" s="26" t="s">
        <v>2266</v>
      </c>
      <c r="C6721" s="26" t="s">
        <v>5614</v>
      </c>
      <c r="D6721" s="8">
        <v>200</v>
      </c>
      <c r="E6721" s="8"/>
      <c r="F6721" s="92">
        <f t="shared" si="129"/>
        <v>26287</v>
      </c>
    </row>
    <row r="6722" spans="1:6" x14ac:dyDescent="0.25">
      <c r="A6722" s="204">
        <v>43699</v>
      </c>
      <c r="B6722" s="26" t="s">
        <v>3550</v>
      </c>
      <c r="C6722" s="26" t="s">
        <v>5615</v>
      </c>
      <c r="D6722" s="8">
        <v>20000</v>
      </c>
      <c r="E6722" s="8"/>
      <c r="F6722" s="92">
        <f t="shared" si="129"/>
        <v>6287</v>
      </c>
    </row>
    <row r="6723" spans="1:6" x14ac:dyDescent="0.25">
      <c r="A6723" s="204">
        <v>43699</v>
      </c>
      <c r="B6723" s="26" t="s">
        <v>5617</v>
      </c>
      <c r="C6723" s="26" t="s">
        <v>5616</v>
      </c>
      <c r="D6723" s="8">
        <v>2000</v>
      </c>
      <c r="E6723" s="8"/>
      <c r="F6723" s="92">
        <f t="shared" si="129"/>
        <v>4287</v>
      </c>
    </row>
    <row r="6724" spans="1:6" x14ac:dyDescent="0.25">
      <c r="A6724" s="204">
        <v>43699</v>
      </c>
      <c r="B6724" s="26" t="s">
        <v>5617</v>
      </c>
      <c r="C6724" s="26" t="s">
        <v>5618</v>
      </c>
      <c r="D6724" s="8">
        <v>1000</v>
      </c>
      <c r="E6724" s="8"/>
      <c r="F6724" s="92">
        <f t="shared" si="129"/>
        <v>3287</v>
      </c>
    </row>
    <row r="6725" spans="1:6" x14ac:dyDescent="0.25">
      <c r="A6725" s="204">
        <v>43700</v>
      </c>
      <c r="B6725" s="244" t="s">
        <v>3448</v>
      </c>
      <c r="C6725" s="214"/>
      <c r="D6725" s="245"/>
      <c r="E6725" s="98">
        <v>100000</v>
      </c>
      <c r="F6725" s="92">
        <f t="shared" ref="F6725:F6789" si="130">F6724-D6725+E6725</f>
        <v>103287</v>
      </c>
    </row>
    <row r="6726" spans="1:6" x14ac:dyDescent="0.25">
      <c r="A6726" s="204">
        <v>43700</v>
      </c>
      <c r="B6726" s="29" t="s">
        <v>2597</v>
      </c>
      <c r="C6726" s="29" t="s">
        <v>5619</v>
      </c>
      <c r="D6726" s="8">
        <f>3400+2800+12000+17280+150</f>
        <v>35630</v>
      </c>
      <c r="E6726" s="8"/>
      <c r="F6726" s="92">
        <f t="shared" si="130"/>
        <v>67657</v>
      </c>
    </row>
    <row r="6727" spans="1:6" x14ac:dyDescent="0.25">
      <c r="A6727" s="204">
        <v>43700</v>
      </c>
      <c r="B6727" s="29" t="s">
        <v>101</v>
      </c>
      <c r="C6727" s="29" t="s">
        <v>5620</v>
      </c>
      <c r="D6727" s="8">
        <v>8000</v>
      </c>
      <c r="E6727" s="8"/>
      <c r="F6727" s="92">
        <f t="shared" si="130"/>
        <v>59657</v>
      </c>
    </row>
    <row r="6728" spans="1:6" x14ac:dyDescent="0.25">
      <c r="A6728" s="204">
        <v>43700</v>
      </c>
      <c r="B6728" s="29" t="s">
        <v>4778</v>
      </c>
      <c r="C6728" s="29" t="s">
        <v>5513</v>
      </c>
      <c r="D6728" s="8">
        <v>10000</v>
      </c>
      <c r="E6728" s="8"/>
      <c r="F6728" s="92">
        <f t="shared" si="130"/>
        <v>49657</v>
      </c>
    </row>
    <row r="6729" spans="1:6" x14ac:dyDescent="0.25">
      <c r="A6729" s="204">
        <v>43700</v>
      </c>
      <c r="B6729" s="29" t="s">
        <v>3563</v>
      </c>
      <c r="C6729" s="29" t="s">
        <v>3446</v>
      </c>
      <c r="D6729" s="8">
        <v>660</v>
      </c>
      <c r="E6729" s="8"/>
      <c r="F6729" s="92">
        <f t="shared" si="130"/>
        <v>48997</v>
      </c>
    </row>
    <row r="6730" spans="1:6" x14ac:dyDescent="0.25">
      <c r="A6730" s="204">
        <v>43700</v>
      </c>
      <c r="B6730" s="29" t="s">
        <v>85</v>
      </c>
      <c r="C6730" s="29" t="s">
        <v>5621</v>
      </c>
      <c r="D6730" s="8">
        <v>5000</v>
      </c>
      <c r="E6730" s="8"/>
      <c r="F6730" s="92">
        <f t="shared" si="130"/>
        <v>43997</v>
      </c>
    </row>
    <row r="6731" spans="1:6" x14ac:dyDescent="0.25">
      <c r="A6731" s="204">
        <v>43701</v>
      </c>
      <c r="B6731" s="29" t="s">
        <v>2597</v>
      </c>
      <c r="C6731" s="26" t="s">
        <v>5622</v>
      </c>
      <c r="D6731" s="8">
        <v>270</v>
      </c>
      <c r="E6731" s="8"/>
      <c r="F6731" s="92">
        <f t="shared" si="130"/>
        <v>43727</v>
      </c>
    </row>
    <row r="6732" spans="1:6" x14ac:dyDescent="0.25">
      <c r="A6732" s="204">
        <v>43701</v>
      </c>
      <c r="B6732" s="29" t="s">
        <v>2597</v>
      </c>
      <c r="C6732" s="26" t="s">
        <v>1533</v>
      </c>
      <c r="D6732" s="8">
        <v>26236</v>
      </c>
      <c r="E6732" s="8"/>
      <c r="F6732" s="92">
        <f t="shared" si="130"/>
        <v>17491</v>
      </c>
    </row>
    <row r="6733" spans="1:6" x14ac:dyDescent="0.25">
      <c r="A6733" s="204">
        <v>43701</v>
      </c>
      <c r="B6733" s="29" t="s">
        <v>14</v>
      </c>
      <c r="C6733" s="29" t="s">
        <v>295</v>
      </c>
      <c r="D6733" s="8">
        <v>5000</v>
      </c>
      <c r="E6733" s="8"/>
      <c r="F6733" s="92">
        <f t="shared" si="130"/>
        <v>12491</v>
      </c>
    </row>
    <row r="6734" spans="1:6" x14ac:dyDescent="0.25">
      <c r="A6734" s="204">
        <v>43701</v>
      </c>
      <c r="B6734" s="29" t="s">
        <v>101</v>
      </c>
      <c r="C6734" s="29" t="s">
        <v>5624</v>
      </c>
      <c r="D6734" s="8">
        <v>1000</v>
      </c>
      <c r="E6734" s="8"/>
      <c r="F6734" s="92">
        <f t="shared" si="130"/>
        <v>11491</v>
      </c>
    </row>
    <row r="6735" spans="1:6" x14ac:dyDescent="0.25">
      <c r="A6735" s="204">
        <v>43701</v>
      </c>
      <c r="B6735" s="29" t="s">
        <v>1790</v>
      </c>
      <c r="C6735" s="29" t="s">
        <v>5625</v>
      </c>
      <c r="D6735" s="8">
        <v>1500</v>
      </c>
      <c r="E6735" s="8"/>
      <c r="F6735" s="92">
        <f t="shared" si="130"/>
        <v>9991</v>
      </c>
    </row>
    <row r="6736" spans="1:6" x14ac:dyDescent="0.25">
      <c r="A6736" s="204">
        <v>43701</v>
      </c>
      <c r="B6736" s="29" t="s">
        <v>19</v>
      </c>
      <c r="C6736" s="29" t="s">
        <v>5626</v>
      </c>
      <c r="D6736" s="8">
        <v>5000</v>
      </c>
      <c r="E6736" s="8"/>
      <c r="F6736" s="92">
        <f t="shared" si="130"/>
        <v>4991</v>
      </c>
    </row>
    <row r="6737" spans="1:6" x14ac:dyDescent="0.25">
      <c r="A6737" s="204">
        <v>43703</v>
      </c>
      <c r="B6737" s="26" t="s">
        <v>14</v>
      </c>
      <c r="C6737" s="26" t="s">
        <v>295</v>
      </c>
      <c r="D6737" s="8">
        <v>1000</v>
      </c>
      <c r="E6737" s="8"/>
      <c r="F6737" s="92">
        <f t="shared" si="130"/>
        <v>3991</v>
      </c>
    </row>
    <row r="6738" spans="1:6" x14ac:dyDescent="0.25">
      <c r="A6738" s="204">
        <v>43703</v>
      </c>
      <c r="B6738" s="244" t="s">
        <v>3448</v>
      </c>
      <c r="C6738" s="214"/>
      <c r="D6738" s="245"/>
      <c r="E6738" s="98">
        <v>50000</v>
      </c>
      <c r="F6738" s="92">
        <f t="shared" si="130"/>
        <v>53991</v>
      </c>
    </row>
    <row r="6739" spans="1:6" x14ac:dyDescent="0.25">
      <c r="A6739" s="204">
        <v>43703</v>
      </c>
      <c r="B6739" s="26" t="s">
        <v>17</v>
      </c>
      <c r="C6739" s="26" t="s">
        <v>295</v>
      </c>
      <c r="D6739" s="8">
        <v>5000</v>
      </c>
      <c r="E6739" s="8"/>
      <c r="F6739" s="92">
        <f t="shared" si="130"/>
        <v>48991</v>
      </c>
    </row>
    <row r="6740" spans="1:6" x14ac:dyDescent="0.25">
      <c r="A6740" s="204">
        <v>43703</v>
      </c>
      <c r="B6740" s="26" t="s">
        <v>2597</v>
      </c>
      <c r="C6740" s="26" t="s">
        <v>5629</v>
      </c>
      <c r="D6740" s="8">
        <v>38385</v>
      </c>
      <c r="E6740" s="8"/>
      <c r="F6740" s="92">
        <f t="shared" si="130"/>
        <v>10606</v>
      </c>
    </row>
    <row r="6741" spans="1:6" x14ac:dyDescent="0.25">
      <c r="A6741" s="204">
        <v>43703</v>
      </c>
      <c r="B6741" s="26" t="s">
        <v>1790</v>
      </c>
      <c r="C6741" s="26" t="s">
        <v>5627</v>
      </c>
      <c r="D6741" s="8">
        <v>1000</v>
      </c>
      <c r="E6741" s="8"/>
      <c r="F6741" s="92">
        <f t="shared" si="130"/>
        <v>9606</v>
      </c>
    </row>
    <row r="6742" spans="1:6" x14ac:dyDescent="0.25">
      <c r="A6742" s="204">
        <v>43704</v>
      </c>
      <c r="B6742" s="26" t="s">
        <v>2597</v>
      </c>
      <c r="C6742" s="26" t="s">
        <v>5647</v>
      </c>
      <c r="D6742" s="8">
        <f>115+1400</f>
        <v>1515</v>
      </c>
      <c r="E6742" s="8"/>
      <c r="F6742" s="92">
        <f t="shared" si="130"/>
        <v>8091</v>
      </c>
    </row>
    <row r="6743" spans="1:6" x14ac:dyDescent="0.25">
      <c r="A6743" s="204">
        <v>43704</v>
      </c>
      <c r="B6743" s="26" t="s">
        <v>17</v>
      </c>
      <c r="C6743" s="26" t="s">
        <v>5630</v>
      </c>
      <c r="D6743" s="8">
        <v>600</v>
      </c>
      <c r="E6743" s="8"/>
      <c r="F6743" s="92">
        <f t="shared" si="130"/>
        <v>7491</v>
      </c>
    </row>
    <row r="6744" spans="1:6" x14ac:dyDescent="0.25">
      <c r="A6744" s="204">
        <v>43704</v>
      </c>
      <c r="B6744" s="244" t="s">
        <v>3448</v>
      </c>
      <c r="C6744" s="214"/>
      <c r="D6744" s="245"/>
      <c r="E6744" s="98">
        <v>100000</v>
      </c>
      <c r="F6744" s="92">
        <f t="shared" si="130"/>
        <v>107491</v>
      </c>
    </row>
    <row r="6745" spans="1:6" x14ac:dyDescent="0.25">
      <c r="A6745" s="204">
        <v>43704</v>
      </c>
      <c r="B6745" s="26" t="s">
        <v>2597</v>
      </c>
      <c r="C6745" s="26" t="s">
        <v>5635</v>
      </c>
      <c r="D6745" s="8">
        <v>27600</v>
      </c>
      <c r="E6745" s="8"/>
      <c r="F6745" s="92">
        <f t="shared" si="130"/>
        <v>79891</v>
      </c>
    </row>
    <row r="6746" spans="1:6" x14ac:dyDescent="0.25">
      <c r="A6746" s="204">
        <v>43704</v>
      </c>
      <c r="B6746" s="26" t="s">
        <v>2597</v>
      </c>
      <c r="C6746" s="26" t="s">
        <v>5631</v>
      </c>
      <c r="D6746" s="8">
        <v>44400</v>
      </c>
      <c r="E6746" s="8"/>
      <c r="F6746" s="92">
        <f t="shared" si="130"/>
        <v>35491</v>
      </c>
    </row>
    <row r="6747" spans="1:6" x14ac:dyDescent="0.25">
      <c r="A6747" s="204">
        <v>43704</v>
      </c>
      <c r="B6747" s="26" t="s">
        <v>2266</v>
      </c>
      <c r="C6747" s="26" t="s">
        <v>5632</v>
      </c>
      <c r="D6747" s="8">
        <v>1000</v>
      </c>
      <c r="E6747" s="8"/>
      <c r="F6747" s="92">
        <f t="shared" si="130"/>
        <v>34491</v>
      </c>
    </row>
    <row r="6748" spans="1:6" x14ac:dyDescent="0.25">
      <c r="A6748" s="204">
        <v>43704</v>
      </c>
      <c r="B6748" s="26" t="s">
        <v>85</v>
      </c>
      <c r="C6748" s="26" t="s">
        <v>5581</v>
      </c>
      <c r="D6748" s="8">
        <v>10000</v>
      </c>
      <c r="E6748" s="8"/>
      <c r="F6748" s="92">
        <f t="shared" si="130"/>
        <v>24491</v>
      </c>
    </row>
    <row r="6749" spans="1:6" x14ac:dyDescent="0.25">
      <c r="A6749" s="204">
        <v>43705</v>
      </c>
      <c r="B6749" s="26" t="s">
        <v>1461</v>
      </c>
      <c r="C6749" s="26" t="s">
        <v>5633</v>
      </c>
      <c r="D6749" s="8">
        <f>120+54+180+140+25+80+150+80+275+220+70+470+100+100+80+80+180+30+180+80+130+135+200+30+20+45+600+230+270+180+50+50+30+50</f>
        <v>4714</v>
      </c>
      <c r="E6749" s="8"/>
      <c r="F6749" s="92">
        <f t="shared" si="130"/>
        <v>19777</v>
      </c>
    </row>
    <row r="6750" spans="1:6" x14ac:dyDescent="0.25">
      <c r="A6750" s="204">
        <v>43705</v>
      </c>
      <c r="B6750" s="26" t="s">
        <v>58</v>
      </c>
      <c r="C6750" s="26" t="s">
        <v>5784</v>
      </c>
      <c r="D6750" s="8">
        <v>15000</v>
      </c>
      <c r="E6750" s="8"/>
      <c r="F6750" s="92">
        <f t="shared" si="130"/>
        <v>4777</v>
      </c>
    </row>
    <row r="6751" spans="1:6" x14ac:dyDescent="0.25">
      <c r="A6751" s="204">
        <v>43705</v>
      </c>
      <c r="B6751" s="244" t="s">
        <v>3448</v>
      </c>
      <c r="C6751" s="214"/>
      <c r="D6751" s="245"/>
      <c r="E6751" s="98">
        <v>50000</v>
      </c>
      <c r="F6751" s="92">
        <f t="shared" si="130"/>
        <v>54777</v>
      </c>
    </row>
    <row r="6752" spans="1:6" x14ac:dyDescent="0.25">
      <c r="A6752" s="204">
        <v>43705</v>
      </c>
      <c r="B6752" s="26" t="s">
        <v>2597</v>
      </c>
      <c r="C6752" s="26" t="s">
        <v>5637</v>
      </c>
      <c r="D6752" s="8">
        <v>7000</v>
      </c>
      <c r="E6752" s="8"/>
      <c r="F6752" s="92">
        <f t="shared" si="130"/>
        <v>47777</v>
      </c>
    </row>
    <row r="6753" spans="1:7" x14ac:dyDescent="0.25">
      <c r="A6753" s="204">
        <v>43705</v>
      </c>
      <c r="B6753" s="26" t="s">
        <v>85</v>
      </c>
      <c r="C6753" s="26" t="s">
        <v>5636</v>
      </c>
      <c r="D6753" s="8">
        <v>500</v>
      </c>
      <c r="E6753" s="8"/>
      <c r="F6753" s="92">
        <f t="shared" si="130"/>
        <v>47277</v>
      </c>
    </row>
    <row r="6754" spans="1:7" x14ac:dyDescent="0.25">
      <c r="A6754" s="204">
        <v>43708</v>
      </c>
      <c r="B6754" s="26" t="s">
        <v>111</v>
      </c>
      <c r="C6754" s="26" t="s">
        <v>641</v>
      </c>
      <c r="D6754" s="8">
        <v>3000</v>
      </c>
      <c r="E6754" s="8"/>
      <c r="F6754" s="92">
        <f t="shared" si="130"/>
        <v>44277</v>
      </c>
    </row>
    <row r="6755" spans="1:7" x14ac:dyDescent="0.25">
      <c r="A6755" s="204">
        <v>43708</v>
      </c>
      <c r="B6755" s="26" t="s">
        <v>17</v>
      </c>
      <c r="C6755" s="26" t="s">
        <v>5639</v>
      </c>
      <c r="D6755" s="8">
        <v>1000</v>
      </c>
      <c r="E6755" s="8"/>
      <c r="F6755" s="92">
        <f t="shared" si="130"/>
        <v>43277</v>
      </c>
    </row>
    <row r="6756" spans="1:7" x14ac:dyDescent="0.25">
      <c r="A6756" s="204">
        <v>43708</v>
      </c>
      <c r="B6756" s="26" t="s">
        <v>14</v>
      </c>
      <c r="C6756" s="26" t="s">
        <v>5640</v>
      </c>
      <c r="D6756" s="8">
        <v>500</v>
      </c>
      <c r="E6756" s="8"/>
      <c r="F6756" s="92">
        <f t="shared" si="130"/>
        <v>42777</v>
      </c>
    </row>
    <row r="6757" spans="1:7" x14ac:dyDescent="0.25">
      <c r="A6757" s="204">
        <v>43708</v>
      </c>
      <c r="B6757" s="26" t="s">
        <v>1840</v>
      </c>
      <c r="C6757" s="26" t="s">
        <v>5641</v>
      </c>
      <c r="D6757" s="8">
        <v>1000</v>
      </c>
      <c r="E6757" s="8"/>
      <c r="F6757" s="92">
        <f t="shared" si="130"/>
        <v>41777</v>
      </c>
    </row>
    <row r="6758" spans="1:7" x14ac:dyDescent="0.25">
      <c r="A6758" s="204">
        <v>43708</v>
      </c>
      <c r="B6758" s="244" t="s">
        <v>3448</v>
      </c>
      <c r="C6758" s="214"/>
      <c r="D6758" s="245"/>
      <c r="E6758" s="98">
        <v>200000</v>
      </c>
      <c r="F6758" s="92">
        <f t="shared" si="130"/>
        <v>241777</v>
      </c>
    </row>
    <row r="6759" spans="1:7" x14ac:dyDescent="0.25">
      <c r="A6759" s="204">
        <v>43708</v>
      </c>
      <c r="B6759" s="29" t="s">
        <v>2597</v>
      </c>
      <c r="C6759" s="29" t="s">
        <v>4847</v>
      </c>
      <c r="D6759" s="8">
        <v>42246</v>
      </c>
      <c r="E6759" s="8"/>
      <c r="F6759" s="92">
        <f t="shared" si="130"/>
        <v>199531</v>
      </c>
    </row>
    <row r="6760" spans="1:7" x14ac:dyDescent="0.25">
      <c r="A6760" s="204">
        <v>43708</v>
      </c>
      <c r="B6760" s="29" t="s">
        <v>5479</v>
      </c>
      <c r="C6760" s="29" t="s">
        <v>5445</v>
      </c>
      <c r="D6760" s="8">
        <v>600</v>
      </c>
      <c r="E6760" s="8"/>
      <c r="F6760" s="92">
        <f t="shared" si="130"/>
        <v>198931</v>
      </c>
    </row>
    <row r="6761" spans="1:7" x14ac:dyDescent="0.25">
      <c r="A6761" s="204">
        <v>43708</v>
      </c>
      <c r="B6761" s="29" t="s">
        <v>1461</v>
      </c>
      <c r="C6761" s="26" t="s">
        <v>5642</v>
      </c>
      <c r="D6761" s="8">
        <f>200+50+30+45+30+100+180+100</f>
        <v>735</v>
      </c>
      <c r="E6761" s="8"/>
      <c r="F6761" s="92">
        <f t="shared" si="130"/>
        <v>198196</v>
      </c>
    </row>
    <row r="6762" spans="1:7" x14ac:dyDescent="0.25">
      <c r="A6762" s="204">
        <v>43710</v>
      </c>
      <c r="B6762" s="26" t="s">
        <v>4116</v>
      </c>
      <c r="C6762" s="26" t="s">
        <v>1533</v>
      </c>
      <c r="D6762" s="8">
        <v>4000</v>
      </c>
      <c r="E6762" s="8"/>
      <c r="F6762" s="92">
        <f t="shared" si="130"/>
        <v>194196</v>
      </c>
      <c r="G6762" s="25"/>
    </row>
    <row r="6763" spans="1:7" x14ac:dyDescent="0.25">
      <c r="A6763" s="204">
        <v>43710</v>
      </c>
      <c r="B6763" s="26" t="s">
        <v>5643</v>
      </c>
      <c r="C6763" s="26" t="s">
        <v>5644</v>
      </c>
      <c r="D6763" s="8">
        <v>40000</v>
      </c>
      <c r="E6763" s="8"/>
      <c r="F6763" s="92">
        <f t="shared" si="130"/>
        <v>154196</v>
      </c>
    </row>
    <row r="6764" spans="1:7" x14ac:dyDescent="0.25">
      <c r="A6764" s="204">
        <v>43710</v>
      </c>
      <c r="B6764" s="26" t="s">
        <v>55</v>
      </c>
      <c r="C6764" s="26" t="s">
        <v>5645</v>
      </c>
      <c r="D6764" s="8">
        <v>50000</v>
      </c>
      <c r="E6764" s="8"/>
      <c r="F6764" s="92">
        <f t="shared" si="130"/>
        <v>104196</v>
      </c>
    </row>
    <row r="6765" spans="1:7" x14ac:dyDescent="0.25">
      <c r="A6765" s="204">
        <v>43710</v>
      </c>
      <c r="B6765" s="26" t="s">
        <v>94</v>
      </c>
      <c r="C6765" s="26" t="s">
        <v>5646</v>
      </c>
      <c r="D6765" s="8">
        <v>8000</v>
      </c>
      <c r="E6765" s="8"/>
      <c r="F6765" s="92">
        <f t="shared" si="130"/>
        <v>96196</v>
      </c>
    </row>
    <row r="6766" spans="1:7" x14ac:dyDescent="0.25">
      <c r="A6766" s="204">
        <v>43710</v>
      </c>
      <c r="B6766" s="26" t="s">
        <v>14</v>
      </c>
      <c r="C6766" s="26" t="s">
        <v>1534</v>
      </c>
      <c r="D6766" s="8">
        <v>22000</v>
      </c>
      <c r="E6766" s="8"/>
      <c r="F6766" s="92">
        <f t="shared" si="130"/>
        <v>74196</v>
      </c>
    </row>
    <row r="6767" spans="1:7" x14ac:dyDescent="0.25">
      <c r="A6767" s="204">
        <v>43710</v>
      </c>
      <c r="B6767" s="29" t="s">
        <v>1461</v>
      </c>
      <c r="C6767" s="29" t="s">
        <v>5093</v>
      </c>
      <c r="D6767" s="8">
        <v>1000</v>
      </c>
      <c r="E6767" s="8"/>
      <c r="F6767" s="92">
        <f t="shared" si="130"/>
        <v>73196</v>
      </c>
    </row>
    <row r="6768" spans="1:7" x14ac:dyDescent="0.25">
      <c r="A6768" s="204">
        <v>43710</v>
      </c>
      <c r="B6768" s="26" t="s">
        <v>85</v>
      </c>
      <c r="C6768" s="26" t="s">
        <v>5649</v>
      </c>
      <c r="D6768" s="8">
        <v>1000</v>
      </c>
      <c r="E6768" s="8"/>
      <c r="F6768" s="92">
        <f t="shared" si="130"/>
        <v>72196</v>
      </c>
    </row>
    <row r="6769" spans="1:6" x14ac:dyDescent="0.25">
      <c r="A6769" s="204">
        <v>43710</v>
      </c>
      <c r="B6769" s="26" t="s">
        <v>2597</v>
      </c>
      <c r="C6769" s="26" t="s">
        <v>3146</v>
      </c>
      <c r="D6769" s="8">
        <v>1000</v>
      </c>
      <c r="E6769" s="8"/>
      <c r="F6769" s="92">
        <f t="shared" si="130"/>
        <v>71196</v>
      </c>
    </row>
    <row r="6770" spans="1:6" x14ac:dyDescent="0.25">
      <c r="A6770" s="204">
        <v>43711</v>
      </c>
      <c r="B6770" s="26" t="s">
        <v>4776</v>
      </c>
      <c r="C6770" s="26" t="s">
        <v>41</v>
      </c>
      <c r="D6770" s="8">
        <v>10000</v>
      </c>
      <c r="E6770" s="8"/>
      <c r="F6770" s="92">
        <f t="shared" si="130"/>
        <v>61196</v>
      </c>
    </row>
    <row r="6771" spans="1:6" x14ac:dyDescent="0.25">
      <c r="A6771" s="204">
        <v>43711</v>
      </c>
      <c r="B6771" s="26" t="s">
        <v>5652</v>
      </c>
      <c r="C6771" s="26" t="s">
        <v>5650</v>
      </c>
      <c r="D6771" s="8">
        <v>4000</v>
      </c>
      <c r="E6771" s="8"/>
      <c r="F6771" s="92">
        <f t="shared" si="130"/>
        <v>57196</v>
      </c>
    </row>
    <row r="6772" spans="1:6" x14ac:dyDescent="0.25">
      <c r="A6772" s="204">
        <v>43711</v>
      </c>
      <c r="B6772" s="26" t="s">
        <v>1619</v>
      </c>
      <c r="C6772" s="26" t="s">
        <v>3707</v>
      </c>
      <c r="D6772" s="8">
        <v>1500</v>
      </c>
      <c r="E6772" s="8"/>
      <c r="F6772" s="92">
        <f t="shared" si="130"/>
        <v>55696</v>
      </c>
    </row>
    <row r="6773" spans="1:6" x14ac:dyDescent="0.25">
      <c r="A6773" s="204">
        <v>43711</v>
      </c>
      <c r="B6773" s="26" t="s">
        <v>1619</v>
      </c>
      <c r="C6773" s="29" t="s">
        <v>5651</v>
      </c>
      <c r="D6773" s="8">
        <v>600</v>
      </c>
      <c r="E6773" s="8"/>
      <c r="F6773" s="92">
        <f t="shared" si="130"/>
        <v>55096</v>
      </c>
    </row>
    <row r="6774" spans="1:6" x14ac:dyDescent="0.25">
      <c r="A6774" s="204">
        <v>43711</v>
      </c>
      <c r="B6774" s="26" t="s">
        <v>248</v>
      </c>
      <c r="C6774" s="26" t="s">
        <v>5653</v>
      </c>
      <c r="D6774" s="8">
        <v>300</v>
      </c>
      <c r="E6774" s="8"/>
      <c r="F6774" s="92">
        <f t="shared" si="130"/>
        <v>54796</v>
      </c>
    </row>
    <row r="6775" spans="1:6" x14ac:dyDescent="0.25">
      <c r="A6775" s="204">
        <v>43711</v>
      </c>
      <c r="B6775" s="26" t="s">
        <v>248</v>
      </c>
      <c r="C6775" s="26" t="s">
        <v>2016</v>
      </c>
      <c r="D6775" s="8">
        <v>200</v>
      </c>
      <c r="E6775" s="8"/>
      <c r="F6775" s="92">
        <f t="shared" si="130"/>
        <v>54596</v>
      </c>
    </row>
    <row r="6776" spans="1:6" x14ac:dyDescent="0.25">
      <c r="A6776" s="204">
        <v>43711</v>
      </c>
      <c r="B6776" s="26" t="s">
        <v>1840</v>
      </c>
      <c r="C6776" s="26" t="s">
        <v>5684</v>
      </c>
      <c r="D6776" s="8">
        <v>6000</v>
      </c>
      <c r="E6776" s="8"/>
      <c r="F6776" s="92">
        <f t="shared" si="130"/>
        <v>48596</v>
      </c>
    </row>
    <row r="6777" spans="1:6" x14ac:dyDescent="0.25">
      <c r="A6777" s="204">
        <v>43711</v>
      </c>
      <c r="B6777" s="26" t="s">
        <v>1840</v>
      </c>
      <c r="C6777" s="26" t="s">
        <v>5683</v>
      </c>
      <c r="D6777" s="8">
        <v>3000</v>
      </c>
      <c r="E6777" s="8"/>
      <c r="F6777" s="92">
        <f t="shared" si="130"/>
        <v>45596</v>
      </c>
    </row>
    <row r="6778" spans="1:6" x14ac:dyDescent="0.25">
      <c r="A6778" s="204">
        <v>43711</v>
      </c>
      <c r="B6778" s="26" t="s">
        <v>55</v>
      </c>
      <c r="C6778" s="26" t="s">
        <v>5654</v>
      </c>
      <c r="D6778" s="8">
        <v>4250</v>
      </c>
      <c r="E6778" s="8"/>
      <c r="F6778" s="92">
        <f t="shared" si="130"/>
        <v>41346</v>
      </c>
    </row>
    <row r="6779" spans="1:6" x14ac:dyDescent="0.25">
      <c r="A6779" s="204">
        <v>43711</v>
      </c>
      <c r="B6779" s="26" t="s">
        <v>55</v>
      </c>
      <c r="C6779" s="26" t="s">
        <v>5655</v>
      </c>
      <c r="D6779" s="8">
        <v>2600</v>
      </c>
      <c r="E6779" s="8"/>
      <c r="F6779" s="92">
        <f t="shared" si="130"/>
        <v>38746</v>
      </c>
    </row>
    <row r="6780" spans="1:6" x14ac:dyDescent="0.25">
      <c r="A6780" s="204">
        <v>43711</v>
      </c>
      <c r="B6780" s="26" t="s">
        <v>2951</v>
      </c>
      <c r="C6780" s="26" t="s">
        <v>5656</v>
      </c>
      <c r="D6780" s="8">
        <v>1000</v>
      </c>
      <c r="E6780" s="8"/>
      <c r="F6780" s="92">
        <f t="shared" si="130"/>
        <v>37746</v>
      </c>
    </row>
    <row r="6781" spans="1:6" x14ac:dyDescent="0.25">
      <c r="A6781" s="204">
        <v>43711</v>
      </c>
      <c r="B6781" s="26" t="s">
        <v>14</v>
      </c>
      <c r="C6781" s="26" t="s">
        <v>641</v>
      </c>
      <c r="D6781" s="8">
        <v>1000</v>
      </c>
      <c r="E6781" s="8"/>
      <c r="F6781" s="92">
        <f t="shared" si="130"/>
        <v>36746</v>
      </c>
    </row>
    <row r="6782" spans="1:6" x14ac:dyDescent="0.25">
      <c r="A6782" s="204">
        <v>43711</v>
      </c>
      <c r="B6782" s="26" t="s">
        <v>5214</v>
      </c>
      <c r="C6782" s="26" t="s">
        <v>295</v>
      </c>
      <c r="D6782" s="161">
        <v>20000</v>
      </c>
      <c r="E6782" s="8"/>
      <c r="F6782" s="92">
        <f t="shared" si="130"/>
        <v>16746</v>
      </c>
    </row>
    <row r="6783" spans="1:6" x14ac:dyDescent="0.25">
      <c r="A6783" s="204">
        <v>43711</v>
      </c>
      <c r="B6783" s="26" t="s">
        <v>26</v>
      </c>
      <c r="C6783" s="26" t="s">
        <v>5658</v>
      </c>
      <c r="D6783" s="8">
        <v>300</v>
      </c>
      <c r="E6783" s="8"/>
      <c r="F6783" s="92">
        <f t="shared" si="130"/>
        <v>16446</v>
      </c>
    </row>
    <row r="6784" spans="1:6" x14ac:dyDescent="0.25">
      <c r="A6784" s="204">
        <v>43711</v>
      </c>
      <c r="B6784" s="26" t="s">
        <v>1515</v>
      </c>
      <c r="C6784" s="26" t="s">
        <v>5659</v>
      </c>
      <c r="D6784" s="8">
        <v>5000</v>
      </c>
      <c r="E6784" s="8"/>
      <c r="F6784" s="92">
        <f t="shared" si="130"/>
        <v>11446</v>
      </c>
    </row>
    <row r="6785" spans="1:6" x14ac:dyDescent="0.25">
      <c r="A6785" s="204">
        <v>43712</v>
      </c>
      <c r="B6785" s="26" t="s">
        <v>5662</v>
      </c>
      <c r="C6785" s="26" t="s">
        <v>5663</v>
      </c>
      <c r="D6785" s="8">
        <v>100</v>
      </c>
      <c r="E6785" s="8"/>
      <c r="F6785" s="92">
        <f t="shared" si="130"/>
        <v>11346</v>
      </c>
    </row>
    <row r="6786" spans="1:6" x14ac:dyDescent="0.25">
      <c r="A6786" s="204">
        <v>43712</v>
      </c>
      <c r="B6786" s="244" t="s">
        <v>4110</v>
      </c>
      <c r="C6786" s="214"/>
      <c r="D6786" s="245"/>
      <c r="E6786" s="98">
        <v>50000</v>
      </c>
      <c r="F6786" s="92">
        <f t="shared" si="130"/>
        <v>61346</v>
      </c>
    </row>
    <row r="6787" spans="1:6" x14ac:dyDescent="0.25">
      <c r="A6787" s="204">
        <v>43712</v>
      </c>
      <c r="B6787" s="29" t="s">
        <v>2597</v>
      </c>
      <c r="C6787" s="29" t="s">
        <v>295</v>
      </c>
      <c r="D6787" s="8">
        <v>14375</v>
      </c>
      <c r="E6787" s="8"/>
      <c r="F6787" s="92">
        <f t="shared" si="130"/>
        <v>46971</v>
      </c>
    </row>
    <row r="6788" spans="1:6" x14ac:dyDescent="0.25">
      <c r="A6788" s="204">
        <v>43712</v>
      </c>
      <c r="B6788" s="26" t="s">
        <v>1682</v>
      </c>
      <c r="C6788" s="26" t="s">
        <v>5664</v>
      </c>
      <c r="D6788" s="8">
        <v>200</v>
      </c>
      <c r="E6788" s="8"/>
      <c r="F6788" s="92">
        <f t="shared" si="130"/>
        <v>46771</v>
      </c>
    </row>
    <row r="6789" spans="1:6" x14ac:dyDescent="0.25">
      <c r="A6789" s="204">
        <v>43712</v>
      </c>
      <c r="B6789" s="26" t="s">
        <v>1682</v>
      </c>
      <c r="C6789" s="26" t="s">
        <v>5665</v>
      </c>
      <c r="D6789" s="8">
        <v>10000</v>
      </c>
      <c r="E6789" s="8"/>
      <c r="F6789" s="92">
        <f t="shared" si="130"/>
        <v>36771</v>
      </c>
    </row>
    <row r="6790" spans="1:6" x14ac:dyDescent="0.25">
      <c r="A6790" s="204">
        <v>43713</v>
      </c>
      <c r="B6790" s="26" t="s">
        <v>5140</v>
      </c>
      <c r="C6790" s="26" t="s">
        <v>41</v>
      </c>
      <c r="D6790" s="8">
        <v>4200</v>
      </c>
      <c r="E6790" s="8"/>
      <c r="F6790" s="92">
        <f t="shared" ref="F6790:F6818" si="131">F6789-D6790+E6790</f>
        <v>32571</v>
      </c>
    </row>
    <row r="6791" spans="1:6" x14ac:dyDescent="0.25">
      <c r="A6791" s="204">
        <v>43713</v>
      </c>
      <c r="B6791" s="26" t="s">
        <v>2573</v>
      </c>
      <c r="C6791" s="26" t="s">
        <v>5666</v>
      </c>
      <c r="D6791" s="8">
        <v>1810</v>
      </c>
      <c r="E6791" s="8"/>
      <c r="F6791" s="92">
        <f t="shared" si="131"/>
        <v>30761</v>
      </c>
    </row>
    <row r="6792" spans="1:6" x14ac:dyDescent="0.25">
      <c r="A6792" s="204">
        <v>43713</v>
      </c>
      <c r="B6792" s="26" t="s">
        <v>5537</v>
      </c>
      <c r="C6792" s="26" t="s">
        <v>682</v>
      </c>
      <c r="D6792" s="8">
        <v>500</v>
      </c>
      <c r="E6792" s="8"/>
      <c r="F6792" s="92">
        <f t="shared" si="131"/>
        <v>30261</v>
      </c>
    </row>
    <row r="6793" spans="1:6" x14ac:dyDescent="0.25">
      <c r="A6793" s="204">
        <v>43713</v>
      </c>
      <c r="B6793" s="29" t="s">
        <v>85</v>
      </c>
      <c r="C6793" s="29" t="s">
        <v>5675</v>
      </c>
      <c r="D6793" s="8">
        <v>10000</v>
      </c>
      <c r="E6793" s="8"/>
      <c r="F6793" s="92">
        <f t="shared" si="131"/>
        <v>20261</v>
      </c>
    </row>
    <row r="6794" spans="1:6" x14ac:dyDescent="0.25">
      <c r="A6794" s="204">
        <v>43713</v>
      </c>
      <c r="B6794" s="29" t="s">
        <v>1461</v>
      </c>
      <c r="C6794" s="26" t="s">
        <v>5667</v>
      </c>
      <c r="D6794" s="8">
        <v>2220</v>
      </c>
      <c r="E6794" s="8"/>
      <c r="F6794" s="92">
        <f t="shared" si="131"/>
        <v>18041</v>
      </c>
    </row>
    <row r="6795" spans="1:6" x14ac:dyDescent="0.25">
      <c r="A6795" s="204">
        <v>43713</v>
      </c>
      <c r="B6795" s="475" t="s">
        <v>5669</v>
      </c>
      <c r="C6795" s="476"/>
      <c r="D6795" s="245"/>
      <c r="E6795" s="98">
        <v>500000</v>
      </c>
      <c r="F6795" s="92">
        <f t="shared" si="131"/>
        <v>518041</v>
      </c>
    </row>
    <row r="6796" spans="1:6" x14ac:dyDescent="0.25">
      <c r="A6796" s="204">
        <v>43713</v>
      </c>
      <c r="B6796" s="26" t="s">
        <v>2597</v>
      </c>
      <c r="C6796" s="26" t="s">
        <v>5707</v>
      </c>
      <c r="D6796" s="11">
        <v>34517</v>
      </c>
      <c r="E6796" s="8"/>
      <c r="F6796" s="92">
        <f t="shared" si="131"/>
        <v>483524</v>
      </c>
    </row>
    <row r="6797" spans="1:6" x14ac:dyDescent="0.25">
      <c r="A6797" s="204">
        <v>43713</v>
      </c>
      <c r="B6797" s="26" t="s">
        <v>4116</v>
      </c>
      <c r="C6797" s="26" t="s">
        <v>4323</v>
      </c>
      <c r="D6797" s="8">
        <v>2000</v>
      </c>
      <c r="E6797" s="8"/>
      <c r="F6797" s="92">
        <f t="shared" si="131"/>
        <v>481524</v>
      </c>
    </row>
    <row r="6798" spans="1:6" x14ac:dyDescent="0.25">
      <c r="A6798" s="204">
        <v>43713</v>
      </c>
      <c r="B6798" s="26" t="s">
        <v>542</v>
      </c>
      <c r="C6798" s="26" t="s">
        <v>5708</v>
      </c>
      <c r="D6798" s="11">
        <v>100000</v>
      </c>
      <c r="E6798" s="8"/>
      <c r="F6798" s="92">
        <f t="shared" si="131"/>
        <v>381524</v>
      </c>
    </row>
    <row r="6799" spans="1:6" x14ac:dyDescent="0.25">
      <c r="A6799" s="204">
        <v>43713</v>
      </c>
      <c r="B6799" s="29" t="s">
        <v>85</v>
      </c>
      <c r="C6799" s="29" t="s">
        <v>5670</v>
      </c>
      <c r="D6799" s="8">
        <v>5000</v>
      </c>
      <c r="E6799" s="8"/>
      <c r="F6799" s="92">
        <f t="shared" si="131"/>
        <v>376524</v>
      </c>
    </row>
    <row r="6800" spans="1:6" x14ac:dyDescent="0.25">
      <c r="A6800" s="204">
        <v>43713</v>
      </c>
      <c r="B6800" s="29" t="s">
        <v>85</v>
      </c>
      <c r="C6800" s="29" t="s">
        <v>5671</v>
      </c>
      <c r="D6800" s="8">
        <v>3000</v>
      </c>
      <c r="E6800" s="8"/>
      <c r="F6800" s="92">
        <f t="shared" si="131"/>
        <v>373524</v>
      </c>
    </row>
    <row r="6801" spans="1:6" x14ac:dyDescent="0.25">
      <c r="A6801" s="204">
        <v>43713</v>
      </c>
      <c r="B6801" s="29" t="s">
        <v>85</v>
      </c>
      <c r="C6801" s="29" t="s">
        <v>5672</v>
      </c>
      <c r="D6801" s="8">
        <v>5000</v>
      </c>
      <c r="E6801" s="8"/>
      <c r="F6801" s="92">
        <f t="shared" si="131"/>
        <v>368524</v>
      </c>
    </row>
    <row r="6802" spans="1:6" x14ac:dyDescent="0.25">
      <c r="A6802" s="204">
        <v>43713</v>
      </c>
      <c r="B6802" s="29" t="s">
        <v>85</v>
      </c>
      <c r="C6802" s="29" t="s">
        <v>5673</v>
      </c>
      <c r="D6802" s="11">
        <v>10000</v>
      </c>
      <c r="E6802" s="8"/>
      <c r="F6802" s="92">
        <f t="shared" si="131"/>
        <v>358524</v>
      </c>
    </row>
    <row r="6803" spans="1:6" x14ac:dyDescent="0.25">
      <c r="A6803" s="204">
        <v>43713</v>
      </c>
      <c r="B6803" s="29" t="s">
        <v>85</v>
      </c>
      <c r="C6803" s="29" t="s">
        <v>5581</v>
      </c>
      <c r="D6803" s="11">
        <v>10000</v>
      </c>
      <c r="E6803" s="8"/>
      <c r="F6803" s="92">
        <f t="shared" si="131"/>
        <v>348524</v>
      </c>
    </row>
    <row r="6804" spans="1:6" x14ac:dyDescent="0.25">
      <c r="A6804" s="204">
        <v>43713</v>
      </c>
      <c r="B6804" s="29" t="s">
        <v>85</v>
      </c>
      <c r="C6804" s="29" t="s">
        <v>5674</v>
      </c>
      <c r="D6804" s="8">
        <v>2000</v>
      </c>
      <c r="E6804" s="8"/>
      <c r="F6804" s="92">
        <f t="shared" si="131"/>
        <v>346524</v>
      </c>
    </row>
    <row r="6805" spans="1:6" x14ac:dyDescent="0.25">
      <c r="A6805" s="204">
        <v>43713</v>
      </c>
      <c r="B6805" s="29" t="s">
        <v>85</v>
      </c>
      <c r="C6805" s="29" t="s">
        <v>5621</v>
      </c>
      <c r="D6805" s="8">
        <v>2000</v>
      </c>
      <c r="E6805" s="8"/>
      <c r="F6805" s="92">
        <f t="shared" si="131"/>
        <v>344524</v>
      </c>
    </row>
    <row r="6806" spans="1:6" x14ac:dyDescent="0.25">
      <c r="A6806" s="204">
        <v>43713</v>
      </c>
      <c r="B6806" s="26" t="s">
        <v>5479</v>
      </c>
      <c r="C6806" s="26" t="s">
        <v>5676</v>
      </c>
      <c r="D6806" s="8">
        <v>850</v>
      </c>
      <c r="E6806" s="8"/>
      <c r="F6806" s="92">
        <f t="shared" si="131"/>
        <v>343674</v>
      </c>
    </row>
    <row r="6807" spans="1:6" x14ac:dyDescent="0.25">
      <c r="A6807" s="204">
        <v>43713</v>
      </c>
      <c r="B6807" s="26" t="s">
        <v>5677</v>
      </c>
      <c r="C6807" s="26" t="s">
        <v>5678</v>
      </c>
      <c r="D6807" s="8">
        <v>3000</v>
      </c>
      <c r="E6807" s="8"/>
      <c r="F6807" s="92">
        <f t="shared" si="131"/>
        <v>340674</v>
      </c>
    </row>
    <row r="6808" spans="1:6" x14ac:dyDescent="0.25">
      <c r="A6808" s="204">
        <v>43713</v>
      </c>
      <c r="B6808" s="29" t="s">
        <v>2597</v>
      </c>
      <c r="C6808" s="29" t="s">
        <v>5687</v>
      </c>
      <c r="D6808" s="8">
        <f>6483-1500-3440+340</f>
        <v>1883</v>
      </c>
      <c r="E6808" s="8"/>
      <c r="F6808" s="92">
        <f t="shared" si="131"/>
        <v>338791</v>
      </c>
    </row>
    <row r="6809" spans="1:6" x14ac:dyDescent="0.25">
      <c r="A6809" s="204">
        <v>43713</v>
      </c>
      <c r="B6809" s="29" t="s">
        <v>1790</v>
      </c>
      <c r="C6809" s="29" t="s">
        <v>5679</v>
      </c>
      <c r="D6809" s="8">
        <v>1500</v>
      </c>
      <c r="E6809" s="8"/>
      <c r="F6809" s="92">
        <f t="shared" si="131"/>
        <v>337291</v>
      </c>
    </row>
    <row r="6810" spans="1:6" x14ac:dyDescent="0.25">
      <c r="A6810" s="204">
        <v>43713</v>
      </c>
      <c r="B6810" s="29" t="s">
        <v>2597</v>
      </c>
      <c r="C6810" s="29" t="s">
        <v>5681</v>
      </c>
      <c r="D6810" s="8">
        <v>3440</v>
      </c>
      <c r="E6810" s="8"/>
      <c r="F6810" s="92">
        <f t="shared" si="131"/>
        <v>333851</v>
      </c>
    </row>
    <row r="6811" spans="1:6" x14ac:dyDescent="0.25">
      <c r="A6811" s="204">
        <v>43714</v>
      </c>
      <c r="B6811" s="26" t="s">
        <v>2597</v>
      </c>
      <c r="C6811" s="26" t="s">
        <v>5709</v>
      </c>
      <c r="D6811" s="11">
        <v>25421</v>
      </c>
      <c r="E6811" s="8"/>
      <c r="F6811" s="92">
        <f t="shared" si="131"/>
        <v>308430</v>
      </c>
    </row>
    <row r="6812" spans="1:6" x14ac:dyDescent="0.25">
      <c r="A6812" s="204">
        <v>43715</v>
      </c>
      <c r="B6812" s="26" t="s">
        <v>14</v>
      </c>
      <c r="C6812" s="26" t="s">
        <v>2547</v>
      </c>
      <c r="D6812" s="11">
        <v>60000</v>
      </c>
      <c r="E6812" s="8"/>
      <c r="F6812" s="92">
        <f t="shared" si="131"/>
        <v>248430</v>
      </c>
    </row>
    <row r="6813" spans="1:6" x14ac:dyDescent="0.25">
      <c r="A6813" s="204">
        <v>43715</v>
      </c>
      <c r="B6813" s="26" t="s">
        <v>1790</v>
      </c>
      <c r="C6813" s="26" t="s">
        <v>5680</v>
      </c>
      <c r="D6813" s="8">
        <v>1500</v>
      </c>
      <c r="E6813" s="8"/>
      <c r="F6813" s="92">
        <f t="shared" si="131"/>
        <v>246930</v>
      </c>
    </row>
    <row r="6814" spans="1:6" x14ac:dyDescent="0.25">
      <c r="A6814" s="204">
        <v>43715</v>
      </c>
      <c r="B6814" s="29" t="s">
        <v>85</v>
      </c>
      <c r="C6814" s="29" t="s">
        <v>5682</v>
      </c>
      <c r="D6814" s="11">
        <v>10000</v>
      </c>
      <c r="E6814" s="8"/>
      <c r="F6814" s="92">
        <f t="shared" si="131"/>
        <v>236930</v>
      </c>
    </row>
    <row r="6815" spans="1:6" x14ac:dyDescent="0.25">
      <c r="A6815" s="204">
        <v>43715</v>
      </c>
      <c r="B6815" s="26" t="s">
        <v>2597</v>
      </c>
      <c r="C6815" s="26" t="s">
        <v>5709</v>
      </c>
      <c r="D6815" s="11">
        <v>35270</v>
      </c>
      <c r="E6815" s="8"/>
      <c r="F6815" s="92">
        <f t="shared" si="131"/>
        <v>201660</v>
      </c>
    </row>
    <row r="6816" spans="1:6" x14ac:dyDescent="0.25">
      <c r="A6816" s="204">
        <v>43715</v>
      </c>
      <c r="B6816" s="26" t="s">
        <v>1840</v>
      </c>
      <c r="C6816" s="26" t="s">
        <v>5685</v>
      </c>
      <c r="D6816" s="8">
        <v>300</v>
      </c>
      <c r="E6816" s="8"/>
      <c r="F6816" s="92">
        <f t="shared" si="131"/>
        <v>201360</v>
      </c>
    </row>
    <row r="6817" spans="1:6" x14ac:dyDescent="0.25">
      <c r="A6817" s="204">
        <v>43715</v>
      </c>
      <c r="B6817" s="26" t="s">
        <v>26</v>
      </c>
      <c r="C6817" s="26" t="s">
        <v>65</v>
      </c>
      <c r="D6817" s="8">
        <v>1600</v>
      </c>
      <c r="E6817" s="8"/>
      <c r="F6817" s="92">
        <f t="shared" si="131"/>
        <v>199760</v>
      </c>
    </row>
    <row r="6818" spans="1:6" x14ac:dyDescent="0.25">
      <c r="A6818" s="204">
        <v>43715</v>
      </c>
      <c r="B6818" s="26" t="s">
        <v>0</v>
      </c>
      <c r="C6818" s="26" t="s">
        <v>4191</v>
      </c>
      <c r="D6818" s="8">
        <v>5000</v>
      </c>
      <c r="E6818" s="8"/>
      <c r="F6818" s="92">
        <f t="shared" si="131"/>
        <v>194760</v>
      </c>
    </row>
    <row r="6819" spans="1:6" x14ac:dyDescent="0.25">
      <c r="A6819" s="204">
        <v>43719</v>
      </c>
      <c r="B6819" s="29" t="s">
        <v>85</v>
      </c>
      <c r="C6819" s="29" t="s">
        <v>5690</v>
      </c>
      <c r="D6819" s="8">
        <v>2000</v>
      </c>
      <c r="E6819" s="8"/>
      <c r="F6819" s="92">
        <f t="shared" ref="F6819:F6860" si="132">F6818-D6819+E6819</f>
        <v>192760</v>
      </c>
    </row>
    <row r="6820" spans="1:6" x14ac:dyDescent="0.25">
      <c r="A6820" s="204">
        <v>43719</v>
      </c>
      <c r="B6820" s="26" t="s">
        <v>26</v>
      </c>
      <c r="C6820" s="26" t="s">
        <v>5686</v>
      </c>
      <c r="D6820" s="8">
        <f>130+90+180+50+120+50+290+80+300+50+50+70+81+345+170+150+100+80+50+120</f>
        <v>2556</v>
      </c>
      <c r="E6820" s="8"/>
      <c r="F6820" s="92">
        <f t="shared" si="132"/>
        <v>190204</v>
      </c>
    </row>
    <row r="6821" spans="1:6" x14ac:dyDescent="0.25">
      <c r="A6821" s="204">
        <v>43719</v>
      </c>
      <c r="B6821" s="26" t="s">
        <v>2597</v>
      </c>
      <c r="C6821" s="26" t="s">
        <v>5688</v>
      </c>
      <c r="D6821" s="11">
        <v>10000</v>
      </c>
      <c r="E6821" s="8"/>
      <c r="F6821" s="92">
        <f t="shared" si="132"/>
        <v>180204</v>
      </c>
    </row>
    <row r="6822" spans="1:6" x14ac:dyDescent="0.25">
      <c r="A6822" s="204">
        <v>43719</v>
      </c>
      <c r="B6822" s="26" t="s">
        <v>2597</v>
      </c>
      <c r="C6822" s="26" t="s">
        <v>3146</v>
      </c>
      <c r="D6822" s="8">
        <v>1500</v>
      </c>
      <c r="E6822" s="8"/>
      <c r="F6822" s="92">
        <f t="shared" si="132"/>
        <v>178704</v>
      </c>
    </row>
    <row r="6823" spans="1:6" x14ac:dyDescent="0.25">
      <c r="A6823" s="204">
        <v>43719</v>
      </c>
      <c r="B6823" s="26" t="s">
        <v>5087</v>
      </c>
      <c r="C6823" s="26" t="s">
        <v>2016</v>
      </c>
      <c r="D6823" s="8">
        <v>100</v>
      </c>
      <c r="E6823" s="8"/>
      <c r="F6823" s="92">
        <f t="shared" si="132"/>
        <v>178604</v>
      </c>
    </row>
    <row r="6824" spans="1:6" x14ac:dyDescent="0.25">
      <c r="A6824" s="204">
        <v>43719</v>
      </c>
      <c r="B6824" s="26" t="s">
        <v>55</v>
      </c>
      <c r="C6824" s="26" t="s">
        <v>5689</v>
      </c>
      <c r="D6824" s="8">
        <v>2000</v>
      </c>
      <c r="E6824" s="8"/>
      <c r="F6824" s="92">
        <f t="shared" si="132"/>
        <v>176604</v>
      </c>
    </row>
    <row r="6825" spans="1:6" x14ac:dyDescent="0.25">
      <c r="A6825" s="204">
        <v>43719</v>
      </c>
      <c r="B6825" s="26" t="s">
        <v>14</v>
      </c>
      <c r="C6825" s="26" t="s">
        <v>5691</v>
      </c>
      <c r="D6825" s="8">
        <v>517</v>
      </c>
      <c r="E6825" s="8"/>
      <c r="F6825" s="92">
        <f t="shared" si="132"/>
        <v>176087</v>
      </c>
    </row>
    <row r="6826" spans="1:6" x14ac:dyDescent="0.25">
      <c r="A6826" s="204">
        <v>43719</v>
      </c>
      <c r="B6826" s="26" t="s">
        <v>2573</v>
      </c>
      <c r="C6826" s="26" t="s">
        <v>5692</v>
      </c>
      <c r="D6826" s="8">
        <v>650</v>
      </c>
      <c r="E6826" s="8"/>
      <c r="F6826" s="92">
        <f t="shared" si="132"/>
        <v>175437</v>
      </c>
    </row>
    <row r="6827" spans="1:6" x14ac:dyDescent="0.25">
      <c r="A6827" s="204">
        <v>43719</v>
      </c>
      <c r="B6827" s="479" t="s">
        <v>5555</v>
      </c>
      <c r="C6827" s="479"/>
      <c r="D6827" s="480"/>
      <c r="E6827" s="157">
        <v>500000</v>
      </c>
      <c r="F6827" s="92">
        <f t="shared" si="132"/>
        <v>675437</v>
      </c>
    </row>
    <row r="6828" spans="1:6" x14ac:dyDescent="0.25">
      <c r="A6828" s="204">
        <v>43720</v>
      </c>
      <c r="B6828" s="477" t="s">
        <v>5702</v>
      </c>
      <c r="C6828" s="477"/>
      <c r="D6828" s="478"/>
      <c r="E6828" s="248">
        <v>500000</v>
      </c>
      <c r="F6828" s="92">
        <f t="shared" si="132"/>
        <v>1175437</v>
      </c>
    </row>
    <row r="6829" spans="1:6" x14ac:dyDescent="0.25">
      <c r="A6829" s="204">
        <v>43720</v>
      </c>
      <c r="B6829" s="481" t="s">
        <v>5701</v>
      </c>
      <c r="C6829" s="481"/>
      <c r="D6829" s="482"/>
      <c r="E6829" s="249">
        <v>178000</v>
      </c>
      <c r="F6829" s="326">
        <f t="shared" si="132"/>
        <v>1353437</v>
      </c>
    </row>
    <row r="6830" spans="1:6" x14ac:dyDescent="0.25">
      <c r="A6830" s="204">
        <v>43719</v>
      </c>
      <c r="B6830" s="26"/>
      <c r="C6830" s="26" t="s">
        <v>5703</v>
      </c>
      <c r="D6830" s="11">
        <v>1216524</v>
      </c>
      <c r="E6830" s="13"/>
      <c r="F6830" s="92">
        <f t="shared" si="132"/>
        <v>136913</v>
      </c>
    </row>
    <row r="6831" spans="1:6" x14ac:dyDescent="0.25">
      <c r="A6831" s="204">
        <v>43720</v>
      </c>
      <c r="B6831" s="26" t="s">
        <v>5537</v>
      </c>
      <c r="C6831" s="26" t="s">
        <v>41</v>
      </c>
      <c r="D6831" s="8">
        <v>1000</v>
      </c>
      <c r="E6831" s="8"/>
      <c r="F6831" s="92">
        <f t="shared" si="132"/>
        <v>135913</v>
      </c>
    </row>
    <row r="6832" spans="1:6" x14ac:dyDescent="0.25">
      <c r="A6832" s="204">
        <v>43720</v>
      </c>
      <c r="B6832" s="26" t="s">
        <v>1790</v>
      </c>
      <c r="C6832" s="26" t="s">
        <v>5693</v>
      </c>
      <c r="D6832" s="8">
        <v>1500</v>
      </c>
      <c r="E6832" s="8"/>
      <c r="F6832" s="92">
        <f t="shared" si="132"/>
        <v>134413</v>
      </c>
    </row>
    <row r="6833" spans="1:6" x14ac:dyDescent="0.25">
      <c r="A6833" s="204">
        <v>43720</v>
      </c>
      <c r="B6833" s="26" t="s">
        <v>1790</v>
      </c>
      <c r="C6833" s="26" t="s">
        <v>5694</v>
      </c>
      <c r="D6833" s="8">
        <v>2000</v>
      </c>
      <c r="E6833" s="8"/>
      <c r="F6833" s="92">
        <f t="shared" si="132"/>
        <v>132413</v>
      </c>
    </row>
    <row r="6834" spans="1:6" x14ac:dyDescent="0.25">
      <c r="A6834" s="204">
        <v>43720</v>
      </c>
      <c r="B6834" s="456" t="s">
        <v>5705</v>
      </c>
      <c r="C6834" s="457"/>
      <c r="D6834" s="458"/>
      <c r="E6834" s="98">
        <v>150000</v>
      </c>
      <c r="F6834" s="92">
        <f t="shared" si="132"/>
        <v>282413</v>
      </c>
    </row>
    <row r="6835" spans="1:6" x14ac:dyDescent="0.25">
      <c r="A6835" s="204">
        <v>43720</v>
      </c>
      <c r="B6835" s="26" t="s">
        <v>2222</v>
      </c>
      <c r="C6835" s="26" t="s">
        <v>41</v>
      </c>
      <c r="D6835" s="11">
        <v>136623</v>
      </c>
      <c r="E6835" s="8"/>
      <c r="F6835" s="92">
        <f t="shared" si="132"/>
        <v>145790</v>
      </c>
    </row>
    <row r="6836" spans="1:6" x14ac:dyDescent="0.25">
      <c r="A6836" s="204">
        <v>43720</v>
      </c>
      <c r="B6836" s="26" t="s">
        <v>248</v>
      </c>
      <c r="C6836" s="26" t="s">
        <v>2016</v>
      </c>
      <c r="D6836" s="8">
        <v>100</v>
      </c>
      <c r="E6836" s="8"/>
      <c r="F6836" s="92">
        <f t="shared" si="132"/>
        <v>145690</v>
      </c>
    </row>
    <row r="6837" spans="1:6" x14ac:dyDescent="0.25">
      <c r="A6837" s="204">
        <v>43720</v>
      </c>
      <c r="B6837" s="26" t="s">
        <v>2597</v>
      </c>
      <c r="C6837" s="26" t="s">
        <v>5699</v>
      </c>
      <c r="D6837" s="8">
        <v>3000</v>
      </c>
      <c r="E6837" s="8"/>
      <c r="F6837" s="92">
        <f t="shared" si="132"/>
        <v>142690</v>
      </c>
    </row>
    <row r="6838" spans="1:6" x14ac:dyDescent="0.25">
      <c r="A6838" s="204">
        <v>43720</v>
      </c>
      <c r="B6838" s="26" t="s">
        <v>5537</v>
      </c>
      <c r="C6838" s="26" t="s">
        <v>5695</v>
      </c>
      <c r="D6838" s="8">
        <v>750</v>
      </c>
      <c r="E6838" s="8"/>
      <c r="F6838" s="92">
        <f t="shared" si="132"/>
        <v>141940</v>
      </c>
    </row>
    <row r="6839" spans="1:6" x14ac:dyDescent="0.25">
      <c r="A6839" s="204">
        <v>43720</v>
      </c>
      <c r="B6839" s="26" t="s">
        <v>5537</v>
      </c>
      <c r="C6839" s="26" t="s">
        <v>1627</v>
      </c>
      <c r="D6839" s="8">
        <v>200</v>
      </c>
      <c r="E6839" s="8"/>
      <c r="F6839" s="92">
        <f t="shared" si="132"/>
        <v>141740</v>
      </c>
    </row>
    <row r="6840" spans="1:6" x14ac:dyDescent="0.25">
      <c r="A6840" s="204">
        <v>43720</v>
      </c>
      <c r="B6840" s="29" t="s">
        <v>85</v>
      </c>
      <c r="C6840" s="29" t="s">
        <v>5696</v>
      </c>
      <c r="D6840" s="156">
        <v>10000</v>
      </c>
      <c r="E6840" s="8"/>
      <c r="F6840" s="92">
        <f t="shared" si="132"/>
        <v>131740</v>
      </c>
    </row>
    <row r="6841" spans="1:6" x14ac:dyDescent="0.25">
      <c r="A6841" s="204">
        <v>43720</v>
      </c>
      <c r="B6841" s="26" t="s">
        <v>2597</v>
      </c>
      <c r="C6841" s="26" t="s">
        <v>5698</v>
      </c>
      <c r="D6841" s="8">
        <v>2000</v>
      </c>
      <c r="E6841" s="8"/>
      <c r="F6841" s="92">
        <f t="shared" si="132"/>
        <v>129740</v>
      </c>
    </row>
    <row r="6842" spans="1:6" x14ac:dyDescent="0.25">
      <c r="A6842" s="204">
        <v>43720</v>
      </c>
      <c r="B6842" s="26" t="s">
        <v>1682</v>
      </c>
      <c r="C6842" s="26" t="s">
        <v>3615</v>
      </c>
      <c r="D6842" s="8">
        <v>3000</v>
      </c>
      <c r="E6842" s="8"/>
      <c r="F6842" s="92">
        <f t="shared" si="132"/>
        <v>126740</v>
      </c>
    </row>
    <row r="6843" spans="1:6" x14ac:dyDescent="0.25">
      <c r="A6843" s="204">
        <v>43721</v>
      </c>
      <c r="B6843" s="26" t="s">
        <v>1790</v>
      </c>
      <c r="C6843" s="26" t="s">
        <v>5693</v>
      </c>
      <c r="D6843" s="8">
        <v>1500</v>
      </c>
      <c r="E6843" s="8"/>
      <c r="F6843" s="92">
        <f t="shared" si="132"/>
        <v>125240</v>
      </c>
    </row>
    <row r="6844" spans="1:6" x14ac:dyDescent="0.25">
      <c r="A6844" s="204">
        <v>43721</v>
      </c>
      <c r="B6844" s="26" t="s">
        <v>2597</v>
      </c>
      <c r="C6844" s="26" t="s">
        <v>5697</v>
      </c>
      <c r="D6844" s="8">
        <v>4760</v>
      </c>
      <c r="E6844" s="8"/>
      <c r="F6844" s="92">
        <f t="shared" si="132"/>
        <v>120480</v>
      </c>
    </row>
    <row r="6845" spans="1:6" x14ac:dyDescent="0.25">
      <c r="A6845" s="204">
        <v>43721</v>
      </c>
      <c r="B6845" s="26" t="s">
        <v>5700</v>
      </c>
      <c r="C6845" s="26" t="s">
        <v>5706</v>
      </c>
      <c r="D6845" s="11">
        <v>23000</v>
      </c>
      <c r="E6845" s="8"/>
      <c r="F6845" s="92">
        <f t="shared" si="132"/>
        <v>97480</v>
      </c>
    </row>
    <row r="6846" spans="1:6" x14ac:dyDescent="0.25">
      <c r="A6846" s="204">
        <v>43721</v>
      </c>
      <c r="B6846" s="26" t="s">
        <v>1682</v>
      </c>
      <c r="C6846" s="26" t="s">
        <v>5704</v>
      </c>
      <c r="D6846" s="23">
        <v>44275</v>
      </c>
      <c r="E6846" s="8"/>
      <c r="F6846" s="92">
        <f t="shared" si="132"/>
        <v>53205</v>
      </c>
    </row>
    <row r="6847" spans="1:6" x14ac:dyDescent="0.25">
      <c r="A6847" s="204">
        <v>43721</v>
      </c>
      <c r="B6847" s="26" t="s">
        <v>2597</v>
      </c>
      <c r="C6847" s="26" t="s">
        <v>5714</v>
      </c>
      <c r="D6847" s="14">
        <v>5945</v>
      </c>
      <c r="E6847" s="8"/>
      <c r="F6847" s="92">
        <f t="shared" si="132"/>
        <v>47260</v>
      </c>
    </row>
    <row r="6848" spans="1:6" ht="30" x14ac:dyDescent="0.25">
      <c r="A6848" s="204">
        <v>43724</v>
      </c>
      <c r="B6848" s="26" t="s">
        <v>19</v>
      </c>
      <c r="C6848" s="87" t="s">
        <v>5779</v>
      </c>
      <c r="D6848" s="14">
        <v>5000</v>
      </c>
      <c r="E6848" s="8"/>
      <c r="F6848" s="92">
        <f t="shared" si="132"/>
        <v>42260</v>
      </c>
    </row>
    <row r="6849" spans="1:6" x14ac:dyDescent="0.25">
      <c r="A6849" s="204">
        <v>43724</v>
      </c>
      <c r="B6849" s="26" t="s">
        <v>26</v>
      </c>
      <c r="C6849" s="26" t="s">
        <v>5710</v>
      </c>
      <c r="D6849" s="14">
        <f>45+100+100+450+250+400+200+60+50+30+40</f>
        <v>1725</v>
      </c>
      <c r="E6849" s="8"/>
      <c r="F6849" s="92">
        <f t="shared" si="132"/>
        <v>40535</v>
      </c>
    </row>
    <row r="6850" spans="1:6" x14ac:dyDescent="0.25">
      <c r="A6850" s="204">
        <v>43724</v>
      </c>
      <c r="B6850" s="26" t="s">
        <v>542</v>
      </c>
      <c r="C6850" s="26" t="s">
        <v>5711</v>
      </c>
      <c r="D6850" s="14">
        <v>600</v>
      </c>
      <c r="E6850" s="8"/>
      <c r="F6850" s="92">
        <f t="shared" si="132"/>
        <v>39935</v>
      </c>
    </row>
    <row r="6851" spans="1:6" x14ac:dyDescent="0.25">
      <c r="A6851" s="204">
        <v>43724</v>
      </c>
      <c r="B6851" s="26" t="s">
        <v>2597</v>
      </c>
      <c r="C6851" s="26" t="s">
        <v>5716</v>
      </c>
      <c r="D6851" s="14">
        <v>18396</v>
      </c>
      <c r="E6851" s="8"/>
      <c r="F6851" s="92">
        <f t="shared" si="132"/>
        <v>21539</v>
      </c>
    </row>
    <row r="6852" spans="1:6" x14ac:dyDescent="0.25">
      <c r="A6852" s="204">
        <v>43724</v>
      </c>
      <c r="B6852" s="26" t="s">
        <v>542</v>
      </c>
      <c r="C6852" s="26" t="s">
        <v>295</v>
      </c>
      <c r="D6852" s="14">
        <v>5000</v>
      </c>
      <c r="E6852" s="8"/>
      <c r="F6852" s="92">
        <f t="shared" si="132"/>
        <v>16539</v>
      </c>
    </row>
    <row r="6853" spans="1:6" x14ac:dyDescent="0.25">
      <c r="A6853" s="204">
        <v>43724</v>
      </c>
      <c r="B6853" s="18" t="s">
        <v>2951</v>
      </c>
      <c r="C6853" s="184" t="s">
        <v>51</v>
      </c>
      <c r="D6853" s="250">
        <v>1760</v>
      </c>
      <c r="E6853" s="8"/>
      <c r="F6853" s="92">
        <f t="shared" si="132"/>
        <v>14779</v>
      </c>
    </row>
    <row r="6854" spans="1:6" x14ac:dyDescent="0.25">
      <c r="A6854" s="204">
        <v>43724</v>
      </c>
      <c r="B6854" s="456" t="s">
        <v>5713</v>
      </c>
      <c r="C6854" s="457"/>
      <c r="D6854" s="458"/>
      <c r="E6854" s="98">
        <v>100000</v>
      </c>
      <c r="F6854" s="92">
        <f t="shared" si="132"/>
        <v>114779</v>
      </c>
    </row>
    <row r="6855" spans="1:6" x14ac:dyDescent="0.25">
      <c r="A6855" s="204">
        <v>43724</v>
      </c>
      <c r="B6855" s="456" t="s">
        <v>5713</v>
      </c>
      <c r="C6855" s="457"/>
      <c r="D6855" s="458"/>
      <c r="E6855" s="98">
        <v>50000</v>
      </c>
      <c r="F6855" s="92">
        <f t="shared" si="132"/>
        <v>164779</v>
      </c>
    </row>
    <row r="6856" spans="1:6" x14ac:dyDescent="0.25">
      <c r="A6856" s="204">
        <v>43724</v>
      </c>
      <c r="B6856" s="26" t="s">
        <v>2597</v>
      </c>
      <c r="C6856" s="26" t="s">
        <v>5712</v>
      </c>
      <c r="D6856" s="14">
        <v>30100</v>
      </c>
      <c r="E6856" s="8"/>
      <c r="F6856" s="92">
        <f t="shared" si="132"/>
        <v>134679</v>
      </c>
    </row>
    <row r="6857" spans="1:6" x14ac:dyDescent="0.25">
      <c r="A6857" s="204">
        <v>43724</v>
      </c>
      <c r="B6857" s="26" t="s">
        <v>0</v>
      </c>
      <c r="C6857" s="26" t="s">
        <v>5715</v>
      </c>
      <c r="D6857" s="14">
        <v>110000</v>
      </c>
      <c r="E6857" s="8"/>
      <c r="F6857" s="92">
        <f t="shared" si="132"/>
        <v>24679</v>
      </c>
    </row>
    <row r="6858" spans="1:6" x14ac:dyDescent="0.25">
      <c r="A6858" s="204">
        <v>43725</v>
      </c>
      <c r="B6858" s="26" t="s">
        <v>2349</v>
      </c>
      <c r="C6858" s="26" t="s">
        <v>5717</v>
      </c>
      <c r="D6858" s="14">
        <v>3000</v>
      </c>
      <c r="E6858" s="8"/>
      <c r="F6858" s="92">
        <f t="shared" si="132"/>
        <v>21679</v>
      </c>
    </row>
    <row r="6859" spans="1:6" x14ac:dyDescent="0.25">
      <c r="A6859" s="204">
        <v>43725</v>
      </c>
      <c r="B6859" s="26" t="s">
        <v>2597</v>
      </c>
      <c r="C6859" s="26" t="s">
        <v>2547</v>
      </c>
      <c r="D6859" s="14">
        <v>18450</v>
      </c>
      <c r="E6859" s="8"/>
      <c r="F6859" s="92">
        <f t="shared" si="132"/>
        <v>3229</v>
      </c>
    </row>
    <row r="6860" spans="1:6" x14ac:dyDescent="0.25">
      <c r="A6860" s="204">
        <v>43725</v>
      </c>
      <c r="B6860" s="456" t="s">
        <v>5713</v>
      </c>
      <c r="C6860" s="457"/>
      <c r="D6860" s="458"/>
      <c r="E6860" s="98">
        <v>93000</v>
      </c>
      <c r="F6860" s="92">
        <f t="shared" si="132"/>
        <v>96229</v>
      </c>
    </row>
    <row r="6861" spans="1:6" x14ac:dyDescent="0.25">
      <c r="A6861" s="204">
        <v>43725</v>
      </c>
      <c r="B6861" s="26" t="s">
        <v>55</v>
      </c>
      <c r="C6861" s="26" t="s">
        <v>5718</v>
      </c>
      <c r="D6861" s="14">
        <v>93758</v>
      </c>
      <c r="E6861" s="8"/>
      <c r="F6861" s="92">
        <f t="shared" ref="F6861:F6906" si="133">F6860-D6861+E6861</f>
        <v>2471</v>
      </c>
    </row>
    <row r="6862" spans="1:6" x14ac:dyDescent="0.25">
      <c r="A6862" s="204">
        <v>43725</v>
      </c>
      <c r="B6862" s="456" t="s">
        <v>5719</v>
      </c>
      <c r="C6862" s="457"/>
      <c r="D6862" s="458"/>
      <c r="E6862" s="98">
        <v>22180</v>
      </c>
      <c r="F6862" s="92">
        <f t="shared" si="133"/>
        <v>24651</v>
      </c>
    </row>
    <row r="6863" spans="1:6" x14ac:dyDescent="0.25">
      <c r="A6863" s="204">
        <v>43725</v>
      </c>
      <c r="B6863" s="26" t="s">
        <v>4778</v>
      </c>
      <c r="C6863" s="26" t="s">
        <v>5720</v>
      </c>
      <c r="D6863" s="14">
        <v>10000</v>
      </c>
      <c r="E6863" s="8"/>
      <c r="F6863" s="92">
        <f t="shared" si="133"/>
        <v>14651</v>
      </c>
    </row>
    <row r="6864" spans="1:6" x14ac:dyDescent="0.25">
      <c r="A6864" s="204">
        <v>43725</v>
      </c>
      <c r="B6864" s="26" t="s">
        <v>5729</v>
      </c>
      <c r="C6864" s="26" t="s">
        <v>5721</v>
      </c>
      <c r="D6864" s="14">
        <v>300</v>
      </c>
      <c r="E6864" s="8"/>
      <c r="F6864" s="92">
        <f t="shared" si="133"/>
        <v>14351</v>
      </c>
    </row>
    <row r="6865" spans="1:6" x14ac:dyDescent="0.25">
      <c r="A6865" s="204">
        <v>43725</v>
      </c>
      <c r="B6865" s="26" t="s">
        <v>248</v>
      </c>
      <c r="C6865" s="26" t="s">
        <v>5722</v>
      </c>
      <c r="D6865" s="14">
        <v>800</v>
      </c>
      <c r="E6865" s="8"/>
      <c r="F6865" s="92">
        <f t="shared" si="133"/>
        <v>13551</v>
      </c>
    </row>
    <row r="6866" spans="1:6" x14ac:dyDescent="0.25">
      <c r="A6866" s="204">
        <v>43726</v>
      </c>
      <c r="B6866" s="26" t="s">
        <v>4776</v>
      </c>
      <c r="C6866" s="26" t="s">
        <v>5181</v>
      </c>
      <c r="D6866" s="14">
        <v>10000</v>
      </c>
      <c r="E6866" s="8"/>
      <c r="F6866" s="92">
        <f t="shared" si="133"/>
        <v>3551</v>
      </c>
    </row>
    <row r="6867" spans="1:6" x14ac:dyDescent="0.25">
      <c r="A6867" s="204">
        <v>43726</v>
      </c>
      <c r="B6867" s="26" t="s">
        <v>17</v>
      </c>
      <c r="C6867" s="26" t="s">
        <v>5723</v>
      </c>
      <c r="D6867" s="14">
        <v>1000</v>
      </c>
      <c r="E6867" s="8"/>
      <c r="F6867" s="92">
        <f t="shared" si="133"/>
        <v>2551</v>
      </c>
    </row>
    <row r="6868" spans="1:6" x14ac:dyDescent="0.25">
      <c r="A6868" s="204">
        <v>43726</v>
      </c>
      <c r="B6868" s="456" t="s">
        <v>5713</v>
      </c>
      <c r="C6868" s="457"/>
      <c r="D6868" s="458"/>
      <c r="E6868" s="98">
        <v>100000</v>
      </c>
      <c r="F6868" s="92">
        <f t="shared" si="133"/>
        <v>102551</v>
      </c>
    </row>
    <row r="6869" spans="1:6" x14ac:dyDescent="0.25">
      <c r="A6869" s="204">
        <v>43726</v>
      </c>
      <c r="B6869" s="26" t="s">
        <v>2597</v>
      </c>
      <c r="C6869" s="26" t="s">
        <v>5726</v>
      </c>
      <c r="D6869" s="14">
        <v>43000</v>
      </c>
      <c r="E6869" s="8"/>
      <c r="F6869" s="92">
        <f t="shared" si="133"/>
        <v>59551</v>
      </c>
    </row>
    <row r="6870" spans="1:6" x14ac:dyDescent="0.25">
      <c r="A6870" s="204">
        <v>43726</v>
      </c>
      <c r="B6870" s="26" t="s">
        <v>2597</v>
      </c>
      <c r="C6870" s="26" t="s">
        <v>5731</v>
      </c>
      <c r="D6870" s="14">
        <v>5610</v>
      </c>
      <c r="E6870" s="8"/>
      <c r="F6870" s="92">
        <f t="shared" si="133"/>
        <v>53941</v>
      </c>
    </row>
    <row r="6871" spans="1:6" x14ac:dyDescent="0.25">
      <c r="A6871" s="204">
        <v>43726</v>
      </c>
      <c r="B6871" s="26" t="s">
        <v>0</v>
      </c>
      <c r="C6871" s="26" t="s">
        <v>5727</v>
      </c>
      <c r="D6871" s="14">
        <v>650</v>
      </c>
      <c r="E6871" s="8"/>
      <c r="F6871" s="92">
        <f t="shared" si="133"/>
        <v>53291</v>
      </c>
    </row>
    <row r="6872" spans="1:6" x14ac:dyDescent="0.25">
      <c r="A6872" s="204">
        <v>43727</v>
      </c>
      <c r="B6872" s="26" t="s">
        <v>2597</v>
      </c>
      <c r="C6872" s="26" t="s">
        <v>5733</v>
      </c>
      <c r="D6872" s="14">
        <v>39600</v>
      </c>
      <c r="E6872" s="8"/>
      <c r="F6872" s="92">
        <f t="shared" si="133"/>
        <v>13691</v>
      </c>
    </row>
    <row r="6873" spans="1:6" x14ac:dyDescent="0.25">
      <c r="A6873" s="204">
        <v>43727</v>
      </c>
      <c r="B6873" s="26" t="s">
        <v>58</v>
      </c>
      <c r="C6873" s="26" t="s">
        <v>5734</v>
      </c>
      <c r="D6873" s="14">
        <v>350</v>
      </c>
      <c r="E6873" s="8"/>
      <c r="F6873" s="92">
        <f t="shared" si="133"/>
        <v>13341</v>
      </c>
    </row>
    <row r="6874" spans="1:6" x14ac:dyDescent="0.25">
      <c r="A6874" s="204">
        <v>43727</v>
      </c>
      <c r="B6874" s="26" t="s">
        <v>2597</v>
      </c>
      <c r="C6874" s="26" t="s">
        <v>5728</v>
      </c>
      <c r="D6874" s="14">
        <v>5000</v>
      </c>
      <c r="E6874" s="8"/>
      <c r="F6874" s="92">
        <f t="shared" si="133"/>
        <v>8341</v>
      </c>
    </row>
    <row r="6875" spans="1:6" x14ac:dyDescent="0.25">
      <c r="A6875" s="204">
        <v>43727</v>
      </c>
      <c r="B6875" s="456" t="s">
        <v>5736</v>
      </c>
      <c r="C6875" s="457"/>
      <c r="D6875" s="458"/>
      <c r="E6875" s="98">
        <v>25000</v>
      </c>
      <c r="F6875" s="92">
        <f t="shared" si="133"/>
        <v>33341</v>
      </c>
    </row>
    <row r="6876" spans="1:6" x14ac:dyDescent="0.25">
      <c r="A6876" s="204">
        <v>43727</v>
      </c>
      <c r="B6876" s="26" t="s">
        <v>2597</v>
      </c>
      <c r="C6876" s="26" t="s">
        <v>5737</v>
      </c>
      <c r="D6876" s="14">
        <v>29187</v>
      </c>
      <c r="E6876" s="8"/>
      <c r="F6876" s="92">
        <f t="shared" si="133"/>
        <v>4154</v>
      </c>
    </row>
    <row r="6877" spans="1:6" x14ac:dyDescent="0.25">
      <c r="A6877" s="204">
        <v>43727</v>
      </c>
      <c r="B6877" s="456" t="s">
        <v>3721</v>
      </c>
      <c r="C6877" s="457"/>
      <c r="D6877" s="458"/>
      <c r="E6877" s="98">
        <v>100000</v>
      </c>
      <c r="F6877" s="92">
        <f t="shared" si="133"/>
        <v>104154</v>
      </c>
    </row>
    <row r="6878" spans="1:6" x14ac:dyDescent="0.25">
      <c r="A6878" s="204">
        <v>43727</v>
      </c>
      <c r="B6878" s="26" t="s">
        <v>4776</v>
      </c>
      <c r="C6878" s="26" t="s">
        <v>5735</v>
      </c>
      <c r="D6878" s="14">
        <v>100000</v>
      </c>
      <c r="E6878" s="8"/>
      <c r="F6878" s="92">
        <f t="shared" si="133"/>
        <v>4154</v>
      </c>
    </row>
    <row r="6879" spans="1:6" x14ac:dyDescent="0.25">
      <c r="A6879" s="204">
        <v>43727</v>
      </c>
      <c r="B6879" s="26" t="s">
        <v>26</v>
      </c>
      <c r="C6879" s="26" t="s">
        <v>5730</v>
      </c>
      <c r="D6879" s="14">
        <f>50+180+80+250+150+45+50+30+20+20+250+115+150+45+70+20+100</f>
        <v>1625</v>
      </c>
      <c r="E6879" s="8"/>
      <c r="F6879" s="92">
        <f t="shared" si="133"/>
        <v>2529</v>
      </c>
    </row>
    <row r="6880" spans="1:6" x14ac:dyDescent="0.25">
      <c r="A6880" s="204">
        <v>43728</v>
      </c>
      <c r="B6880" s="26" t="s">
        <v>2597</v>
      </c>
      <c r="C6880" s="137" t="s">
        <v>5722</v>
      </c>
      <c r="D6880" s="14">
        <v>100</v>
      </c>
      <c r="E6880" s="8"/>
      <c r="F6880" s="92">
        <f t="shared" si="133"/>
        <v>2429</v>
      </c>
    </row>
    <row r="6881" spans="1:6" x14ac:dyDescent="0.25">
      <c r="A6881" s="204">
        <v>43728</v>
      </c>
      <c r="B6881" s="26" t="s">
        <v>248</v>
      </c>
      <c r="C6881" s="26" t="s">
        <v>5567</v>
      </c>
      <c r="D6881" s="14">
        <v>1120</v>
      </c>
      <c r="E6881" s="8"/>
      <c r="F6881" s="92">
        <f t="shared" si="133"/>
        <v>1309</v>
      </c>
    </row>
    <row r="6882" spans="1:6" x14ac:dyDescent="0.25">
      <c r="A6882" s="204">
        <v>43728</v>
      </c>
      <c r="B6882" s="26" t="s">
        <v>248</v>
      </c>
      <c r="C6882" s="26" t="s">
        <v>5567</v>
      </c>
      <c r="D6882" s="250">
        <v>720</v>
      </c>
      <c r="E6882" s="8"/>
      <c r="F6882" s="92">
        <f t="shared" si="133"/>
        <v>589</v>
      </c>
    </row>
    <row r="6883" spans="1:6" x14ac:dyDescent="0.25">
      <c r="A6883" s="204">
        <v>43728</v>
      </c>
      <c r="B6883" s="26" t="s">
        <v>248</v>
      </c>
      <c r="C6883" s="26" t="s">
        <v>5567</v>
      </c>
      <c r="D6883" s="250">
        <v>400</v>
      </c>
      <c r="E6883" s="8"/>
      <c r="F6883" s="92">
        <f t="shared" si="133"/>
        <v>189</v>
      </c>
    </row>
    <row r="6884" spans="1:6" x14ac:dyDescent="0.25">
      <c r="A6884" s="204">
        <v>43728</v>
      </c>
      <c r="B6884" s="26" t="s">
        <v>248</v>
      </c>
      <c r="C6884" s="26" t="s">
        <v>5567</v>
      </c>
      <c r="D6884" s="250">
        <v>450</v>
      </c>
      <c r="E6884" s="8"/>
      <c r="F6884" s="92">
        <f t="shared" si="133"/>
        <v>-261</v>
      </c>
    </row>
    <row r="6885" spans="1:6" x14ac:dyDescent="0.25">
      <c r="A6885" s="204">
        <v>43728</v>
      </c>
      <c r="B6885" s="26" t="s">
        <v>248</v>
      </c>
      <c r="C6885" s="26" t="s">
        <v>5567</v>
      </c>
      <c r="D6885" s="250">
        <v>720</v>
      </c>
      <c r="E6885" s="8"/>
      <c r="F6885" s="92">
        <f t="shared" si="133"/>
        <v>-981</v>
      </c>
    </row>
    <row r="6886" spans="1:6" x14ac:dyDescent="0.25">
      <c r="A6886" s="204">
        <v>43728</v>
      </c>
      <c r="B6886" s="456" t="s">
        <v>3721</v>
      </c>
      <c r="C6886" s="457"/>
      <c r="D6886" s="458"/>
      <c r="E6886" s="98">
        <v>100000</v>
      </c>
      <c r="F6886" s="92">
        <f t="shared" si="133"/>
        <v>99019</v>
      </c>
    </row>
    <row r="6887" spans="1:6" x14ac:dyDescent="0.25">
      <c r="A6887" s="204">
        <v>43728</v>
      </c>
      <c r="B6887" s="26" t="s">
        <v>2597</v>
      </c>
      <c r="C6887" s="26" t="s">
        <v>5740</v>
      </c>
      <c r="D6887" s="14">
        <v>13660</v>
      </c>
      <c r="E6887" s="8"/>
      <c r="F6887" s="92">
        <f t="shared" si="133"/>
        <v>85359</v>
      </c>
    </row>
    <row r="6888" spans="1:6" x14ac:dyDescent="0.25">
      <c r="A6888" s="204">
        <v>43728</v>
      </c>
      <c r="B6888" s="26" t="s">
        <v>2597</v>
      </c>
      <c r="C6888" s="26" t="s">
        <v>5740</v>
      </c>
      <c r="D6888" s="14">
        <v>19643</v>
      </c>
      <c r="E6888" s="8"/>
      <c r="F6888" s="92">
        <f t="shared" si="133"/>
        <v>65716</v>
      </c>
    </row>
    <row r="6889" spans="1:6" x14ac:dyDescent="0.25">
      <c r="A6889" s="204">
        <v>43728</v>
      </c>
      <c r="B6889" s="26" t="s">
        <v>2597</v>
      </c>
      <c r="C6889" s="26" t="s">
        <v>5738</v>
      </c>
      <c r="D6889" s="14">
        <v>3000</v>
      </c>
      <c r="E6889" s="8"/>
      <c r="F6889" s="92">
        <f t="shared" si="133"/>
        <v>62716</v>
      </c>
    </row>
    <row r="6890" spans="1:6" x14ac:dyDescent="0.25">
      <c r="A6890" s="204">
        <v>43728</v>
      </c>
      <c r="B6890" s="37" t="s">
        <v>2597</v>
      </c>
      <c r="C6890" s="159" t="s">
        <v>5459</v>
      </c>
      <c r="D6890" s="160">
        <f>43000-13660-19643-4000-3000-420-406-110-495-413-340</f>
        <v>513</v>
      </c>
      <c r="E6890" s="8"/>
      <c r="F6890" s="92">
        <f t="shared" si="133"/>
        <v>62203</v>
      </c>
    </row>
    <row r="6891" spans="1:6" x14ac:dyDescent="0.25">
      <c r="A6891" s="204">
        <v>43728</v>
      </c>
      <c r="B6891" s="26" t="s">
        <v>5662</v>
      </c>
      <c r="C6891" s="26" t="s">
        <v>1627</v>
      </c>
      <c r="D6891" s="14">
        <v>100</v>
      </c>
      <c r="E6891" s="8"/>
      <c r="F6891" s="92">
        <f t="shared" si="133"/>
        <v>62103</v>
      </c>
    </row>
    <row r="6892" spans="1:6" x14ac:dyDescent="0.25">
      <c r="A6892" s="204">
        <v>43729</v>
      </c>
      <c r="B6892" s="26" t="s">
        <v>1790</v>
      </c>
      <c r="C6892" s="26" t="s">
        <v>5739</v>
      </c>
      <c r="D6892" s="14">
        <v>1300</v>
      </c>
      <c r="E6892" s="8"/>
      <c r="F6892" s="92">
        <f t="shared" si="133"/>
        <v>60803</v>
      </c>
    </row>
    <row r="6893" spans="1:6" x14ac:dyDescent="0.25">
      <c r="A6893" s="204">
        <v>43731</v>
      </c>
      <c r="B6893" s="26" t="s">
        <v>85</v>
      </c>
      <c r="C6893" s="26" t="s">
        <v>5741</v>
      </c>
      <c r="D6893" s="14">
        <v>5000</v>
      </c>
      <c r="E6893" s="8"/>
      <c r="F6893" s="92">
        <f t="shared" si="133"/>
        <v>55803</v>
      </c>
    </row>
    <row r="6894" spans="1:6" x14ac:dyDescent="0.25">
      <c r="A6894" s="204">
        <v>43731</v>
      </c>
      <c r="B6894" s="26" t="s">
        <v>26</v>
      </c>
      <c r="C6894" s="26" t="s">
        <v>5743</v>
      </c>
      <c r="D6894" s="14">
        <f>180+60+75+240+250+160+360+240+210+250+120+30+350+50+50</f>
        <v>2625</v>
      </c>
      <c r="E6894" s="8"/>
      <c r="F6894" s="92">
        <f t="shared" si="133"/>
        <v>53178</v>
      </c>
    </row>
    <row r="6895" spans="1:6" x14ac:dyDescent="0.25">
      <c r="A6895" s="204">
        <v>43731</v>
      </c>
      <c r="B6895" s="26" t="s">
        <v>26</v>
      </c>
      <c r="C6895" s="26" t="s">
        <v>5744</v>
      </c>
      <c r="D6895" s="14">
        <v>800</v>
      </c>
      <c r="E6895" s="8"/>
      <c r="F6895" s="92">
        <f t="shared" si="133"/>
        <v>52378</v>
      </c>
    </row>
    <row r="6896" spans="1:6" x14ac:dyDescent="0.25">
      <c r="A6896" s="204">
        <v>43731</v>
      </c>
      <c r="B6896" s="26" t="s">
        <v>85</v>
      </c>
      <c r="C6896" s="26" t="s">
        <v>5745</v>
      </c>
      <c r="D6896" s="14">
        <v>2000</v>
      </c>
      <c r="E6896" s="8"/>
      <c r="F6896" s="92">
        <f t="shared" si="133"/>
        <v>50378</v>
      </c>
    </row>
    <row r="6897" spans="1:7" x14ac:dyDescent="0.25">
      <c r="A6897" s="204">
        <v>43731</v>
      </c>
      <c r="B6897" s="26" t="s">
        <v>4116</v>
      </c>
      <c r="C6897" s="26" t="s">
        <v>79</v>
      </c>
      <c r="D6897" s="14">
        <v>200</v>
      </c>
      <c r="E6897" s="8"/>
      <c r="F6897" s="92">
        <f t="shared" si="133"/>
        <v>50178</v>
      </c>
    </row>
    <row r="6898" spans="1:7" x14ac:dyDescent="0.25">
      <c r="A6898" s="204">
        <v>43731</v>
      </c>
      <c r="B6898" s="26" t="s">
        <v>101</v>
      </c>
      <c r="C6898" s="26" t="s">
        <v>5746</v>
      </c>
      <c r="D6898" s="14">
        <v>1000</v>
      </c>
      <c r="E6898" s="8"/>
      <c r="F6898" s="92">
        <f t="shared" si="133"/>
        <v>49178</v>
      </c>
    </row>
    <row r="6899" spans="1:7" x14ac:dyDescent="0.25">
      <c r="A6899" s="204">
        <v>43731</v>
      </c>
      <c r="B6899" s="26" t="s">
        <v>14</v>
      </c>
      <c r="C6899" s="26" t="s">
        <v>5747</v>
      </c>
      <c r="D6899" s="161">
        <v>13220</v>
      </c>
      <c r="E6899" s="8"/>
      <c r="F6899" s="92">
        <f t="shared" si="133"/>
        <v>35958</v>
      </c>
    </row>
    <row r="6900" spans="1:7" x14ac:dyDescent="0.25">
      <c r="A6900" s="204">
        <v>43732</v>
      </c>
      <c r="B6900" s="26" t="s">
        <v>1015</v>
      </c>
      <c r="C6900" s="26" t="s">
        <v>5748</v>
      </c>
      <c r="D6900" s="14">
        <v>2000</v>
      </c>
      <c r="E6900" s="8"/>
      <c r="F6900" s="92">
        <f t="shared" si="133"/>
        <v>33958</v>
      </c>
    </row>
    <row r="6901" spans="1:7" x14ac:dyDescent="0.25">
      <c r="A6901" s="204">
        <v>43732</v>
      </c>
      <c r="B6901" s="26" t="s">
        <v>2266</v>
      </c>
      <c r="C6901" s="26" t="s">
        <v>5749</v>
      </c>
      <c r="D6901" s="14">
        <v>440</v>
      </c>
      <c r="E6901" s="8"/>
      <c r="F6901" s="92">
        <f t="shared" si="133"/>
        <v>33518</v>
      </c>
    </row>
    <row r="6902" spans="1:7" x14ac:dyDescent="0.25">
      <c r="A6902" s="204">
        <v>43732</v>
      </c>
      <c r="B6902" s="26" t="s">
        <v>5750</v>
      </c>
      <c r="C6902" s="26" t="s">
        <v>5751</v>
      </c>
      <c r="D6902" s="8">
        <v>12000</v>
      </c>
      <c r="E6902" s="8"/>
      <c r="F6902" s="92">
        <f t="shared" si="133"/>
        <v>21518</v>
      </c>
    </row>
    <row r="6903" spans="1:7" x14ac:dyDescent="0.25">
      <c r="A6903" s="204">
        <v>43732</v>
      </c>
      <c r="B6903" s="26" t="s">
        <v>17</v>
      </c>
      <c r="C6903" s="26" t="s">
        <v>4381</v>
      </c>
      <c r="D6903" s="8">
        <v>650</v>
      </c>
      <c r="E6903" s="8"/>
      <c r="F6903" s="92">
        <f t="shared" si="133"/>
        <v>20868</v>
      </c>
    </row>
    <row r="6904" spans="1:7" x14ac:dyDescent="0.25">
      <c r="A6904" s="204">
        <v>43732</v>
      </c>
      <c r="B6904" s="26" t="s">
        <v>3563</v>
      </c>
      <c r="C6904" s="26" t="s">
        <v>3175</v>
      </c>
      <c r="D6904" s="8">
        <v>11360</v>
      </c>
      <c r="E6904" s="8"/>
      <c r="F6904" s="92">
        <f t="shared" si="133"/>
        <v>9508</v>
      </c>
      <c r="G6904" s="25"/>
    </row>
    <row r="6905" spans="1:7" x14ac:dyDescent="0.25">
      <c r="A6905" s="204">
        <v>43733</v>
      </c>
      <c r="B6905" s="26" t="s">
        <v>48</v>
      </c>
      <c r="C6905" s="26" t="s">
        <v>5752</v>
      </c>
      <c r="D6905" s="8">
        <v>1000</v>
      </c>
      <c r="E6905" s="8"/>
      <c r="F6905" s="92">
        <f t="shared" si="133"/>
        <v>8508</v>
      </c>
      <c r="G6905" s="25"/>
    </row>
    <row r="6906" spans="1:7" x14ac:dyDescent="0.25">
      <c r="A6906" s="204">
        <v>43733</v>
      </c>
      <c r="B6906" s="26" t="s">
        <v>14</v>
      </c>
      <c r="C6906" s="26" t="s">
        <v>295</v>
      </c>
      <c r="D6906" s="8">
        <v>4000</v>
      </c>
      <c r="E6906" s="8"/>
      <c r="F6906" s="92">
        <f t="shared" si="133"/>
        <v>4508</v>
      </c>
      <c r="G6906" s="25"/>
    </row>
    <row r="6907" spans="1:7" x14ac:dyDescent="0.25">
      <c r="A6907" s="204">
        <v>43733</v>
      </c>
      <c r="B6907" s="456" t="s">
        <v>864</v>
      </c>
      <c r="C6907" s="457"/>
      <c r="D6907" s="458"/>
      <c r="E6907" s="98">
        <v>60000</v>
      </c>
      <c r="F6907" s="92">
        <f t="shared" ref="F6907:F6973" si="134">F6906-D6907+E6907</f>
        <v>64508</v>
      </c>
    </row>
    <row r="6908" spans="1:7" x14ac:dyDescent="0.25">
      <c r="A6908" s="204">
        <v>43733</v>
      </c>
      <c r="B6908" s="26" t="s">
        <v>2597</v>
      </c>
      <c r="C6908" s="26" t="s">
        <v>3146</v>
      </c>
      <c r="D6908" s="8">
        <v>48078</v>
      </c>
      <c r="E6908" s="8"/>
      <c r="F6908" s="92">
        <f t="shared" si="134"/>
        <v>16430</v>
      </c>
      <c r="G6908" s="25"/>
    </row>
    <row r="6909" spans="1:7" x14ac:dyDescent="0.25">
      <c r="A6909" s="204">
        <v>43733</v>
      </c>
      <c r="B6909" s="26" t="s">
        <v>2597</v>
      </c>
      <c r="C6909" s="26" t="s">
        <v>5731</v>
      </c>
      <c r="D6909" s="8">
        <v>15420</v>
      </c>
      <c r="E6909" s="8"/>
      <c r="F6909" s="92">
        <f t="shared" si="134"/>
        <v>1010</v>
      </c>
      <c r="G6909" s="25"/>
    </row>
    <row r="6910" spans="1:7" x14ac:dyDescent="0.25">
      <c r="A6910" s="204">
        <v>43733</v>
      </c>
      <c r="B6910" s="26" t="s">
        <v>26</v>
      </c>
      <c r="C6910" s="26" t="s">
        <v>5753</v>
      </c>
      <c r="D6910" s="8">
        <v>150</v>
      </c>
      <c r="E6910" s="8"/>
      <c r="F6910" s="92">
        <f t="shared" si="134"/>
        <v>860</v>
      </c>
      <c r="G6910" s="25"/>
    </row>
    <row r="6911" spans="1:7" x14ac:dyDescent="0.25">
      <c r="A6911" s="204">
        <v>43734</v>
      </c>
      <c r="B6911" s="456" t="s">
        <v>4333</v>
      </c>
      <c r="C6911" s="457"/>
      <c r="D6911" s="458"/>
      <c r="E6911" s="98">
        <v>100000</v>
      </c>
      <c r="F6911" s="92">
        <f t="shared" si="134"/>
        <v>100860</v>
      </c>
    </row>
    <row r="6912" spans="1:7" x14ac:dyDescent="0.25">
      <c r="A6912" s="204">
        <v>43734</v>
      </c>
      <c r="B6912" s="26" t="s">
        <v>2597</v>
      </c>
      <c r="C6912" s="26" t="s">
        <v>5754</v>
      </c>
      <c r="D6912" s="8">
        <v>88000</v>
      </c>
      <c r="E6912" s="8"/>
      <c r="F6912" s="92">
        <f t="shared" si="134"/>
        <v>12860</v>
      </c>
      <c r="G6912" s="25"/>
    </row>
    <row r="6913" spans="1:7" x14ac:dyDescent="0.25">
      <c r="A6913" s="204">
        <v>43734</v>
      </c>
      <c r="B6913" s="26" t="s">
        <v>4250</v>
      </c>
      <c r="C6913" s="26" t="s">
        <v>4323</v>
      </c>
      <c r="D6913" s="8">
        <v>2000</v>
      </c>
      <c r="E6913" s="8"/>
      <c r="F6913" s="92">
        <f t="shared" si="134"/>
        <v>10860</v>
      </c>
      <c r="G6913" s="25"/>
    </row>
    <row r="6914" spans="1:7" x14ac:dyDescent="0.25">
      <c r="A6914" s="204">
        <v>43734</v>
      </c>
      <c r="B6914" s="26" t="s">
        <v>85</v>
      </c>
      <c r="C6914" s="26" t="s">
        <v>5755</v>
      </c>
      <c r="D6914" s="14">
        <v>1000</v>
      </c>
      <c r="E6914" s="8"/>
      <c r="F6914" s="92">
        <f t="shared" si="134"/>
        <v>9860</v>
      </c>
    </row>
    <row r="6915" spans="1:7" x14ac:dyDescent="0.25">
      <c r="A6915" s="204">
        <v>43735</v>
      </c>
      <c r="B6915" s="26" t="s">
        <v>26</v>
      </c>
      <c r="C6915" s="26" t="s">
        <v>5756</v>
      </c>
      <c r="D6915" s="14">
        <f>335+9+650+24+120+190+125+500+80+110+160+50+100</f>
        <v>2453</v>
      </c>
      <c r="E6915" s="8"/>
      <c r="F6915" s="92">
        <f t="shared" si="134"/>
        <v>7407</v>
      </c>
    </row>
    <row r="6916" spans="1:7" x14ac:dyDescent="0.25">
      <c r="A6916" s="204">
        <v>43735</v>
      </c>
      <c r="B6916" s="26" t="s">
        <v>26</v>
      </c>
      <c r="C6916" s="26" t="s">
        <v>5766</v>
      </c>
      <c r="D6916" s="14">
        <v>2500</v>
      </c>
      <c r="E6916" s="8"/>
      <c r="F6916" s="92">
        <f t="shared" si="134"/>
        <v>4907</v>
      </c>
    </row>
    <row r="6917" spans="1:7" x14ac:dyDescent="0.25">
      <c r="A6917" s="204">
        <v>43735</v>
      </c>
      <c r="B6917" s="26" t="s">
        <v>5479</v>
      </c>
      <c r="C6917" s="26" t="s">
        <v>5516</v>
      </c>
      <c r="D6917" s="8">
        <v>240</v>
      </c>
      <c r="E6917" s="8"/>
      <c r="F6917" s="92">
        <f t="shared" si="134"/>
        <v>4667</v>
      </c>
      <c r="G6917" s="25"/>
    </row>
    <row r="6918" spans="1:7" x14ac:dyDescent="0.25">
      <c r="A6918" s="204">
        <v>43735</v>
      </c>
      <c r="B6918" s="26" t="s">
        <v>26</v>
      </c>
      <c r="C6918" s="26" t="s">
        <v>5757</v>
      </c>
      <c r="D6918" s="8">
        <v>1380</v>
      </c>
      <c r="E6918" s="8"/>
      <c r="F6918" s="92">
        <f t="shared" si="134"/>
        <v>3287</v>
      </c>
      <c r="G6918" s="25"/>
    </row>
    <row r="6919" spans="1:7" x14ac:dyDescent="0.25">
      <c r="A6919" s="204">
        <v>43738</v>
      </c>
      <c r="B6919" s="456" t="s">
        <v>4333</v>
      </c>
      <c r="C6919" s="457"/>
      <c r="D6919" s="458"/>
      <c r="E6919" s="98">
        <v>100000</v>
      </c>
      <c r="F6919" s="92">
        <f t="shared" si="134"/>
        <v>103287</v>
      </c>
    </row>
    <row r="6920" spans="1:7" x14ac:dyDescent="0.25">
      <c r="A6920" s="204">
        <v>43738</v>
      </c>
      <c r="B6920" s="26" t="s">
        <v>542</v>
      </c>
      <c r="C6920" s="26" t="s">
        <v>2438</v>
      </c>
      <c r="D6920" s="8">
        <v>300</v>
      </c>
      <c r="E6920" s="8"/>
      <c r="F6920" s="92">
        <f t="shared" si="134"/>
        <v>102987</v>
      </c>
      <c r="G6920" s="25"/>
    </row>
    <row r="6921" spans="1:7" x14ac:dyDescent="0.25">
      <c r="A6921" s="204">
        <v>43738</v>
      </c>
      <c r="B6921" s="26" t="s">
        <v>542</v>
      </c>
      <c r="C6921" s="26" t="s">
        <v>3707</v>
      </c>
      <c r="D6921" s="8">
        <v>6000</v>
      </c>
      <c r="E6921" s="8"/>
      <c r="F6921" s="92">
        <f t="shared" si="134"/>
        <v>96987</v>
      </c>
      <c r="G6921" s="25"/>
    </row>
    <row r="6922" spans="1:7" x14ac:dyDescent="0.25">
      <c r="A6922" s="204">
        <v>43738</v>
      </c>
      <c r="B6922" s="26" t="s">
        <v>542</v>
      </c>
      <c r="C6922" s="26" t="s">
        <v>2438</v>
      </c>
      <c r="D6922" s="8">
        <v>650</v>
      </c>
      <c r="E6922" s="8"/>
      <c r="F6922" s="92">
        <f t="shared" si="134"/>
        <v>96337</v>
      </c>
      <c r="G6922" s="25"/>
    </row>
    <row r="6923" spans="1:7" x14ac:dyDescent="0.25">
      <c r="A6923" s="204">
        <v>43738</v>
      </c>
      <c r="B6923" s="26" t="s">
        <v>26</v>
      </c>
      <c r="C6923" s="26" t="s">
        <v>5760</v>
      </c>
      <c r="D6923" s="14">
        <f>120+75+120+250+50+40+50</f>
        <v>705</v>
      </c>
      <c r="E6923" s="8"/>
      <c r="F6923" s="92">
        <f t="shared" si="134"/>
        <v>95632</v>
      </c>
    </row>
    <row r="6924" spans="1:7" x14ac:dyDescent="0.25">
      <c r="A6924" s="204">
        <v>43738</v>
      </c>
      <c r="B6924" s="26" t="s">
        <v>5479</v>
      </c>
      <c r="C6924" s="26" t="s">
        <v>5605</v>
      </c>
      <c r="D6924" s="8">
        <v>450</v>
      </c>
      <c r="E6924" s="8"/>
      <c r="F6924" s="92">
        <f t="shared" si="134"/>
        <v>95182</v>
      </c>
    </row>
    <row r="6925" spans="1:7" x14ac:dyDescent="0.25">
      <c r="A6925" s="204">
        <v>43738</v>
      </c>
      <c r="B6925" s="26" t="s">
        <v>248</v>
      </c>
      <c r="C6925" s="26" t="s">
        <v>2016</v>
      </c>
      <c r="D6925" s="8">
        <v>100</v>
      </c>
      <c r="E6925" s="8"/>
      <c r="F6925" s="92">
        <f t="shared" si="134"/>
        <v>95082</v>
      </c>
    </row>
    <row r="6926" spans="1:7" x14ac:dyDescent="0.25">
      <c r="A6926" s="204">
        <v>43738</v>
      </c>
      <c r="B6926" s="26" t="s">
        <v>14</v>
      </c>
      <c r="C6926" s="26" t="s">
        <v>295</v>
      </c>
      <c r="D6926" s="8">
        <v>50000</v>
      </c>
      <c r="E6926" s="8"/>
      <c r="F6926" s="92">
        <f t="shared" si="134"/>
        <v>45082</v>
      </c>
    </row>
    <row r="6927" spans="1:7" x14ac:dyDescent="0.25">
      <c r="A6927" s="204">
        <v>43738</v>
      </c>
      <c r="B6927" s="26" t="s">
        <v>2597</v>
      </c>
      <c r="C6927" s="26" t="s">
        <v>5740</v>
      </c>
      <c r="D6927" s="8">
        <v>6406</v>
      </c>
      <c r="E6927" s="8"/>
      <c r="F6927" s="92">
        <f t="shared" si="134"/>
        <v>38676</v>
      </c>
    </row>
    <row r="6928" spans="1:7" x14ac:dyDescent="0.25">
      <c r="A6928" s="204">
        <v>43738</v>
      </c>
      <c r="B6928" s="26" t="s">
        <v>4116</v>
      </c>
      <c r="C6928" s="26" t="s">
        <v>5761</v>
      </c>
      <c r="D6928" s="8">
        <v>2000</v>
      </c>
      <c r="E6928" s="8"/>
      <c r="F6928" s="92">
        <f t="shared" si="134"/>
        <v>36676</v>
      </c>
    </row>
    <row r="6929" spans="1:6" x14ac:dyDescent="0.25">
      <c r="A6929" s="204">
        <v>43738</v>
      </c>
      <c r="B6929" s="29" t="s">
        <v>3563</v>
      </c>
      <c r="C6929" s="29" t="s">
        <v>5762</v>
      </c>
      <c r="D6929" s="8">
        <v>600</v>
      </c>
      <c r="E6929" s="8"/>
      <c r="F6929" s="92">
        <f t="shared" si="134"/>
        <v>36076</v>
      </c>
    </row>
    <row r="6930" spans="1:6" x14ac:dyDescent="0.25">
      <c r="A6930" s="204">
        <v>43738</v>
      </c>
      <c r="B6930" s="26" t="s">
        <v>14</v>
      </c>
      <c r="C6930" s="26" t="s">
        <v>5764</v>
      </c>
      <c r="D6930" s="161">
        <v>16250</v>
      </c>
      <c r="E6930" s="8"/>
      <c r="F6930" s="92">
        <f t="shared" si="134"/>
        <v>19826</v>
      </c>
    </row>
    <row r="6931" spans="1:6" ht="45" x14ac:dyDescent="0.25">
      <c r="A6931" s="204">
        <v>43738</v>
      </c>
      <c r="B6931" s="26" t="s">
        <v>1840</v>
      </c>
      <c r="C6931" s="87" t="s">
        <v>5777</v>
      </c>
      <c r="D6931" s="8">
        <v>500</v>
      </c>
      <c r="E6931" s="8"/>
      <c r="F6931" s="92">
        <f t="shared" si="134"/>
        <v>19326</v>
      </c>
    </row>
    <row r="6932" spans="1:6" x14ac:dyDescent="0.25">
      <c r="A6932" s="204">
        <v>43739</v>
      </c>
      <c r="B6932" s="452" t="s">
        <v>4333</v>
      </c>
      <c r="C6932" s="452"/>
      <c r="D6932" s="452"/>
      <c r="E6932" s="98">
        <v>75000</v>
      </c>
      <c r="F6932" s="92">
        <f>F6930-D6932+E6932</f>
        <v>94826</v>
      </c>
    </row>
    <row r="6933" spans="1:6" x14ac:dyDescent="0.25">
      <c r="A6933" s="204">
        <v>43739</v>
      </c>
      <c r="B6933" s="452" t="s">
        <v>864</v>
      </c>
      <c r="C6933" s="452"/>
      <c r="D6933" s="452"/>
      <c r="E6933" s="98">
        <v>50000</v>
      </c>
      <c r="F6933" s="92">
        <f t="shared" si="134"/>
        <v>144826</v>
      </c>
    </row>
    <row r="6934" spans="1:6" x14ac:dyDescent="0.25">
      <c r="A6934" s="204">
        <v>43739</v>
      </c>
      <c r="B6934" s="29" t="s">
        <v>1790</v>
      </c>
      <c r="C6934" s="29" t="s">
        <v>5765</v>
      </c>
      <c r="D6934" s="8">
        <v>3500</v>
      </c>
      <c r="E6934" s="8"/>
      <c r="F6934" s="92">
        <f t="shared" si="134"/>
        <v>141326</v>
      </c>
    </row>
    <row r="6935" spans="1:6" x14ac:dyDescent="0.25">
      <c r="A6935" s="204">
        <v>43739</v>
      </c>
      <c r="B6935" s="29" t="s">
        <v>5485</v>
      </c>
      <c r="C6935" s="29" t="s">
        <v>5576</v>
      </c>
      <c r="D6935" s="8">
        <v>500</v>
      </c>
      <c r="E6935" s="8"/>
      <c r="F6935" s="92">
        <f t="shared" si="134"/>
        <v>140826</v>
      </c>
    </row>
    <row r="6936" spans="1:6" x14ac:dyDescent="0.25">
      <c r="A6936" s="204">
        <v>43739</v>
      </c>
      <c r="B6936" s="29" t="s">
        <v>17</v>
      </c>
      <c r="C6936" s="29" t="s">
        <v>3914</v>
      </c>
      <c r="D6936" s="8">
        <v>500</v>
      </c>
      <c r="E6936" s="8"/>
      <c r="F6936" s="92">
        <f t="shared" si="134"/>
        <v>140326</v>
      </c>
    </row>
    <row r="6937" spans="1:6" x14ac:dyDescent="0.25">
      <c r="A6937" s="204">
        <v>43739</v>
      </c>
      <c r="B6937" s="26" t="s">
        <v>0</v>
      </c>
      <c r="C6937" s="26" t="s">
        <v>3914</v>
      </c>
      <c r="D6937" s="8">
        <v>40000</v>
      </c>
      <c r="E6937" s="8"/>
      <c r="F6937" s="92">
        <f t="shared" si="134"/>
        <v>100326</v>
      </c>
    </row>
    <row r="6938" spans="1:6" x14ac:dyDescent="0.25">
      <c r="A6938" s="204">
        <v>43739</v>
      </c>
      <c r="B6938" s="26" t="s">
        <v>5479</v>
      </c>
      <c r="C6938" s="26" t="s">
        <v>5769</v>
      </c>
      <c r="D6938" s="8">
        <v>1500</v>
      </c>
      <c r="E6938" s="8"/>
      <c r="F6938" s="92">
        <f t="shared" si="134"/>
        <v>98826</v>
      </c>
    </row>
    <row r="6939" spans="1:6" x14ac:dyDescent="0.25">
      <c r="A6939" s="204">
        <v>43739</v>
      </c>
      <c r="B6939" s="26" t="s">
        <v>2597</v>
      </c>
      <c r="C6939" s="26" t="s">
        <v>5800</v>
      </c>
      <c r="D6939" s="14">
        <v>9233</v>
      </c>
      <c r="E6939" s="8"/>
      <c r="F6939" s="92">
        <f t="shared" si="134"/>
        <v>89593</v>
      </c>
    </row>
    <row r="6940" spans="1:6" x14ac:dyDescent="0.25">
      <c r="A6940" s="204">
        <v>43739</v>
      </c>
      <c r="B6940" s="26" t="s">
        <v>2597</v>
      </c>
      <c r="C6940" s="26" t="s">
        <v>5801</v>
      </c>
      <c r="D6940" s="158">
        <v>62900</v>
      </c>
      <c r="E6940" s="8"/>
      <c r="F6940" s="92">
        <f t="shared" si="134"/>
        <v>26693</v>
      </c>
    </row>
    <row r="6941" spans="1:6" x14ac:dyDescent="0.25">
      <c r="A6941" s="204">
        <v>43739</v>
      </c>
      <c r="B6941" s="26" t="s">
        <v>4116</v>
      </c>
      <c r="C6941" s="26" t="s">
        <v>4323</v>
      </c>
      <c r="D6941" s="8">
        <v>5000</v>
      </c>
      <c r="E6941" s="8"/>
      <c r="F6941" s="92">
        <f t="shared" si="134"/>
        <v>21693</v>
      </c>
    </row>
    <row r="6942" spans="1:6" x14ac:dyDescent="0.25">
      <c r="A6942" s="204">
        <v>43740</v>
      </c>
      <c r="B6942" s="26" t="s">
        <v>4116</v>
      </c>
      <c r="C6942" s="26" t="s">
        <v>4323</v>
      </c>
      <c r="D6942" s="8">
        <v>1000</v>
      </c>
      <c r="E6942" s="8"/>
      <c r="F6942" s="92">
        <f t="shared" si="134"/>
        <v>20693</v>
      </c>
    </row>
    <row r="6943" spans="1:6" x14ac:dyDescent="0.25">
      <c r="A6943" s="204">
        <v>43740</v>
      </c>
      <c r="B6943" s="26" t="s">
        <v>2573</v>
      </c>
      <c r="C6943" s="26" t="s">
        <v>41</v>
      </c>
      <c r="D6943" s="8">
        <v>720</v>
      </c>
      <c r="E6943" s="8"/>
      <c r="F6943" s="92">
        <f t="shared" si="134"/>
        <v>19973</v>
      </c>
    </row>
    <row r="6944" spans="1:6" x14ac:dyDescent="0.25">
      <c r="A6944" s="204">
        <v>43740</v>
      </c>
      <c r="B6944" s="29" t="s">
        <v>5140</v>
      </c>
      <c r="C6944" s="29" t="s">
        <v>41</v>
      </c>
      <c r="D6944" s="8">
        <v>4200</v>
      </c>
      <c r="E6944" s="8"/>
      <c r="F6944" s="92">
        <f t="shared" si="134"/>
        <v>15773</v>
      </c>
    </row>
    <row r="6945" spans="1:7" x14ac:dyDescent="0.25">
      <c r="A6945" s="204">
        <v>43740</v>
      </c>
      <c r="B6945" s="29" t="s">
        <v>5767</v>
      </c>
      <c r="C6945" s="29" t="s">
        <v>5768</v>
      </c>
      <c r="D6945" s="8">
        <v>1000</v>
      </c>
      <c r="E6945" s="8"/>
      <c r="F6945" s="92">
        <f t="shared" si="134"/>
        <v>14773</v>
      </c>
    </row>
    <row r="6946" spans="1:7" x14ac:dyDescent="0.25">
      <c r="A6946" s="204">
        <v>43740</v>
      </c>
      <c r="B6946" s="452" t="s">
        <v>4333</v>
      </c>
      <c r="C6946" s="452"/>
      <c r="D6946" s="452"/>
      <c r="E6946" s="98">
        <v>50000</v>
      </c>
      <c r="F6946" s="92">
        <f t="shared" si="134"/>
        <v>64773</v>
      </c>
    </row>
    <row r="6947" spans="1:7" x14ac:dyDescent="0.25">
      <c r="A6947" s="204">
        <v>43740</v>
      </c>
      <c r="B6947" s="29" t="s">
        <v>5201</v>
      </c>
      <c r="C6947" s="29" t="s">
        <v>4161</v>
      </c>
      <c r="D6947" s="8">
        <v>7000</v>
      </c>
      <c r="E6947" s="8"/>
      <c r="F6947" s="92">
        <f t="shared" si="134"/>
        <v>57773</v>
      </c>
    </row>
    <row r="6948" spans="1:7" x14ac:dyDescent="0.25">
      <c r="A6948" s="204">
        <v>43740</v>
      </c>
      <c r="B6948" s="29" t="s">
        <v>5201</v>
      </c>
      <c r="C6948" s="29" t="s">
        <v>3198</v>
      </c>
      <c r="D6948" s="8">
        <v>17000</v>
      </c>
      <c r="E6948" s="8"/>
      <c r="F6948" s="92">
        <f t="shared" si="134"/>
        <v>40773</v>
      </c>
    </row>
    <row r="6949" spans="1:7" x14ac:dyDescent="0.25">
      <c r="A6949" s="204">
        <v>43740</v>
      </c>
      <c r="B6949" s="26" t="s">
        <v>85</v>
      </c>
      <c r="C6949" s="26" t="s">
        <v>5776</v>
      </c>
      <c r="D6949" s="14">
        <v>2000</v>
      </c>
      <c r="E6949" s="8"/>
      <c r="F6949" s="92">
        <f t="shared" si="134"/>
        <v>38773</v>
      </c>
    </row>
    <row r="6950" spans="1:7" x14ac:dyDescent="0.25">
      <c r="A6950" s="204">
        <v>43741</v>
      </c>
      <c r="B6950" s="29" t="s">
        <v>5767</v>
      </c>
      <c r="C6950" s="29" t="s">
        <v>41</v>
      </c>
      <c r="D6950" s="8">
        <v>500</v>
      </c>
      <c r="E6950" s="8"/>
      <c r="F6950" s="92">
        <f t="shared" si="134"/>
        <v>38273</v>
      </c>
    </row>
    <row r="6951" spans="1:7" x14ac:dyDescent="0.25">
      <c r="A6951" s="241">
        <v>43741</v>
      </c>
      <c r="B6951" s="483" t="s">
        <v>5771</v>
      </c>
      <c r="C6951" s="483"/>
      <c r="D6951" s="483"/>
      <c r="E6951" s="251">
        <v>20000</v>
      </c>
      <c r="F6951" s="92">
        <f t="shared" si="134"/>
        <v>58273</v>
      </c>
    </row>
    <row r="6952" spans="1:7" x14ac:dyDescent="0.25">
      <c r="A6952" s="204">
        <v>43741</v>
      </c>
      <c r="B6952" s="29" t="s">
        <v>5772</v>
      </c>
      <c r="C6952" s="29" t="s">
        <v>5773</v>
      </c>
      <c r="D6952" s="8">
        <v>15000</v>
      </c>
      <c r="E6952" s="8"/>
      <c r="F6952" s="92">
        <f t="shared" si="134"/>
        <v>43273</v>
      </c>
      <c r="G6952" s="26"/>
    </row>
    <row r="6953" spans="1:7" x14ac:dyDescent="0.25">
      <c r="A6953" s="204">
        <v>43741</v>
      </c>
      <c r="B6953" s="29" t="s">
        <v>4116</v>
      </c>
      <c r="C6953" s="29" t="s">
        <v>5774</v>
      </c>
      <c r="D6953" s="8">
        <v>2000</v>
      </c>
      <c r="E6953" s="8"/>
      <c r="F6953" s="92">
        <f t="shared" si="134"/>
        <v>41273</v>
      </c>
      <c r="G6953" s="26"/>
    </row>
    <row r="6954" spans="1:7" x14ac:dyDescent="0.25">
      <c r="A6954" s="204">
        <v>43741</v>
      </c>
      <c r="B6954" s="40" t="s">
        <v>2597</v>
      </c>
      <c r="C6954" s="40" t="s">
        <v>5793</v>
      </c>
      <c r="D6954" s="140">
        <v>16110</v>
      </c>
      <c r="E6954" s="8"/>
      <c r="F6954" s="92">
        <f t="shared" si="134"/>
        <v>25163</v>
      </c>
      <c r="G6954" s="26"/>
    </row>
    <row r="6955" spans="1:7" x14ac:dyDescent="0.25">
      <c r="A6955" s="204">
        <v>43741</v>
      </c>
      <c r="B6955" s="26" t="s">
        <v>85</v>
      </c>
      <c r="C6955" s="26" t="s">
        <v>5778</v>
      </c>
      <c r="D6955" s="8">
        <v>5000</v>
      </c>
      <c r="E6955" s="8"/>
      <c r="F6955" s="92">
        <f t="shared" si="134"/>
        <v>20163</v>
      </c>
      <c r="G6955" s="26"/>
    </row>
    <row r="6956" spans="1:7" x14ac:dyDescent="0.25">
      <c r="A6956" s="204">
        <v>43741</v>
      </c>
      <c r="B6956" s="26" t="s">
        <v>5479</v>
      </c>
      <c r="C6956" s="26" t="s">
        <v>2951</v>
      </c>
      <c r="D6956" s="8">
        <v>750</v>
      </c>
      <c r="E6956" s="8"/>
      <c r="F6956" s="92">
        <f t="shared" si="134"/>
        <v>19413</v>
      </c>
      <c r="G6956" s="26"/>
    </row>
    <row r="6957" spans="1:7" x14ac:dyDescent="0.25">
      <c r="A6957" s="204">
        <v>43741</v>
      </c>
      <c r="B6957" s="26" t="s">
        <v>5479</v>
      </c>
      <c r="C6957" s="29" t="s">
        <v>5490</v>
      </c>
      <c r="D6957" s="8">
        <v>4200</v>
      </c>
      <c r="E6957" s="8"/>
      <c r="F6957" s="92">
        <f t="shared" si="134"/>
        <v>15213</v>
      </c>
      <c r="G6957" s="26"/>
    </row>
    <row r="6958" spans="1:7" x14ac:dyDescent="0.25">
      <c r="A6958" s="204">
        <v>43741</v>
      </c>
      <c r="B6958" s="26" t="s">
        <v>17</v>
      </c>
      <c r="C6958" s="29" t="s">
        <v>4381</v>
      </c>
      <c r="D6958" s="8">
        <v>600</v>
      </c>
      <c r="E6958" s="8"/>
      <c r="F6958" s="92">
        <f t="shared" si="134"/>
        <v>14613</v>
      </c>
      <c r="G6958" s="26"/>
    </row>
    <row r="6959" spans="1:7" x14ac:dyDescent="0.25">
      <c r="A6959" s="204">
        <v>43741</v>
      </c>
      <c r="B6959" s="29" t="s">
        <v>19</v>
      </c>
      <c r="C6959" s="29" t="s">
        <v>5780</v>
      </c>
      <c r="D6959" s="8">
        <v>3000</v>
      </c>
      <c r="E6959" s="8"/>
      <c r="F6959" s="92">
        <f t="shared" si="134"/>
        <v>11613</v>
      </c>
      <c r="G6959" s="26"/>
    </row>
    <row r="6960" spans="1:7" x14ac:dyDescent="0.25">
      <c r="A6960" s="204">
        <v>43741</v>
      </c>
      <c r="B6960" s="29" t="s">
        <v>2597</v>
      </c>
      <c r="C6960" s="29" t="s">
        <v>5781</v>
      </c>
      <c r="D6960" s="8">
        <v>500</v>
      </c>
      <c r="E6960" s="8"/>
      <c r="F6960" s="92">
        <f t="shared" si="134"/>
        <v>11113</v>
      </c>
      <c r="G6960" s="26"/>
    </row>
    <row r="6961" spans="1:7" x14ac:dyDescent="0.25">
      <c r="A6961" s="204">
        <v>43741</v>
      </c>
      <c r="B6961" s="26" t="s">
        <v>26</v>
      </c>
      <c r="C6961" s="26" t="s">
        <v>5788</v>
      </c>
      <c r="D6961" s="8">
        <v>320</v>
      </c>
      <c r="E6961" s="8"/>
      <c r="F6961" s="92">
        <f t="shared" si="134"/>
        <v>10793</v>
      </c>
      <c r="G6961" s="26"/>
    </row>
    <row r="6962" spans="1:7" x14ac:dyDescent="0.25">
      <c r="A6962" s="204">
        <v>43742</v>
      </c>
      <c r="B6962" s="39" t="s">
        <v>26</v>
      </c>
      <c r="C6962" s="39" t="s">
        <v>5782</v>
      </c>
      <c r="D6962" s="10">
        <v>100</v>
      </c>
      <c r="F6962" s="92">
        <f t="shared" si="134"/>
        <v>10693</v>
      </c>
    </row>
    <row r="6963" spans="1:7" x14ac:dyDescent="0.25">
      <c r="A6963" s="204">
        <v>43742</v>
      </c>
      <c r="B6963" s="39" t="s">
        <v>1619</v>
      </c>
      <c r="C6963" s="39" t="s">
        <v>5783</v>
      </c>
      <c r="D6963" s="10">
        <v>550</v>
      </c>
      <c r="F6963" s="92">
        <f t="shared" si="134"/>
        <v>10143</v>
      </c>
    </row>
    <row r="6964" spans="1:7" x14ac:dyDescent="0.25">
      <c r="A6964" s="204">
        <v>43742</v>
      </c>
      <c r="B6964" s="39" t="s">
        <v>5662</v>
      </c>
      <c r="C6964" s="39" t="s">
        <v>5786</v>
      </c>
      <c r="D6964" s="10">
        <v>750</v>
      </c>
      <c r="F6964" s="92">
        <f t="shared" si="134"/>
        <v>9393</v>
      </c>
    </row>
    <row r="6965" spans="1:7" x14ac:dyDescent="0.25">
      <c r="A6965" s="204">
        <v>43742</v>
      </c>
      <c r="B6965" s="483" t="s">
        <v>5785</v>
      </c>
      <c r="C6965" s="483"/>
      <c r="D6965" s="483"/>
      <c r="E6965" s="251">
        <v>500</v>
      </c>
      <c r="F6965" s="92">
        <f t="shared" si="134"/>
        <v>9893</v>
      </c>
    </row>
    <row r="6966" spans="1:7" x14ac:dyDescent="0.25">
      <c r="A6966" s="204">
        <v>43742</v>
      </c>
      <c r="B6966" s="21" t="s">
        <v>26</v>
      </c>
      <c r="C6966" s="21" t="s">
        <v>5782</v>
      </c>
      <c r="D6966" s="10">
        <v>80</v>
      </c>
      <c r="F6966" s="92">
        <f t="shared" si="134"/>
        <v>9813</v>
      </c>
    </row>
    <row r="6967" spans="1:7" x14ac:dyDescent="0.25">
      <c r="A6967" s="241">
        <v>43742</v>
      </c>
      <c r="B6967" s="483" t="s">
        <v>5789</v>
      </c>
      <c r="C6967" s="483"/>
      <c r="D6967" s="483"/>
      <c r="E6967" s="251">
        <f>700000+800000</f>
        <v>1500000</v>
      </c>
      <c r="F6967" s="92">
        <f t="shared" si="134"/>
        <v>1509813</v>
      </c>
    </row>
    <row r="6968" spans="1:7" x14ac:dyDescent="0.25">
      <c r="A6968" s="204">
        <v>43743</v>
      </c>
      <c r="B6968" s="29" t="s">
        <v>5790</v>
      </c>
      <c r="C6968" s="26"/>
      <c r="D6968" s="8">
        <v>1456444</v>
      </c>
      <c r="E6968" s="8"/>
      <c r="F6968" s="92">
        <f t="shared" si="134"/>
        <v>53369</v>
      </c>
      <c r="G6968" s="26"/>
    </row>
    <row r="6969" spans="1:7" x14ac:dyDescent="0.25">
      <c r="A6969" s="204">
        <v>43742</v>
      </c>
      <c r="B6969" s="29" t="s">
        <v>5652</v>
      </c>
      <c r="C6969" s="29" t="s">
        <v>5787</v>
      </c>
      <c r="D6969" s="8">
        <v>2000</v>
      </c>
      <c r="E6969" s="8"/>
      <c r="F6969" s="92">
        <f t="shared" si="134"/>
        <v>51369</v>
      </c>
      <c r="G6969" s="26"/>
    </row>
    <row r="6970" spans="1:7" x14ac:dyDescent="0.25">
      <c r="A6970" s="204">
        <v>43743</v>
      </c>
      <c r="B6970" s="29" t="s">
        <v>14</v>
      </c>
      <c r="C6970" s="26" t="s">
        <v>295</v>
      </c>
      <c r="D6970" s="8">
        <v>10000</v>
      </c>
      <c r="E6970" s="8"/>
      <c r="F6970" s="92">
        <f t="shared" si="134"/>
        <v>41369</v>
      </c>
      <c r="G6970" s="7"/>
    </row>
    <row r="6971" spans="1:7" x14ac:dyDescent="0.25">
      <c r="A6971" s="241">
        <v>43743</v>
      </c>
      <c r="B6971" s="31" t="s">
        <v>1461</v>
      </c>
      <c r="C6971" s="33" t="s">
        <v>5093</v>
      </c>
      <c r="D6971" s="27">
        <v>1000</v>
      </c>
      <c r="E6971" s="27"/>
      <c r="F6971" s="92">
        <f t="shared" si="134"/>
        <v>40369</v>
      </c>
      <c r="G6971" s="7"/>
    </row>
    <row r="6972" spans="1:7" x14ac:dyDescent="0.25">
      <c r="A6972" s="241">
        <v>43743</v>
      </c>
      <c r="B6972" s="31" t="s">
        <v>14</v>
      </c>
      <c r="C6972" s="33" t="s">
        <v>641</v>
      </c>
      <c r="D6972" s="27">
        <v>1000</v>
      </c>
      <c r="E6972" s="27"/>
      <c r="F6972" s="92">
        <f t="shared" si="134"/>
        <v>39369</v>
      </c>
      <c r="G6972" s="7"/>
    </row>
    <row r="6973" spans="1:7" x14ac:dyDescent="0.25">
      <c r="A6973" s="204">
        <v>43743</v>
      </c>
      <c r="B6973" s="29" t="s">
        <v>1461</v>
      </c>
      <c r="C6973" s="26" t="s">
        <v>5791</v>
      </c>
      <c r="D6973" s="8">
        <f>80+160+50+45+130+50+50+30+270+50+130+50+30+30+30+100+50+30+27+40+444+33+100+50+50+270+30+30+100+500</f>
        <v>3039</v>
      </c>
      <c r="E6973" s="8"/>
      <c r="F6973" s="92">
        <f t="shared" si="134"/>
        <v>36330</v>
      </c>
      <c r="G6973" s="7"/>
    </row>
    <row r="6974" spans="1:7" x14ac:dyDescent="0.25">
      <c r="A6974" s="204">
        <v>43746</v>
      </c>
      <c r="B6974" s="452" t="s">
        <v>5807</v>
      </c>
      <c r="C6974" s="452"/>
      <c r="D6974" s="452"/>
      <c r="E6974" s="98">
        <v>10778</v>
      </c>
      <c r="F6974" s="92">
        <f t="shared" ref="F6974:F7020" si="135">F6973-D6974+E6974</f>
        <v>47108</v>
      </c>
    </row>
    <row r="6975" spans="1:7" x14ac:dyDescent="0.25">
      <c r="A6975" s="204">
        <v>43742</v>
      </c>
      <c r="B6975" s="40" t="s">
        <v>2597</v>
      </c>
      <c r="C6975" s="40" t="s">
        <v>5792</v>
      </c>
      <c r="D6975" s="41">
        <v>28755</v>
      </c>
      <c r="E6975" s="8"/>
      <c r="F6975" s="92">
        <f t="shared" si="135"/>
        <v>18353</v>
      </c>
      <c r="G6975" s="7"/>
    </row>
    <row r="6976" spans="1:7" x14ac:dyDescent="0.25">
      <c r="A6976" s="204">
        <v>43745</v>
      </c>
      <c r="B6976" s="26" t="s">
        <v>5537</v>
      </c>
      <c r="C6976" s="26" t="s">
        <v>5795</v>
      </c>
      <c r="D6976" s="8">
        <v>1300</v>
      </c>
      <c r="E6976" s="8"/>
      <c r="F6976" s="92">
        <f t="shared" si="135"/>
        <v>17053</v>
      </c>
      <c r="G6976" s="7"/>
    </row>
    <row r="6977" spans="1:7" x14ac:dyDescent="0.25">
      <c r="A6977" s="204">
        <v>43746</v>
      </c>
      <c r="B6977" s="452" t="s">
        <v>864</v>
      </c>
      <c r="C6977" s="452"/>
      <c r="D6977" s="452"/>
      <c r="E6977" s="98">
        <v>32500</v>
      </c>
      <c r="F6977" s="92">
        <f t="shared" si="135"/>
        <v>49553</v>
      </c>
    </row>
    <row r="6978" spans="1:7" x14ac:dyDescent="0.25">
      <c r="A6978" s="204">
        <v>43746</v>
      </c>
      <c r="B6978" s="26" t="s">
        <v>694</v>
      </c>
      <c r="C6978" s="26" t="s">
        <v>5799</v>
      </c>
      <c r="D6978" s="8">
        <v>15000</v>
      </c>
      <c r="E6978" s="8"/>
      <c r="F6978" s="92">
        <f t="shared" si="135"/>
        <v>34553</v>
      </c>
    </row>
    <row r="6979" spans="1:7" x14ac:dyDescent="0.25">
      <c r="A6979" s="204">
        <v>43746</v>
      </c>
      <c r="B6979" s="26" t="s">
        <v>85</v>
      </c>
      <c r="C6979" s="26" t="s">
        <v>5802</v>
      </c>
      <c r="D6979" s="8">
        <v>5000</v>
      </c>
      <c r="E6979" s="8"/>
      <c r="F6979" s="92">
        <f t="shared" si="135"/>
        <v>29553</v>
      </c>
      <c r="G6979" s="7"/>
    </row>
    <row r="6980" spans="1:7" x14ac:dyDescent="0.25">
      <c r="A6980" s="204">
        <v>43746</v>
      </c>
      <c r="B6980" s="26" t="s">
        <v>14</v>
      </c>
      <c r="C6980" s="26" t="s">
        <v>295</v>
      </c>
      <c r="D6980" s="8">
        <v>9000</v>
      </c>
      <c r="E6980" s="8"/>
      <c r="F6980" s="92">
        <f t="shared" si="135"/>
        <v>20553</v>
      </c>
    </row>
    <row r="6981" spans="1:7" x14ac:dyDescent="0.25">
      <c r="A6981" s="204">
        <v>43746</v>
      </c>
      <c r="B6981" s="26" t="s">
        <v>5485</v>
      </c>
      <c r="C6981" s="26" t="s">
        <v>5804</v>
      </c>
      <c r="D6981" s="8">
        <v>3400</v>
      </c>
      <c r="E6981" s="8"/>
      <c r="F6981" s="92">
        <f t="shared" si="135"/>
        <v>17153</v>
      </c>
    </row>
    <row r="6982" spans="1:7" x14ac:dyDescent="0.25">
      <c r="A6982" s="204">
        <v>43746</v>
      </c>
      <c r="B6982" s="452" t="s">
        <v>864</v>
      </c>
      <c r="C6982" s="452"/>
      <c r="D6982" s="452"/>
      <c r="E6982" s="98">
        <v>100000</v>
      </c>
      <c r="F6982" s="92">
        <f t="shared" si="135"/>
        <v>117153</v>
      </c>
    </row>
    <row r="6983" spans="1:7" x14ac:dyDescent="0.25">
      <c r="A6983" s="204">
        <v>43746</v>
      </c>
      <c r="B6983" s="26" t="s">
        <v>2597</v>
      </c>
      <c r="C6983" s="26" t="s">
        <v>5811</v>
      </c>
      <c r="D6983" s="8">
        <v>52500</v>
      </c>
      <c r="E6983" s="8"/>
      <c r="F6983" s="92">
        <f t="shared" si="135"/>
        <v>64653</v>
      </c>
    </row>
    <row r="6984" spans="1:7" x14ac:dyDescent="0.25">
      <c r="A6984" s="204">
        <v>43746</v>
      </c>
      <c r="B6984" s="26" t="s">
        <v>4776</v>
      </c>
      <c r="C6984" s="26" t="s">
        <v>5808</v>
      </c>
      <c r="D6984" s="8">
        <v>20000</v>
      </c>
      <c r="E6984" s="8"/>
      <c r="F6984" s="92">
        <f t="shared" si="135"/>
        <v>44653</v>
      </c>
    </row>
    <row r="6985" spans="1:7" x14ac:dyDescent="0.25">
      <c r="A6985" s="204">
        <v>43746</v>
      </c>
      <c r="B6985" s="26" t="s">
        <v>26</v>
      </c>
      <c r="C6985" s="26" t="s">
        <v>5805</v>
      </c>
      <c r="D6985" s="8">
        <v>5300</v>
      </c>
      <c r="E6985" s="8"/>
      <c r="F6985" s="92">
        <f t="shared" si="135"/>
        <v>39353</v>
      </c>
    </row>
    <row r="6986" spans="1:7" x14ac:dyDescent="0.25">
      <c r="A6986" s="204">
        <v>43747</v>
      </c>
      <c r="B6986" s="26" t="s">
        <v>55</v>
      </c>
      <c r="C6986" s="26" t="s">
        <v>5809</v>
      </c>
      <c r="D6986" s="8">
        <f>1000+1600</f>
        <v>2600</v>
      </c>
      <c r="E6986" s="8"/>
      <c r="F6986" s="92">
        <f t="shared" si="135"/>
        <v>36753</v>
      </c>
    </row>
    <row r="6987" spans="1:7" x14ac:dyDescent="0.25">
      <c r="A6987" s="204">
        <v>43747</v>
      </c>
      <c r="B6987" s="26" t="s">
        <v>14</v>
      </c>
      <c r="C6987" s="26" t="s">
        <v>5810</v>
      </c>
      <c r="D6987" s="8">
        <v>12000</v>
      </c>
      <c r="E6987" s="8"/>
      <c r="F6987" s="92">
        <f t="shared" si="135"/>
        <v>24753</v>
      </c>
    </row>
    <row r="6988" spans="1:7" x14ac:dyDescent="0.25">
      <c r="A6988" s="204">
        <v>43747</v>
      </c>
      <c r="B6988" s="452" t="s">
        <v>864</v>
      </c>
      <c r="C6988" s="452"/>
      <c r="D6988" s="452"/>
      <c r="E6988" s="98">
        <v>30000</v>
      </c>
      <c r="F6988" s="92">
        <f t="shared" si="135"/>
        <v>54753</v>
      </c>
    </row>
    <row r="6989" spans="1:7" x14ac:dyDescent="0.25">
      <c r="A6989" s="204">
        <v>43747</v>
      </c>
      <c r="B6989" s="26" t="s">
        <v>26</v>
      </c>
      <c r="C6989" s="26" t="s">
        <v>5812</v>
      </c>
      <c r="D6989" s="8">
        <f>220+10+50+50+50+30+45+50+160+100+30+70+527+20+40+10+550</f>
        <v>2012</v>
      </c>
      <c r="E6989" s="8"/>
      <c r="F6989" s="92">
        <f t="shared" si="135"/>
        <v>52741</v>
      </c>
    </row>
    <row r="6990" spans="1:7" x14ac:dyDescent="0.25">
      <c r="A6990" s="204">
        <v>43747</v>
      </c>
      <c r="B6990" s="26" t="s">
        <v>5479</v>
      </c>
      <c r="C6990" s="26" t="s">
        <v>694</v>
      </c>
      <c r="D6990" s="8">
        <v>240</v>
      </c>
      <c r="E6990" s="8"/>
      <c r="F6990" s="92">
        <f t="shared" si="135"/>
        <v>52501</v>
      </c>
    </row>
    <row r="6991" spans="1:7" x14ac:dyDescent="0.25">
      <c r="A6991" s="204">
        <v>43747</v>
      </c>
      <c r="B6991" s="26" t="s">
        <v>26</v>
      </c>
      <c r="C6991" s="26" t="s">
        <v>5526</v>
      </c>
      <c r="D6991" s="8">
        <v>100</v>
      </c>
      <c r="E6991" s="8"/>
      <c r="F6991" s="92">
        <f t="shared" si="135"/>
        <v>52401</v>
      </c>
    </row>
    <row r="6992" spans="1:7" x14ac:dyDescent="0.25">
      <c r="A6992" s="204">
        <v>43747</v>
      </c>
      <c r="B6992" s="26" t="s">
        <v>101</v>
      </c>
      <c r="C6992" s="26" t="s">
        <v>5813</v>
      </c>
      <c r="D6992" s="8">
        <v>900</v>
      </c>
      <c r="E6992" s="8"/>
      <c r="F6992" s="92">
        <f t="shared" si="135"/>
        <v>51501</v>
      </c>
    </row>
    <row r="6993" spans="1:7" x14ac:dyDescent="0.25">
      <c r="A6993" s="204">
        <v>43747</v>
      </c>
      <c r="B6993" s="26" t="s">
        <v>26</v>
      </c>
      <c r="C6993" s="26" t="s">
        <v>5814</v>
      </c>
      <c r="D6993" s="8">
        <v>7000</v>
      </c>
      <c r="E6993" s="8"/>
      <c r="F6993" s="92">
        <f t="shared" si="135"/>
        <v>44501</v>
      </c>
    </row>
    <row r="6994" spans="1:7" x14ac:dyDescent="0.25">
      <c r="A6994" s="204">
        <v>43747</v>
      </c>
      <c r="B6994" s="26" t="s">
        <v>3986</v>
      </c>
      <c r="C6994" s="26" t="s">
        <v>5815</v>
      </c>
      <c r="D6994" s="8">
        <v>20000</v>
      </c>
      <c r="E6994" s="8"/>
      <c r="F6994" s="92">
        <f t="shared" si="135"/>
        <v>24501</v>
      </c>
    </row>
    <row r="6995" spans="1:7" x14ac:dyDescent="0.25">
      <c r="A6995" s="204">
        <v>43747</v>
      </c>
      <c r="B6995" s="26" t="s">
        <v>1619</v>
      </c>
      <c r="C6995" s="26" t="s">
        <v>3707</v>
      </c>
      <c r="D6995" s="8">
        <v>1500</v>
      </c>
      <c r="E6995" s="8"/>
      <c r="F6995" s="92">
        <f t="shared" si="135"/>
        <v>23001</v>
      </c>
    </row>
    <row r="6996" spans="1:7" x14ac:dyDescent="0.25">
      <c r="A6996" s="204">
        <v>43747</v>
      </c>
      <c r="B6996" s="26" t="s">
        <v>26</v>
      </c>
      <c r="C6996" s="26" t="s">
        <v>5816</v>
      </c>
      <c r="D6996" s="8">
        <f>45+150+50+30+30+220</f>
        <v>525</v>
      </c>
      <c r="E6996" s="8"/>
      <c r="F6996" s="92">
        <f t="shared" si="135"/>
        <v>22476</v>
      </c>
    </row>
    <row r="6997" spans="1:7" x14ac:dyDescent="0.25">
      <c r="A6997" s="204">
        <v>43748</v>
      </c>
      <c r="B6997" s="452" t="s">
        <v>4367</v>
      </c>
      <c r="C6997" s="452"/>
      <c r="D6997" s="452"/>
      <c r="E6997" s="98">
        <v>10000</v>
      </c>
      <c r="F6997" s="92">
        <f t="shared" si="135"/>
        <v>32476</v>
      </c>
    </row>
    <row r="6998" spans="1:7" x14ac:dyDescent="0.25">
      <c r="A6998" s="204">
        <v>43747</v>
      </c>
      <c r="B6998" s="26" t="s">
        <v>2597</v>
      </c>
      <c r="C6998" s="26" t="s">
        <v>5819</v>
      </c>
      <c r="D6998" s="8">
        <v>17470</v>
      </c>
      <c r="E6998" s="8"/>
      <c r="F6998" s="92">
        <f t="shared" si="135"/>
        <v>15006</v>
      </c>
    </row>
    <row r="6999" spans="1:7" x14ac:dyDescent="0.25">
      <c r="A6999" s="204">
        <v>43748</v>
      </c>
      <c r="B6999" s="26" t="s">
        <v>2573</v>
      </c>
      <c r="C6999" s="26" t="s">
        <v>41</v>
      </c>
      <c r="D6999" s="8">
        <v>250</v>
      </c>
      <c r="E6999" s="8"/>
      <c r="F6999" s="92">
        <f t="shared" si="135"/>
        <v>14756</v>
      </c>
    </row>
    <row r="7000" spans="1:7" x14ac:dyDescent="0.25">
      <c r="A7000" s="204">
        <v>43748</v>
      </c>
      <c r="B7000" s="452" t="s">
        <v>864</v>
      </c>
      <c r="C7000" s="452"/>
      <c r="D7000" s="452"/>
      <c r="E7000" s="98">
        <v>50000</v>
      </c>
      <c r="F7000" s="92">
        <f t="shared" si="135"/>
        <v>64756</v>
      </c>
    </row>
    <row r="7001" spans="1:7" x14ac:dyDescent="0.25">
      <c r="A7001" s="204">
        <v>43749</v>
      </c>
      <c r="B7001" s="26" t="s">
        <v>14</v>
      </c>
      <c r="C7001" s="26" t="s">
        <v>295</v>
      </c>
      <c r="D7001" s="8">
        <v>35000</v>
      </c>
      <c r="E7001" s="8"/>
      <c r="F7001" s="92">
        <f t="shared" si="135"/>
        <v>29756</v>
      </c>
    </row>
    <row r="7002" spans="1:7" x14ac:dyDescent="0.25">
      <c r="A7002" s="204">
        <v>43749</v>
      </c>
      <c r="B7002" s="29" t="s">
        <v>4116</v>
      </c>
      <c r="C7002" s="29" t="s">
        <v>295</v>
      </c>
      <c r="D7002" s="8">
        <v>1000</v>
      </c>
      <c r="E7002" s="8"/>
      <c r="F7002" s="92">
        <f t="shared" si="135"/>
        <v>28756</v>
      </c>
    </row>
    <row r="7003" spans="1:7" x14ac:dyDescent="0.25">
      <c r="A7003" s="204">
        <v>43749</v>
      </c>
      <c r="B7003" s="26" t="s">
        <v>55</v>
      </c>
      <c r="C7003" s="26" t="s">
        <v>5818</v>
      </c>
      <c r="D7003" s="8">
        <v>11625</v>
      </c>
      <c r="E7003" s="8"/>
      <c r="F7003" s="92">
        <f t="shared" si="135"/>
        <v>17131</v>
      </c>
    </row>
    <row r="7004" spans="1:7" x14ac:dyDescent="0.25">
      <c r="A7004" s="204">
        <v>43749</v>
      </c>
      <c r="B7004" s="452" t="s">
        <v>4333</v>
      </c>
      <c r="C7004" s="452"/>
      <c r="D7004" s="452"/>
      <c r="E7004" s="98">
        <v>150000</v>
      </c>
      <c r="F7004" s="92">
        <f t="shared" si="135"/>
        <v>167131</v>
      </c>
    </row>
    <row r="7005" spans="1:7" x14ac:dyDescent="0.25">
      <c r="A7005" s="204">
        <v>43750</v>
      </c>
      <c r="B7005" s="26" t="s">
        <v>17</v>
      </c>
      <c r="C7005" s="26" t="s">
        <v>3914</v>
      </c>
      <c r="D7005" s="8">
        <v>10000</v>
      </c>
      <c r="E7005" s="8"/>
      <c r="F7005" s="92">
        <f t="shared" si="135"/>
        <v>157131</v>
      </c>
    </row>
    <row r="7006" spans="1:7" x14ac:dyDescent="0.25">
      <c r="A7006" s="204">
        <v>43750</v>
      </c>
      <c r="B7006" s="26" t="s">
        <v>2597</v>
      </c>
      <c r="C7006" s="26" t="s">
        <v>5819</v>
      </c>
      <c r="D7006" s="8">
        <v>27117</v>
      </c>
      <c r="E7006" s="8"/>
      <c r="F7006" s="92">
        <f t="shared" si="135"/>
        <v>130014</v>
      </c>
      <c r="G7006" s="25"/>
    </row>
    <row r="7007" spans="1:7" x14ac:dyDescent="0.25">
      <c r="A7007" s="204">
        <v>43750</v>
      </c>
      <c r="B7007" s="26" t="s">
        <v>0</v>
      </c>
      <c r="C7007" s="26" t="s">
        <v>5820</v>
      </c>
      <c r="D7007" s="8">
        <v>5000</v>
      </c>
      <c r="E7007" s="8"/>
      <c r="F7007" s="92">
        <f t="shared" si="135"/>
        <v>125014</v>
      </c>
    </row>
    <row r="7008" spans="1:7" x14ac:dyDescent="0.25">
      <c r="A7008" s="204">
        <v>43750</v>
      </c>
      <c r="B7008" s="26" t="s">
        <v>2597</v>
      </c>
      <c r="C7008" s="26" t="s">
        <v>5821</v>
      </c>
      <c r="D7008" s="8">
        <v>5750</v>
      </c>
      <c r="E7008" s="8"/>
      <c r="F7008" s="92">
        <f t="shared" si="135"/>
        <v>119264</v>
      </c>
    </row>
    <row r="7009" spans="1:6" x14ac:dyDescent="0.25">
      <c r="A7009" s="204">
        <v>43750</v>
      </c>
      <c r="B7009" s="26" t="s">
        <v>2597</v>
      </c>
      <c r="C7009" s="162" t="s">
        <v>5722</v>
      </c>
      <c r="D7009" s="163">
        <v>250</v>
      </c>
      <c r="E7009" s="8"/>
      <c r="F7009" s="92">
        <f t="shared" si="135"/>
        <v>119014</v>
      </c>
    </row>
    <row r="7010" spans="1:6" x14ac:dyDescent="0.25">
      <c r="A7010" s="204">
        <v>43750</v>
      </c>
      <c r="B7010" s="29" t="s">
        <v>3563</v>
      </c>
      <c r="C7010" s="29" t="s">
        <v>5369</v>
      </c>
      <c r="D7010" s="8">
        <v>7860</v>
      </c>
      <c r="E7010" s="8"/>
      <c r="F7010" s="92">
        <f t="shared" si="135"/>
        <v>111154</v>
      </c>
    </row>
    <row r="7011" spans="1:6" x14ac:dyDescent="0.25">
      <c r="A7011" s="204">
        <v>43750</v>
      </c>
      <c r="B7011" s="26" t="s">
        <v>3209</v>
      </c>
      <c r="C7011" s="26" t="s">
        <v>5822</v>
      </c>
      <c r="D7011" s="8">
        <v>500</v>
      </c>
      <c r="E7011" s="8"/>
      <c r="F7011" s="92">
        <f t="shared" si="135"/>
        <v>110654</v>
      </c>
    </row>
    <row r="7012" spans="1:6" x14ac:dyDescent="0.25">
      <c r="A7012" s="204">
        <v>43752</v>
      </c>
      <c r="B7012" s="26" t="s">
        <v>14</v>
      </c>
      <c r="C7012" s="26" t="s">
        <v>295</v>
      </c>
      <c r="D7012" s="8">
        <v>100000</v>
      </c>
      <c r="E7012" s="8"/>
      <c r="F7012" s="92">
        <f t="shared" si="135"/>
        <v>10654</v>
      </c>
    </row>
    <row r="7013" spans="1:6" x14ac:dyDescent="0.25">
      <c r="A7013" s="204">
        <v>43752</v>
      </c>
      <c r="B7013" s="26" t="s">
        <v>0</v>
      </c>
      <c r="C7013" s="26" t="s">
        <v>3914</v>
      </c>
      <c r="D7013" s="8">
        <v>1000</v>
      </c>
      <c r="E7013" s="8"/>
      <c r="F7013" s="92">
        <f t="shared" si="135"/>
        <v>9654</v>
      </c>
    </row>
    <row r="7014" spans="1:6" x14ac:dyDescent="0.25">
      <c r="A7014" s="204">
        <v>43752</v>
      </c>
      <c r="B7014" s="29" t="s">
        <v>26</v>
      </c>
      <c r="C7014" s="26" t="s">
        <v>5823</v>
      </c>
      <c r="D7014" s="8">
        <f>320+250+240+160+250+220+50+50+100+50+250+30+45</f>
        <v>2015</v>
      </c>
      <c r="E7014" s="8"/>
      <c r="F7014" s="92">
        <f t="shared" si="135"/>
        <v>7639</v>
      </c>
    </row>
    <row r="7015" spans="1:6" x14ac:dyDescent="0.25">
      <c r="A7015" s="204">
        <v>43752</v>
      </c>
      <c r="B7015" s="452" t="s">
        <v>4333</v>
      </c>
      <c r="C7015" s="452"/>
      <c r="D7015" s="452"/>
      <c r="E7015" s="98">
        <v>50000</v>
      </c>
      <c r="F7015" s="92">
        <f t="shared" si="135"/>
        <v>57639</v>
      </c>
    </row>
    <row r="7016" spans="1:6" x14ac:dyDescent="0.25">
      <c r="A7016" s="204">
        <v>43752</v>
      </c>
      <c r="B7016" s="26" t="s">
        <v>4776</v>
      </c>
      <c r="C7016" s="26" t="s">
        <v>3914</v>
      </c>
      <c r="D7016" s="8">
        <v>10000</v>
      </c>
      <c r="E7016" s="8"/>
      <c r="F7016" s="92">
        <f t="shared" si="135"/>
        <v>47639</v>
      </c>
    </row>
    <row r="7017" spans="1:6" x14ac:dyDescent="0.25">
      <c r="A7017" s="204">
        <v>43752</v>
      </c>
      <c r="B7017" s="26" t="s">
        <v>2597</v>
      </c>
      <c r="C7017" s="26" t="s">
        <v>5836</v>
      </c>
      <c r="D7017" s="8">
        <v>13354</v>
      </c>
      <c r="E7017" s="8"/>
      <c r="F7017" s="92">
        <f t="shared" si="135"/>
        <v>34285</v>
      </c>
    </row>
    <row r="7018" spans="1:6" x14ac:dyDescent="0.25">
      <c r="A7018" s="204">
        <v>43753</v>
      </c>
      <c r="B7018" s="26" t="s">
        <v>3986</v>
      </c>
      <c r="C7018" s="26" t="s">
        <v>5824</v>
      </c>
      <c r="D7018" s="8">
        <v>12500</v>
      </c>
      <c r="E7018" s="8"/>
      <c r="F7018" s="92">
        <f t="shared" si="135"/>
        <v>21785</v>
      </c>
    </row>
    <row r="7019" spans="1:6" x14ac:dyDescent="0.25">
      <c r="A7019" s="204">
        <v>43753</v>
      </c>
      <c r="B7019" s="26" t="s">
        <v>14</v>
      </c>
      <c r="C7019" s="26" t="s">
        <v>641</v>
      </c>
      <c r="D7019" s="8">
        <v>1000</v>
      </c>
      <c r="E7019" s="8"/>
      <c r="F7019" s="92">
        <f t="shared" si="135"/>
        <v>20785</v>
      </c>
    </row>
    <row r="7020" spans="1:6" x14ac:dyDescent="0.25">
      <c r="A7020" s="204">
        <v>43753</v>
      </c>
      <c r="B7020" s="26" t="s">
        <v>26</v>
      </c>
      <c r="C7020" s="26" t="s">
        <v>65</v>
      </c>
      <c r="D7020" s="8">
        <v>3600</v>
      </c>
      <c r="E7020" s="8"/>
      <c r="F7020" s="92">
        <f t="shared" si="135"/>
        <v>17185</v>
      </c>
    </row>
    <row r="7021" spans="1:6" x14ac:dyDescent="0.25">
      <c r="A7021" s="204">
        <v>43753</v>
      </c>
      <c r="B7021" s="452"/>
      <c r="C7021" s="452"/>
      <c r="D7021" s="452"/>
      <c r="E7021" s="98">
        <v>3000</v>
      </c>
      <c r="F7021" s="92">
        <f t="shared" ref="F7021:F7085" si="136">F7020-D7021+E7021</f>
        <v>20185</v>
      </c>
    </row>
    <row r="7022" spans="1:6" x14ac:dyDescent="0.25">
      <c r="A7022" s="204">
        <v>43753</v>
      </c>
      <c r="B7022" s="26" t="s">
        <v>85</v>
      </c>
      <c r="C7022" s="26" t="s">
        <v>5825</v>
      </c>
      <c r="D7022" s="8">
        <v>3000</v>
      </c>
      <c r="E7022" s="8"/>
      <c r="F7022" s="92">
        <f t="shared" si="136"/>
        <v>17185</v>
      </c>
    </row>
    <row r="7023" spans="1:6" x14ac:dyDescent="0.25">
      <c r="A7023" s="204">
        <v>43753</v>
      </c>
      <c r="B7023" s="26" t="s">
        <v>2597</v>
      </c>
      <c r="C7023" s="26" t="s">
        <v>4297</v>
      </c>
      <c r="D7023" s="8">
        <v>4070</v>
      </c>
      <c r="E7023" s="8"/>
      <c r="F7023" s="92">
        <f t="shared" si="136"/>
        <v>13115</v>
      </c>
    </row>
    <row r="7024" spans="1:6" x14ac:dyDescent="0.25">
      <c r="A7024" s="204">
        <v>43753</v>
      </c>
      <c r="B7024" s="452" t="s">
        <v>864</v>
      </c>
      <c r="C7024" s="452"/>
      <c r="D7024" s="452"/>
      <c r="E7024" s="98">
        <v>50000</v>
      </c>
      <c r="F7024" s="92">
        <f t="shared" si="136"/>
        <v>63115</v>
      </c>
    </row>
    <row r="7025" spans="1:6" x14ac:dyDescent="0.25">
      <c r="A7025" s="204">
        <v>43753</v>
      </c>
      <c r="B7025" s="26" t="s">
        <v>2597</v>
      </c>
      <c r="C7025" s="26" t="s">
        <v>4297</v>
      </c>
      <c r="D7025" s="8">
        <v>12642</v>
      </c>
      <c r="E7025" s="8"/>
      <c r="F7025" s="92">
        <f t="shared" si="136"/>
        <v>50473</v>
      </c>
    </row>
    <row r="7026" spans="1:6" x14ac:dyDescent="0.25">
      <c r="A7026" s="204">
        <v>43753</v>
      </c>
      <c r="B7026" s="26" t="s">
        <v>0</v>
      </c>
      <c r="C7026" s="26" t="s">
        <v>3914</v>
      </c>
      <c r="D7026" s="8">
        <v>5000</v>
      </c>
      <c r="E7026" s="8"/>
      <c r="F7026" s="92">
        <f t="shared" si="136"/>
        <v>45473</v>
      </c>
    </row>
    <row r="7027" spans="1:6" x14ac:dyDescent="0.25">
      <c r="A7027" s="204">
        <v>43754</v>
      </c>
      <c r="B7027" s="26" t="s">
        <v>4776</v>
      </c>
      <c r="C7027" s="26" t="s">
        <v>5826</v>
      </c>
      <c r="D7027" s="8">
        <v>20000</v>
      </c>
      <c r="E7027" s="8"/>
      <c r="F7027" s="92">
        <f t="shared" si="136"/>
        <v>25473</v>
      </c>
    </row>
    <row r="7028" spans="1:6" x14ac:dyDescent="0.25">
      <c r="A7028" s="204">
        <v>43754</v>
      </c>
      <c r="B7028" s="26" t="s">
        <v>5827</v>
      </c>
      <c r="C7028" s="26" t="s">
        <v>5828</v>
      </c>
      <c r="D7028" s="8">
        <v>8000</v>
      </c>
      <c r="E7028" s="8"/>
      <c r="F7028" s="92">
        <f t="shared" si="136"/>
        <v>17473</v>
      </c>
    </row>
    <row r="7029" spans="1:6" x14ac:dyDescent="0.25">
      <c r="A7029" s="204">
        <v>43754</v>
      </c>
      <c r="B7029" s="26" t="s">
        <v>5479</v>
      </c>
      <c r="C7029" s="26" t="s">
        <v>2951</v>
      </c>
      <c r="D7029" s="8">
        <v>64</v>
      </c>
      <c r="E7029" s="8"/>
      <c r="F7029" s="92">
        <f t="shared" si="136"/>
        <v>17409</v>
      </c>
    </row>
    <row r="7030" spans="1:6" x14ac:dyDescent="0.25">
      <c r="A7030" s="204">
        <v>43754</v>
      </c>
      <c r="B7030" s="452" t="s">
        <v>864</v>
      </c>
      <c r="C7030" s="452"/>
      <c r="D7030" s="452"/>
      <c r="E7030" s="98">
        <v>100000</v>
      </c>
      <c r="F7030" s="92">
        <f t="shared" si="136"/>
        <v>117409</v>
      </c>
    </row>
    <row r="7031" spans="1:6" x14ac:dyDescent="0.25">
      <c r="A7031" s="204">
        <v>43755</v>
      </c>
      <c r="B7031" s="26" t="s">
        <v>85</v>
      </c>
      <c r="C7031" s="26" t="s">
        <v>5829</v>
      </c>
      <c r="D7031" s="8">
        <v>12000</v>
      </c>
      <c r="E7031" s="8"/>
      <c r="F7031" s="92">
        <f t="shared" si="136"/>
        <v>105409</v>
      </c>
    </row>
    <row r="7032" spans="1:6" x14ac:dyDescent="0.25">
      <c r="A7032" s="204">
        <v>43755</v>
      </c>
      <c r="B7032" s="29" t="s">
        <v>0</v>
      </c>
      <c r="C7032" s="29" t="s">
        <v>5830</v>
      </c>
      <c r="D7032" s="8">
        <v>95000</v>
      </c>
      <c r="E7032" s="8"/>
      <c r="F7032" s="92">
        <f t="shared" si="136"/>
        <v>10409</v>
      </c>
    </row>
    <row r="7033" spans="1:6" x14ac:dyDescent="0.25">
      <c r="A7033" s="204">
        <v>43755</v>
      </c>
      <c r="B7033" s="452" t="s">
        <v>4333</v>
      </c>
      <c r="C7033" s="452"/>
      <c r="D7033" s="452"/>
      <c r="E7033" s="98">
        <v>50000</v>
      </c>
      <c r="F7033" s="92">
        <f t="shared" si="136"/>
        <v>60409</v>
      </c>
    </row>
    <row r="7034" spans="1:6" x14ac:dyDescent="0.25">
      <c r="A7034" s="204">
        <v>43755</v>
      </c>
      <c r="B7034" s="46" t="s">
        <v>2597</v>
      </c>
      <c r="C7034" s="46" t="s">
        <v>5842</v>
      </c>
      <c r="D7034" s="140">
        <v>25000</v>
      </c>
      <c r="E7034" s="140"/>
      <c r="F7034" s="92">
        <f t="shared" si="136"/>
        <v>35409</v>
      </c>
    </row>
    <row r="7035" spans="1:6" x14ac:dyDescent="0.25">
      <c r="A7035" s="204">
        <v>43755</v>
      </c>
      <c r="B7035" s="46" t="s">
        <v>2597</v>
      </c>
      <c r="C7035" s="40" t="s">
        <v>5837</v>
      </c>
      <c r="D7035" s="140">
        <v>3000</v>
      </c>
      <c r="E7035" s="140"/>
      <c r="F7035" s="92">
        <f t="shared" si="136"/>
        <v>32409</v>
      </c>
    </row>
    <row r="7036" spans="1:6" x14ac:dyDescent="0.25">
      <c r="A7036" s="204">
        <v>43756</v>
      </c>
      <c r="B7036" s="40" t="s">
        <v>248</v>
      </c>
      <c r="C7036" s="40" t="s">
        <v>2016</v>
      </c>
      <c r="D7036" s="140">
        <v>100</v>
      </c>
      <c r="E7036" s="140"/>
      <c r="F7036" s="92">
        <f t="shared" si="136"/>
        <v>32309</v>
      </c>
    </row>
    <row r="7037" spans="1:6" x14ac:dyDescent="0.25">
      <c r="A7037" s="204">
        <v>43756</v>
      </c>
      <c r="B7037" s="46" t="s">
        <v>2597</v>
      </c>
      <c r="C7037" s="46" t="s">
        <v>5834</v>
      </c>
      <c r="D7037" s="140">
        <f>8000+2000</f>
        <v>10000</v>
      </c>
      <c r="E7037" s="140"/>
      <c r="F7037" s="92">
        <f t="shared" si="136"/>
        <v>22309</v>
      </c>
    </row>
    <row r="7038" spans="1:6" x14ac:dyDescent="0.25">
      <c r="A7038" s="204">
        <v>43756</v>
      </c>
      <c r="B7038" s="46" t="s">
        <v>85</v>
      </c>
      <c r="C7038" s="46" t="s">
        <v>5835</v>
      </c>
      <c r="D7038" s="140">
        <v>2000</v>
      </c>
      <c r="E7038" s="140"/>
      <c r="F7038" s="92">
        <f t="shared" si="136"/>
        <v>20309</v>
      </c>
    </row>
    <row r="7039" spans="1:6" x14ac:dyDescent="0.25">
      <c r="A7039" s="204">
        <v>43756</v>
      </c>
      <c r="B7039" s="40" t="s">
        <v>101</v>
      </c>
      <c r="C7039" s="40" t="s">
        <v>4191</v>
      </c>
      <c r="D7039" s="140">
        <v>2000</v>
      </c>
      <c r="E7039" s="140"/>
      <c r="F7039" s="92">
        <f t="shared" si="136"/>
        <v>18309</v>
      </c>
    </row>
    <row r="7040" spans="1:6" x14ac:dyDescent="0.25">
      <c r="A7040" s="204">
        <v>43756</v>
      </c>
      <c r="B7040" s="40" t="s">
        <v>5479</v>
      </c>
      <c r="C7040" s="40" t="s">
        <v>5838</v>
      </c>
      <c r="D7040" s="140">
        <v>1200</v>
      </c>
      <c r="E7040" s="140"/>
      <c r="F7040" s="92">
        <f t="shared" si="136"/>
        <v>17109</v>
      </c>
    </row>
    <row r="7041" spans="1:6" x14ac:dyDescent="0.25">
      <c r="A7041" s="204">
        <v>43756</v>
      </c>
      <c r="B7041" s="40" t="s">
        <v>5479</v>
      </c>
      <c r="C7041" s="40" t="s">
        <v>5839</v>
      </c>
      <c r="D7041" s="140">
        <v>400</v>
      </c>
      <c r="E7041" s="140"/>
      <c r="F7041" s="92">
        <f t="shared" si="136"/>
        <v>16709</v>
      </c>
    </row>
    <row r="7042" spans="1:6" x14ac:dyDescent="0.25">
      <c r="A7042" s="204">
        <v>43757</v>
      </c>
      <c r="B7042" s="46" t="s">
        <v>2597</v>
      </c>
      <c r="C7042" s="46" t="s">
        <v>5840</v>
      </c>
      <c r="D7042" s="140">
        <v>1000</v>
      </c>
      <c r="E7042" s="140"/>
      <c r="F7042" s="92">
        <f t="shared" si="136"/>
        <v>15709</v>
      </c>
    </row>
    <row r="7043" spans="1:6" x14ac:dyDescent="0.25">
      <c r="A7043" s="204">
        <v>43757</v>
      </c>
      <c r="B7043" s="26" t="s">
        <v>4116</v>
      </c>
      <c r="C7043" s="26" t="s">
        <v>295</v>
      </c>
      <c r="D7043" s="8">
        <v>3000</v>
      </c>
      <c r="E7043" s="8"/>
      <c r="F7043" s="92">
        <f t="shared" si="136"/>
        <v>12709</v>
      </c>
    </row>
    <row r="7044" spans="1:6" x14ac:dyDescent="0.25">
      <c r="A7044" s="204">
        <v>43755</v>
      </c>
      <c r="B7044" s="452" t="s">
        <v>5844</v>
      </c>
      <c r="C7044" s="452"/>
      <c r="D7044" s="452"/>
      <c r="E7044" s="98">
        <v>660160</v>
      </c>
      <c r="F7044" s="92">
        <f t="shared" si="136"/>
        <v>672869</v>
      </c>
    </row>
    <row r="7045" spans="1:6" x14ac:dyDescent="0.25">
      <c r="A7045" s="204">
        <v>43757</v>
      </c>
      <c r="B7045" s="40" t="s">
        <v>5479</v>
      </c>
      <c r="C7045" s="40" t="s">
        <v>5841</v>
      </c>
      <c r="D7045" s="8">
        <v>1560</v>
      </c>
      <c r="E7045" s="8"/>
      <c r="F7045" s="92">
        <f t="shared" si="136"/>
        <v>671309</v>
      </c>
    </row>
    <row r="7046" spans="1:6" x14ac:dyDescent="0.25">
      <c r="A7046" s="204">
        <v>43759</v>
      </c>
      <c r="B7046" s="40" t="s">
        <v>26</v>
      </c>
      <c r="C7046" s="26" t="s">
        <v>5843</v>
      </c>
      <c r="D7046" s="8">
        <f>20+300+260+180+145+270+70+200+280+100+50</f>
        <v>1875</v>
      </c>
      <c r="E7046" s="8"/>
      <c r="F7046" s="92">
        <f t="shared" si="136"/>
        <v>669434</v>
      </c>
    </row>
    <row r="7047" spans="1:6" x14ac:dyDescent="0.25">
      <c r="A7047" s="204">
        <v>43759</v>
      </c>
      <c r="B7047" s="26" t="s">
        <v>14</v>
      </c>
      <c r="C7047" s="26" t="s">
        <v>3186</v>
      </c>
      <c r="D7047" s="8">
        <v>100000</v>
      </c>
      <c r="E7047" s="8"/>
      <c r="F7047" s="92">
        <f t="shared" si="136"/>
        <v>569434</v>
      </c>
    </row>
    <row r="7048" spans="1:6" x14ac:dyDescent="0.25">
      <c r="A7048" s="204">
        <v>43759</v>
      </c>
      <c r="B7048" s="26" t="s">
        <v>5845</v>
      </c>
      <c r="C7048" s="26" t="s">
        <v>5846</v>
      </c>
      <c r="D7048" s="8">
        <v>40000</v>
      </c>
      <c r="E7048" s="8"/>
      <c r="F7048" s="92">
        <f t="shared" si="136"/>
        <v>529434</v>
      </c>
    </row>
    <row r="7049" spans="1:6" x14ac:dyDescent="0.25">
      <c r="A7049" s="204">
        <v>43759</v>
      </c>
      <c r="B7049" s="26" t="s">
        <v>5863</v>
      </c>
      <c r="C7049" s="26" t="s">
        <v>5864</v>
      </c>
      <c r="D7049" s="8">
        <v>20000</v>
      </c>
      <c r="E7049" s="8"/>
      <c r="F7049" s="92">
        <f t="shared" si="136"/>
        <v>509434</v>
      </c>
    </row>
    <row r="7050" spans="1:6" x14ac:dyDescent="0.25">
      <c r="A7050" s="204">
        <v>43759</v>
      </c>
      <c r="B7050" s="26" t="s">
        <v>3574</v>
      </c>
      <c r="C7050" s="26" t="s">
        <v>5847</v>
      </c>
      <c r="D7050" s="8">
        <v>50000</v>
      </c>
      <c r="E7050" s="8"/>
      <c r="F7050" s="92">
        <f t="shared" si="136"/>
        <v>459434</v>
      </c>
    </row>
    <row r="7051" spans="1:6" x14ac:dyDescent="0.25">
      <c r="A7051" s="204">
        <v>43759</v>
      </c>
      <c r="B7051" s="26" t="s">
        <v>3141</v>
      </c>
      <c r="C7051" s="26" t="s">
        <v>5848</v>
      </c>
      <c r="D7051" s="8">
        <v>36165</v>
      </c>
      <c r="E7051" s="8"/>
      <c r="F7051" s="92">
        <f t="shared" si="136"/>
        <v>423269</v>
      </c>
    </row>
    <row r="7052" spans="1:6" x14ac:dyDescent="0.25">
      <c r="A7052" s="204">
        <v>43759</v>
      </c>
      <c r="B7052" s="29" t="s">
        <v>248</v>
      </c>
      <c r="C7052" s="29" t="s">
        <v>2016</v>
      </c>
      <c r="D7052" s="8">
        <v>100</v>
      </c>
      <c r="E7052" s="8"/>
      <c r="F7052" s="92">
        <f t="shared" si="136"/>
        <v>423169</v>
      </c>
    </row>
    <row r="7053" spans="1:6" x14ac:dyDescent="0.25">
      <c r="A7053" s="204">
        <v>43759</v>
      </c>
      <c r="B7053" s="29" t="s">
        <v>19</v>
      </c>
      <c r="C7053" s="29" t="s">
        <v>295</v>
      </c>
      <c r="D7053" s="8">
        <v>4000</v>
      </c>
      <c r="E7053" s="8"/>
      <c r="F7053" s="92">
        <f t="shared" si="136"/>
        <v>419169</v>
      </c>
    </row>
    <row r="7054" spans="1:6" x14ac:dyDescent="0.25">
      <c r="A7054" s="204">
        <v>43760</v>
      </c>
      <c r="B7054" s="26" t="s">
        <v>4250</v>
      </c>
      <c r="C7054" s="26" t="s">
        <v>5849</v>
      </c>
      <c r="D7054" s="8">
        <v>1500</v>
      </c>
      <c r="E7054" s="8"/>
      <c r="F7054" s="92">
        <f t="shared" si="136"/>
        <v>417669</v>
      </c>
    </row>
    <row r="7055" spans="1:6" x14ac:dyDescent="0.25">
      <c r="A7055" s="204">
        <v>43760</v>
      </c>
      <c r="B7055" s="26" t="s">
        <v>2597</v>
      </c>
      <c r="C7055" s="214" t="s">
        <v>5850</v>
      </c>
      <c r="D7055" s="8">
        <v>10000</v>
      </c>
      <c r="E7055" s="8"/>
      <c r="F7055" s="92">
        <f t="shared" si="136"/>
        <v>407669</v>
      </c>
    </row>
    <row r="7056" spans="1:6" x14ac:dyDescent="0.25">
      <c r="A7056" s="204">
        <v>43760</v>
      </c>
      <c r="B7056" s="26" t="s">
        <v>1840</v>
      </c>
      <c r="C7056" s="26" t="s">
        <v>5851</v>
      </c>
      <c r="D7056" s="8">
        <v>4000</v>
      </c>
      <c r="E7056" s="8"/>
      <c r="F7056" s="92">
        <f t="shared" si="136"/>
        <v>403669</v>
      </c>
    </row>
    <row r="7057" spans="1:11" x14ac:dyDescent="0.25">
      <c r="A7057" s="204">
        <v>43760</v>
      </c>
      <c r="B7057" s="26" t="s">
        <v>4160</v>
      </c>
      <c r="C7057" s="26" t="s">
        <v>5854</v>
      </c>
      <c r="D7057" s="8">
        <v>35000</v>
      </c>
      <c r="E7057" s="8"/>
      <c r="F7057" s="92">
        <f t="shared" si="136"/>
        <v>368669</v>
      </c>
    </row>
    <row r="7058" spans="1:11" x14ac:dyDescent="0.25">
      <c r="A7058" s="204">
        <v>43761</v>
      </c>
      <c r="B7058" s="452" t="s">
        <v>5856</v>
      </c>
      <c r="C7058" s="452"/>
      <c r="D7058" s="452"/>
      <c r="E7058" s="98">
        <v>120000</v>
      </c>
      <c r="F7058" s="92">
        <f t="shared" si="136"/>
        <v>488669</v>
      </c>
    </row>
    <row r="7059" spans="1:11" x14ac:dyDescent="0.25">
      <c r="A7059" s="204">
        <v>43761</v>
      </c>
      <c r="B7059" s="29" t="s">
        <v>14</v>
      </c>
      <c r="C7059" s="29" t="s">
        <v>5857</v>
      </c>
      <c r="D7059" s="8">
        <v>64000</v>
      </c>
      <c r="E7059" s="8"/>
      <c r="F7059" s="92">
        <f t="shared" si="136"/>
        <v>424669</v>
      </c>
    </row>
    <row r="7060" spans="1:11" x14ac:dyDescent="0.25">
      <c r="A7060" s="204">
        <v>43761</v>
      </c>
      <c r="B7060" s="29" t="s">
        <v>17</v>
      </c>
      <c r="C7060" s="29" t="s">
        <v>5858</v>
      </c>
      <c r="D7060" s="8">
        <v>600</v>
      </c>
      <c r="E7060" s="8"/>
      <c r="F7060" s="92">
        <f t="shared" si="136"/>
        <v>424069</v>
      </c>
    </row>
    <row r="7061" spans="1:11" x14ac:dyDescent="0.25">
      <c r="A7061" s="204">
        <v>43761</v>
      </c>
      <c r="B7061" s="26" t="s">
        <v>248</v>
      </c>
      <c r="C7061" s="26" t="s">
        <v>2016</v>
      </c>
      <c r="D7061" s="8">
        <v>100</v>
      </c>
      <c r="E7061" s="8"/>
      <c r="F7061" s="92">
        <f t="shared" si="136"/>
        <v>423969</v>
      </c>
    </row>
    <row r="7062" spans="1:11" x14ac:dyDescent="0.25">
      <c r="A7062" s="204">
        <v>43761</v>
      </c>
      <c r="B7062" s="26" t="s">
        <v>1840</v>
      </c>
      <c r="C7062" s="26" t="s">
        <v>5887</v>
      </c>
      <c r="D7062" s="8">
        <v>3000</v>
      </c>
      <c r="E7062" s="8"/>
      <c r="F7062" s="92">
        <f t="shared" si="136"/>
        <v>420969</v>
      </c>
    </row>
    <row r="7063" spans="1:11" x14ac:dyDescent="0.25">
      <c r="A7063" s="204">
        <v>43761</v>
      </c>
      <c r="B7063" s="29" t="s">
        <v>3141</v>
      </c>
      <c r="C7063" s="29" t="s">
        <v>5859</v>
      </c>
      <c r="D7063" s="8">
        <v>6092</v>
      </c>
      <c r="E7063" s="8"/>
      <c r="F7063" s="92">
        <f t="shared" si="136"/>
        <v>414877</v>
      </c>
    </row>
    <row r="7064" spans="1:11" x14ac:dyDescent="0.25">
      <c r="A7064" s="204">
        <v>43761</v>
      </c>
      <c r="B7064" s="26" t="s">
        <v>1515</v>
      </c>
      <c r="C7064" s="26" t="s">
        <v>5860</v>
      </c>
      <c r="D7064" s="8">
        <v>10700</v>
      </c>
      <c r="E7064" s="8"/>
      <c r="F7064" s="92">
        <f t="shared" si="136"/>
        <v>404177</v>
      </c>
      <c r="K7064" s="25"/>
    </row>
    <row r="7065" spans="1:11" x14ac:dyDescent="0.25">
      <c r="A7065" s="204">
        <v>43761</v>
      </c>
      <c r="B7065" s="26" t="s">
        <v>85</v>
      </c>
      <c r="C7065" s="26" t="s">
        <v>5861</v>
      </c>
      <c r="D7065" s="8">
        <v>1000</v>
      </c>
      <c r="E7065" s="8"/>
      <c r="F7065" s="92">
        <f t="shared" si="136"/>
        <v>403177</v>
      </c>
    </row>
    <row r="7066" spans="1:11" x14ac:dyDescent="0.25">
      <c r="A7066" s="204">
        <v>43761</v>
      </c>
      <c r="B7066" s="26" t="s">
        <v>542</v>
      </c>
      <c r="C7066" s="26" t="s">
        <v>5862</v>
      </c>
      <c r="D7066" s="8">
        <v>10500</v>
      </c>
      <c r="E7066" s="8"/>
      <c r="F7066" s="92">
        <f t="shared" si="136"/>
        <v>392677</v>
      </c>
    </row>
    <row r="7067" spans="1:11" x14ac:dyDescent="0.25">
      <c r="A7067" s="204">
        <v>43762</v>
      </c>
      <c r="B7067" s="26" t="s">
        <v>17</v>
      </c>
      <c r="C7067" s="26" t="s">
        <v>295</v>
      </c>
      <c r="D7067" s="8">
        <v>20000</v>
      </c>
      <c r="E7067" s="8"/>
      <c r="F7067" s="92">
        <f t="shared" si="136"/>
        <v>372677</v>
      </c>
    </row>
    <row r="7068" spans="1:11" x14ac:dyDescent="0.25">
      <c r="A7068" s="204">
        <v>43762</v>
      </c>
      <c r="B7068" s="26" t="s">
        <v>3563</v>
      </c>
      <c r="C7068" s="26" t="s">
        <v>5865</v>
      </c>
      <c r="D7068" s="8">
        <v>650</v>
      </c>
      <c r="E7068" s="8"/>
      <c r="F7068" s="92">
        <f t="shared" si="136"/>
        <v>372027</v>
      </c>
    </row>
    <row r="7069" spans="1:11" x14ac:dyDescent="0.25">
      <c r="A7069" s="204">
        <v>43762</v>
      </c>
      <c r="B7069" s="29" t="s">
        <v>542</v>
      </c>
      <c r="C7069" s="138" t="s">
        <v>5866</v>
      </c>
      <c r="D7069" s="8">
        <v>20000</v>
      </c>
      <c r="E7069" s="8"/>
      <c r="F7069" s="92">
        <f t="shared" si="136"/>
        <v>352027</v>
      </c>
    </row>
    <row r="7070" spans="1:11" x14ac:dyDescent="0.25">
      <c r="A7070" s="204">
        <v>43762</v>
      </c>
      <c r="B7070" s="29" t="s">
        <v>58</v>
      </c>
      <c r="C7070" s="29" t="s">
        <v>5867</v>
      </c>
      <c r="D7070" s="8">
        <v>50</v>
      </c>
      <c r="E7070" s="8"/>
      <c r="F7070" s="92">
        <f t="shared" si="136"/>
        <v>351977</v>
      </c>
    </row>
    <row r="7071" spans="1:11" x14ac:dyDescent="0.25">
      <c r="A7071" s="204">
        <v>43762</v>
      </c>
      <c r="B7071" s="29" t="s">
        <v>58</v>
      </c>
      <c r="C7071" s="29" t="s">
        <v>79</v>
      </c>
      <c r="D7071" s="8">
        <v>50</v>
      </c>
      <c r="E7071" s="8"/>
      <c r="F7071" s="92">
        <f t="shared" si="136"/>
        <v>351927</v>
      </c>
    </row>
    <row r="7072" spans="1:11" x14ac:dyDescent="0.25">
      <c r="A7072" s="204">
        <v>43762</v>
      </c>
      <c r="B7072" s="26" t="s">
        <v>0</v>
      </c>
      <c r="C7072" s="26" t="s">
        <v>5868</v>
      </c>
      <c r="D7072" s="8">
        <v>3000</v>
      </c>
      <c r="E7072" s="8"/>
      <c r="F7072" s="92">
        <f t="shared" si="136"/>
        <v>348927</v>
      </c>
    </row>
    <row r="7073" spans="1:6" x14ac:dyDescent="0.25">
      <c r="A7073" s="204">
        <v>43762</v>
      </c>
      <c r="B7073" s="137" t="s">
        <v>5617</v>
      </c>
      <c r="C7073" s="137" t="s">
        <v>5894</v>
      </c>
      <c r="D7073" s="139">
        <v>15000</v>
      </c>
      <c r="E7073" s="8"/>
      <c r="F7073" s="92">
        <f t="shared" si="136"/>
        <v>333927</v>
      </c>
    </row>
    <row r="7074" spans="1:6" x14ac:dyDescent="0.25">
      <c r="A7074" s="204">
        <v>43762</v>
      </c>
      <c r="B7074" s="26" t="s">
        <v>0</v>
      </c>
      <c r="C7074" s="26" t="s">
        <v>5869</v>
      </c>
      <c r="D7074" s="8">
        <v>5000</v>
      </c>
      <c r="E7074" s="8"/>
      <c r="F7074" s="92">
        <f t="shared" si="136"/>
        <v>328927</v>
      </c>
    </row>
    <row r="7075" spans="1:6" x14ac:dyDescent="0.25">
      <c r="A7075" s="204">
        <v>43762</v>
      </c>
      <c r="B7075" s="26" t="s">
        <v>14</v>
      </c>
      <c r="C7075" s="26" t="s">
        <v>295</v>
      </c>
      <c r="D7075" s="8">
        <v>15000</v>
      </c>
      <c r="E7075" s="8"/>
      <c r="F7075" s="92">
        <f t="shared" si="136"/>
        <v>313927</v>
      </c>
    </row>
    <row r="7076" spans="1:6" x14ac:dyDescent="0.25">
      <c r="A7076" s="204">
        <v>43762</v>
      </c>
      <c r="B7076" s="29" t="s">
        <v>5677</v>
      </c>
      <c r="C7076" s="252" t="s">
        <v>5871</v>
      </c>
      <c r="D7076" s="8">
        <v>7500</v>
      </c>
      <c r="E7076" s="8"/>
      <c r="F7076" s="92">
        <f t="shared" si="136"/>
        <v>306427</v>
      </c>
    </row>
    <row r="7077" spans="1:6" x14ac:dyDescent="0.25">
      <c r="A7077" s="204">
        <v>43763</v>
      </c>
      <c r="B7077" s="452" t="s">
        <v>5872</v>
      </c>
      <c r="C7077" s="452"/>
      <c r="D7077" s="452"/>
      <c r="E7077" s="98">
        <v>2100</v>
      </c>
      <c r="F7077" s="92">
        <f t="shared" si="136"/>
        <v>308527</v>
      </c>
    </row>
    <row r="7078" spans="1:6" x14ac:dyDescent="0.25">
      <c r="A7078" s="204">
        <v>43763</v>
      </c>
      <c r="B7078" s="29" t="s">
        <v>5873</v>
      </c>
      <c r="C7078" s="29" t="s">
        <v>5874</v>
      </c>
      <c r="D7078" s="8">
        <v>8000</v>
      </c>
      <c r="E7078" s="8"/>
      <c r="F7078" s="92">
        <f t="shared" si="136"/>
        <v>300527</v>
      </c>
    </row>
    <row r="7079" spans="1:6" x14ac:dyDescent="0.25">
      <c r="A7079" s="204">
        <v>43763</v>
      </c>
      <c r="B7079" s="29" t="s">
        <v>2597</v>
      </c>
      <c r="C7079" s="29" t="s">
        <v>4297</v>
      </c>
      <c r="D7079" s="8">
        <v>12000</v>
      </c>
      <c r="E7079" s="8"/>
      <c r="F7079" s="92">
        <f t="shared" si="136"/>
        <v>288527</v>
      </c>
    </row>
    <row r="7080" spans="1:6" x14ac:dyDescent="0.25">
      <c r="A7080" s="204">
        <v>43763</v>
      </c>
      <c r="B7080" s="26" t="s">
        <v>5875</v>
      </c>
      <c r="C7080" s="26" t="s">
        <v>439</v>
      </c>
      <c r="D7080" s="8">
        <v>75000</v>
      </c>
      <c r="E7080" s="8"/>
      <c r="F7080" s="92">
        <f t="shared" si="136"/>
        <v>213527</v>
      </c>
    </row>
    <row r="7081" spans="1:6" x14ac:dyDescent="0.25">
      <c r="A7081" s="204">
        <v>43763</v>
      </c>
      <c r="B7081" s="26" t="s">
        <v>3141</v>
      </c>
      <c r="C7081" s="26" t="s">
        <v>5876</v>
      </c>
      <c r="D7081" s="8">
        <v>6850</v>
      </c>
      <c r="E7081" s="8"/>
      <c r="F7081" s="92">
        <f t="shared" si="136"/>
        <v>206677</v>
      </c>
    </row>
    <row r="7082" spans="1:6" x14ac:dyDescent="0.25">
      <c r="A7082" s="204">
        <v>43763</v>
      </c>
      <c r="B7082" s="26" t="s">
        <v>26</v>
      </c>
      <c r="C7082" s="26" t="s">
        <v>5878</v>
      </c>
      <c r="D7082" s="8">
        <f>400+40+40+270+93+300+110+310+115+310+220+50+180+210+80+250+90+45+90</f>
        <v>3203</v>
      </c>
      <c r="E7082" s="8"/>
      <c r="F7082" s="92">
        <f t="shared" si="136"/>
        <v>203474</v>
      </c>
    </row>
    <row r="7083" spans="1:6" x14ac:dyDescent="0.25">
      <c r="A7083" s="204">
        <v>43764</v>
      </c>
      <c r="B7083" s="29" t="s">
        <v>4776</v>
      </c>
      <c r="C7083" s="29" t="s">
        <v>295</v>
      </c>
      <c r="D7083" s="8">
        <v>25000</v>
      </c>
      <c r="E7083" s="8"/>
      <c r="F7083" s="92">
        <f t="shared" si="136"/>
        <v>178474</v>
      </c>
    </row>
    <row r="7084" spans="1:6" x14ac:dyDescent="0.25">
      <c r="A7084" s="204">
        <v>43764</v>
      </c>
      <c r="B7084" s="29" t="s">
        <v>2597</v>
      </c>
      <c r="C7084" s="29" t="s">
        <v>295</v>
      </c>
      <c r="D7084" s="8">
        <v>20000</v>
      </c>
      <c r="E7084" s="8"/>
      <c r="F7084" s="92">
        <f t="shared" si="136"/>
        <v>158474</v>
      </c>
    </row>
    <row r="7085" spans="1:6" x14ac:dyDescent="0.25">
      <c r="A7085" s="204">
        <v>43764</v>
      </c>
      <c r="B7085" s="29" t="s">
        <v>5767</v>
      </c>
      <c r="C7085" s="29" t="s">
        <v>5879</v>
      </c>
      <c r="D7085" s="8">
        <v>1000</v>
      </c>
      <c r="E7085" s="8"/>
      <c r="F7085" s="92">
        <f t="shared" si="136"/>
        <v>157474</v>
      </c>
    </row>
    <row r="7086" spans="1:6" x14ac:dyDescent="0.25">
      <c r="A7086" s="204">
        <v>43764</v>
      </c>
      <c r="B7086" s="26" t="s">
        <v>85</v>
      </c>
      <c r="C7086" s="26" t="s">
        <v>5880</v>
      </c>
      <c r="D7086" s="8">
        <v>1000</v>
      </c>
      <c r="E7086" s="8"/>
      <c r="F7086" s="92">
        <f t="shared" ref="F7086:F7115" si="137">F7085-D7086+E7086</f>
        <v>156474</v>
      </c>
    </row>
    <row r="7087" spans="1:6" x14ac:dyDescent="0.25">
      <c r="A7087" s="204">
        <v>43766</v>
      </c>
      <c r="B7087" s="29" t="s">
        <v>5767</v>
      </c>
      <c r="C7087" s="29" t="s">
        <v>4191</v>
      </c>
      <c r="D7087" s="8">
        <v>350</v>
      </c>
      <c r="E7087" s="8"/>
      <c r="F7087" s="92">
        <f t="shared" si="137"/>
        <v>156124</v>
      </c>
    </row>
    <row r="7088" spans="1:6" x14ac:dyDescent="0.25">
      <c r="A7088" s="204">
        <v>43766</v>
      </c>
      <c r="B7088" s="26" t="s">
        <v>17</v>
      </c>
      <c r="C7088" s="26" t="s">
        <v>5881</v>
      </c>
      <c r="D7088" s="8">
        <v>25000</v>
      </c>
      <c r="E7088" s="8"/>
      <c r="F7088" s="92">
        <f t="shared" si="137"/>
        <v>131124</v>
      </c>
    </row>
    <row r="7089" spans="1:6" x14ac:dyDescent="0.25">
      <c r="A7089" s="204">
        <v>43766</v>
      </c>
      <c r="B7089" s="26" t="s">
        <v>0</v>
      </c>
      <c r="C7089" s="26" t="s">
        <v>3186</v>
      </c>
      <c r="D7089" s="8">
        <f>15000-7650</f>
        <v>7350</v>
      </c>
      <c r="E7089" s="8"/>
      <c r="F7089" s="92">
        <f t="shared" si="137"/>
        <v>123774</v>
      </c>
    </row>
    <row r="7090" spans="1:6" x14ac:dyDescent="0.25">
      <c r="A7090" s="204">
        <v>43766</v>
      </c>
      <c r="B7090" s="26" t="s">
        <v>85</v>
      </c>
      <c r="C7090" s="26" t="s">
        <v>5882</v>
      </c>
      <c r="D7090" s="8">
        <v>1000</v>
      </c>
      <c r="E7090" s="8"/>
      <c r="F7090" s="92">
        <f t="shared" si="137"/>
        <v>122774</v>
      </c>
    </row>
    <row r="7091" spans="1:6" x14ac:dyDescent="0.25">
      <c r="A7091" s="204">
        <v>43767</v>
      </c>
      <c r="B7091" s="26" t="s">
        <v>85</v>
      </c>
      <c r="C7091" s="26" t="s">
        <v>5883</v>
      </c>
      <c r="D7091" s="8">
        <v>2000</v>
      </c>
      <c r="E7091" s="8"/>
      <c r="F7091" s="92">
        <f t="shared" si="137"/>
        <v>120774</v>
      </c>
    </row>
    <row r="7092" spans="1:6" x14ac:dyDescent="0.25">
      <c r="A7092" s="204">
        <v>43767</v>
      </c>
      <c r="B7092" s="137" t="s">
        <v>5884</v>
      </c>
      <c r="C7092" s="137" t="s">
        <v>5885</v>
      </c>
      <c r="D7092" s="8">
        <v>15000</v>
      </c>
      <c r="E7092" s="8"/>
      <c r="F7092" s="92">
        <f t="shared" si="137"/>
        <v>105774</v>
      </c>
    </row>
    <row r="7093" spans="1:6" x14ac:dyDescent="0.25">
      <c r="A7093" s="204">
        <v>43767</v>
      </c>
      <c r="B7093" s="26" t="s">
        <v>55</v>
      </c>
      <c r="C7093" s="26" t="s">
        <v>5886</v>
      </c>
      <c r="D7093" s="8">
        <v>15000</v>
      </c>
      <c r="E7093" s="8"/>
      <c r="F7093" s="92">
        <f t="shared" si="137"/>
        <v>90774</v>
      </c>
    </row>
    <row r="7094" spans="1:6" x14ac:dyDescent="0.25">
      <c r="A7094" s="204">
        <v>43767</v>
      </c>
      <c r="B7094" s="26" t="s">
        <v>17</v>
      </c>
      <c r="C7094" s="137" t="s">
        <v>5888</v>
      </c>
      <c r="D7094" s="8">
        <v>5000</v>
      </c>
      <c r="E7094" s="8"/>
      <c r="F7094" s="92">
        <f t="shared" si="137"/>
        <v>85774</v>
      </c>
    </row>
    <row r="7095" spans="1:6" x14ac:dyDescent="0.25">
      <c r="A7095" s="204">
        <v>43767</v>
      </c>
      <c r="B7095" s="29" t="s">
        <v>2597</v>
      </c>
      <c r="C7095" s="29" t="s">
        <v>5889</v>
      </c>
      <c r="D7095" s="8">
        <v>2000</v>
      </c>
      <c r="E7095" s="8"/>
      <c r="F7095" s="92">
        <f t="shared" si="137"/>
        <v>83774</v>
      </c>
    </row>
    <row r="7096" spans="1:6" x14ac:dyDescent="0.25">
      <c r="A7096" s="204">
        <v>43767</v>
      </c>
      <c r="B7096" s="26" t="s">
        <v>2266</v>
      </c>
      <c r="C7096" s="26" t="s">
        <v>5890</v>
      </c>
      <c r="D7096" s="8">
        <v>450</v>
      </c>
      <c r="E7096" s="8"/>
      <c r="F7096" s="92">
        <f t="shared" si="137"/>
        <v>83324</v>
      </c>
    </row>
    <row r="7097" spans="1:6" x14ac:dyDescent="0.25">
      <c r="A7097" s="204">
        <v>43767</v>
      </c>
      <c r="B7097" s="26" t="s">
        <v>1619</v>
      </c>
      <c r="C7097" s="26" t="s">
        <v>5891</v>
      </c>
      <c r="D7097" s="8">
        <v>550</v>
      </c>
      <c r="E7097" s="8"/>
      <c r="F7097" s="92">
        <f t="shared" si="137"/>
        <v>82774</v>
      </c>
    </row>
    <row r="7098" spans="1:6" x14ac:dyDescent="0.25">
      <c r="A7098" s="204">
        <v>43767</v>
      </c>
      <c r="B7098" s="26" t="s">
        <v>4778</v>
      </c>
      <c r="C7098" s="26" t="s">
        <v>295</v>
      </c>
      <c r="D7098" s="8">
        <v>11300</v>
      </c>
      <c r="E7098" s="8"/>
      <c r="F7098" s="92">
        <f t="shared" si="137"/>
        <v>71474</v>
      </c>
    </row>
    <row r="7099" spans="1:6" x14ac:dyDescent="0.25">
      <c r="A7099" s="204">
        <v>43767</v>
      </c>
      <c r="B7099" s="46" t="s">
        <v>694</v>
      </c>
      <c r="C7099" s="46" t="s">
        <v>5896</v>
      </c>
      <c r="D7099" s="140">
        <v>860</v>
      </c>
      <c r="E7099" s="8"/>
      <c r="F7099" s="92">
        <f t="shared" si="137"/>
        <v>70614</v>
      </c>
    </row>
    <row r="7100" spans="1:6" x14ac:dyDescent="0.25">
      <c r="A7100" s="204">
        <v>43767</v>
      </c>
      <c r="B7100" s="46" t="s">
        <v>5892</v>
      </c>
      <c r="C7100" s="46" t="s">
        <v>31</v>
      </c>
      <c r="D7100" s="140">
        <v>50</v>
      </c>
      <c r="E7100" s="8"/>
      <c r="F7100" s="92">
        <f t="shared" si="137"/>
        <v>70564</v>
      </c>
    </row>
    <row r="7101" spans="1:6" x14ac:dyDescent="0.25">
      <c r="A7101" s="204">
        <v>43767</v>
      </c>
      <c r="B7101" s="46" t="s">
        <v>248</v>
      </c>
      <c r="C7101" s="46" t="s">
        <v>31</v>
      </c>
      <c r="D7101" s="140">
        <v>100</v>
      </c>
      <c r="E7101" s="8"/>
      <c r="F7101" s="92">
        <f t="shared" si="137"/>
        <v>70464</v>
      </c>
    </row>
    <row r="7102" spans="1:6" x14ac:dyDescent="0.25">
      <c r="A7102" s="204">
        <v>43768</v>
      </c>
      <c r="B7102" s="26" t="s">
        <v>85</v>
      </c>
      <c r="C7102" s="26" t="s">
        <v>5893</v>
      </c>
      <c r="D7102" s="8">
        <v>1000</v>
      </c>
      <c r="E7102" s="8"/>
      <c r="F7102" s="92">
        <f t="shared" si="137"/>
        <v>69464</v>
      </c>
    </row>
    <row r="7103" spans="1:6" x14ac:dyDescent="0.25">
      <c r="A7103" s="204">
        <v>43768</v>
      </c>
      <c r="B7103" s="452" t="s">
        <v>5872</v>
      </c>
      <c r="C7103" s="452"/>
      <c r="D7103" s="452"/>
      <c r="E7103" s="98">
        <v>1500</v>
      </c>
      <c r="F7103" s="92">
        <f t="shared" si="137"/>
        <v>70964</v>
      </c>
    </row>
    <row r="7104" spans="1:6" x14ac:dyDescent="0.25">
      <c r="A7104" s="204">
        <v>43768</v>
      </c>
      <c r="B7104" s="40" t="s">
        <v>2597</v>
      </c>
      <c r="C7104" s="40" t="s">
        <v>5897</v>
      </c>
      <c r="D7104" s="8">
        <v>35000</v>
      </c>
      <c r="E7104" s="8"/>
      <c r="F7104" s="92">
        <f t="shared" si="137"/>
        <v>35964</v>
      </c>
    </row>
    <row r="7105" spans="1:6" x14ac:dyDescent="0.25">
      <c r="A7105" s="204">
        <v>43769</v>
      </c>
      <c r="B7105" s="26" t="s">
        <v>26</v>
      </c>
      <c r="C7105" s="26" t="s">
        <v>5898</v>
      </c>
      <c r="D7105" s="8">
        <f>34+400+90+80+230+30+250+50+270+100+120+160+260+220+90+270</f>
        <v>2654</v>
      </c>
      <c r="E7105" s="8"/>
      <c r="F7105" s="92">
        <f t="shared" si="137"/>
        <v>33310</v>
      </c>
    </row>
    <row r="7106" spans="1:6" x14ac:dyDescent="0.25">
      <c r="A7106" s="204">
        <v>43769</v>
      </c>
      <c r="B7106" s="26" t="s">
        <v>85</v>
      </c>
      <c r="C7106" s="26" t="s">
        <v>5899</v>
      </c>
      <c r="D7106" s="8">
        <v>1100</v>
      </c>
      <c r="E7106" s="8"/>
      <c r="F7106" s="92">
        <f t="shared" si="137"/>
        <v>32210</v>
      </c>
    </row>
    <row r="7107" spans="1:6" x14ac:dyDescent="0.25">
      <c r="A7107" s="204">
        <v>43769</v>
      </c>
      <c r="B7107" s="26" t="s">
        <v>248</v>
      </c>
      <c r="C7107" s="26" t="s">
        <v>5908</v>
      </c>
      <c r="D7107" s="8">
        <v>100</v>
      </c>
      <c r="E7107" s="8"/>
      <c r="F7107" s="92">
        <f t="shared" si="137"/>
        <v>32110</v>
      </c>
    </row>
    <row r="7108" spans="1:6" x14ac:dyDescent="0.25">
      <c r="A7108" s="204">
        <v>43769</v>
      </c>
      <c r="B7108" s="26" t="s">
        <v>248</v>
      </c>
      <c r="C7108" s="26" t="s">
        <v>5909</v>
      </c>
      <c r="D7108" s="8">
        <v>200</v>
      </c>
      <c r="E7108" s="8"/>
      <c r="F7108" s="92">
        <f t="shared" si="137"/>
        <v>31910</v>
      </c>
    </row>
    <row r="7109" spans="1:6" x14ac:dyDescent="0.25">
      <c r="A7109" s="204">
        <v>43769</v>
      </c>
      <c r="B7109" s="29" t="s">
        <v>5901</v>
      </c>
      <c r="C7109" s="29" t="s">
        <v>5902</v>
      </c>
      <c r="D7109" s="8">
        <v>5000</v>
      </c>
      <c r="E7109" s="8"/>
      <c r="F7109" s="92">
        <f t="shared" si="137"/>
        <v>26910</v>
      </c>
    </row>
    <row r="7110" spans="1:6" x14ac:dyDescent="0.25">
      <c r="A7110" s="204">
        <v>43769</v>
      </c>
      <c r="B7110" s="29" t="s">
        <v>4776</v>
      </c>
      <c r="C7110" s="29" t="s">
        <v>5903</v>
      </c>
      <c r="D7110" s="8">
        <v>19000</v>
      </c>
      <c r="E7110" s="8"/>
      <c r="F7110" s="92">
        <f t="shared" si="137"/>
        <v>7910</v>
      </c>
    </row>
    <row r="7111" spans="1:6" x14ac:dyDescent="0.25">
      <c r="A7111" s="204">
        <v>43768</v>
      </c>
      <c r="B7111" s="452" t="s">
        <v>5907</v>
      </c>
      <c r="C7111" s="452"/>
      <c r="D7111" s="452"/>
      <c r="E7111" s="98">
        <v>200000</v>
      </c>
      <c r="F7111" s="92">
        <f t="shared" si="137"/>
        <v>207910</v>
      </c>
    </row>
    <row r="7112" spans="1:6" x14ac:dyDescent="0.25">
      <c r="A7112" s="204">
        <v>43769</v>
      </c>
      <c r="B7112" s="26" t="s">
        <v>2597</v>
      </c>
      <c r="C7112" s="26" t="s">
        <v>5910</v>
      </c>
      <c r="D7112" s="8">
        <v>100000</v>
      </c>
      <c r="E7112" s="8"/>
      <c r="F7112" s="92">
        <f t="shared" si="137"/>
        <v>107910</v>
      </c>
    </row>
    <row r="7113" spans="1:6" x14ac:dyDescent="0.25">
      <c r="A7113" s="204">
        <v>43769</v>
      </c>
      <c r="B7113" s="26" t="s">
        <v>1619</v>
      </c>
      <c r="C7113" s="26" t="s">
        <v>5911</v>
      </c>
      <c r="D7113" s="8">
        <v>3000</v>
      </c>
      <c r="E7113" s="8"/>
      <c r="F7113" s="92">
        <f t="shared" si="137"/>
        <v>104910</v>
      </c>
    </row>
    <row r="7114" spans="1:6" x14ac:dyDescent="0.25">
      <c r="A7114" s="204">
        <v>43769</v>
      </c>
      <c r="B7114" s="26" t="s">
        <v>2573</v>
      </c>
      <c r="C7114" s="26" t="s">
        <v>5912</v>
      </c>
      <c r="D7114" s="8">
        <v>580</v>
      </c>
      <c r="E7114" s="8"/>
      <c r="F7114" s="92">
        <f t="shared" si="137"/>
        <v>104330</v>
      </c>
    </row>
    <row r="7115" spans="1:6" x14ac:dyDescent="0.25">
      <c r="A7115" s="204">
        <v>43769</v>
      </c>
      <c r="B7115" s="137" t="s">
        <v>5917</v>
      </c>
      <c r="C7115" s="137" t="s">
        <v>5918</v>
      </c>
      <c r="D7115" s="8">
        <v>13000</v>
      </c>
      <c r="E7115" s="8"/>
      <c r="F7115" s="92">
        <f t="shared" si="137"/>
        <v>91330</v>
      </c>
    </row>
    <row r="7116" spans="1:6" x14ac:dyDescent="0.25">
      <c r="A7116" s="204">
        <v>43770</v>
      </c>
      <c r="B7116" s="26" t="s">
        <v>2597</v>
      </c>
      <c r="C7116" s="26" t="s">
        <v>5910</v>
      </c>
      <c r="D7116" s="8">
        <v>1500</v>
      </c>
      <c r="E7116" s="8"/>
      <c r="F7116" s="92">
        <f t="shared" ref="F7116:F7180" si="138">F7115-D7116+E7116</f>
        <v>89830</v>
      </c>
    </row>
    <row r="7117" spans="1:6" x14ac:dyDescent="0.25">
      <c r="A7117" s="204">
        <v>43770</v>
      </c>
      <c r="B7117" s="26" t="s">
        <v>55</v>
      </c>
      <c r="C7117" s="26" t="s">
        <v>5913</v>
      </c>
      <c r="D7117" s="8">
        <v>15750</v>
      </c>
      <c r="E7117" s="8"/>
      <c r="F7117" s="92">
        <f t="shared" si="138"/>
        <v>74080</v>
      </c>
    </row>
    <row r="7118" spans="1:6" x14ac:dyDescent="0.25">
      <c r="A7118" s="204">
        <v>43770</v>
      </c>
      <c r="B7118" s="26" t="s">
        <v>1413</v>
      </c>
      <c r="C7118" s="26" t="s">
        <v>5914</v>
      </c>
      <c r="D7118" s="8">
        <v>12000</v>
      </c>
      <c r="E7118" s="8"/>
      <c r="F7118" s="92">
        <f t="shared" si="138"/>
        <v>62080</v>
      </c>
    </row>
    <row r="7119" spans="1:6" x14ac:dyDescent="0.25">
      <c r="A7119" s="204">
        <v>43770</v>
      </c>
      <c r="B7119" s="26" t="s">
        <v>85</v>
      </c>
      <c r="C7119" s="26" t="s">
        <v>5915</v>
      </c>
      <c r="D7119" s="8">
        <v>10000</v>
      </c>
      <c r="E7119" s="8"/>
      <c r="F7119" s="92">
        <f t="shared" si="138"/>
        <v>52080</v>
      </c>
    </row>
    <row r="7120" spans="1:6" x14ac:dyDescent="0.25">
      <c r="A7120" s="204">
        <v>43771</v>
      </c>
      <c r="B7120" s="26" t="s">
        <v>5140</v>
      </c>
      <c r="C7120" s="26" t="s">
        <v>5916</v>
      </c>
      <c r="D7120" s="8">
        <v>4200</v>
      </c>
      <c r="E7120" s="8"/>
      <c r="F7120" s="92">
        <f t="shared" si="138"/>
        <v>47880</v>
      </c>
    </row>
    <row r="7121" spans="1:6" x14ac:dyDescent="0.25">
      <c r="A7121" s="204">
        <v>43771</v>
      </c>
      <c r="B7121" s="26" t="s">
        <v>14</v>
      </c>
      <c r="C7121" s="26" t="s">
        <v>295</v>
      </c>
      <c r="D7121" s="8">
        <v>40000</v>
      </c>
      <c r="E7121" s="8"/>
      <c r="F7121" s="92">
        <f t="shared" si="138"/>
        <v>7880</v>
      </c>
    </row>
    <row r="7122" spans="1:6" x14ac:dyDescent="0.25">
      <c r="A7122" s="204">
        <v>43771</v>
      </c>
      <c r="B7122" s="29" t="s">
        <v>26</v>
      </c>
      <c r="C7122" s="29" t="s">
        <v>5924</v>
      </c>
      <c r="D7122" s="8">
        <v>100</v>
      </c>
      <c r="E7122" s="8"/>
      <c r="F7122" s="92">
        <f t="shared" si="138"/>
        <v>7780</v>
      </c>
    </row>
    <row r="7123" spans="1:6" x14ac:dyDescent="0.25">
      <c r="A7123" s="204">
        <v>43771</v>
      </c>
      <c r="B7123" s="29" t="s">
        <v>1515</v>
      </c>
      <c r="C7123" s="29" t="s">
        <v>5919</v>
      </c>
      <c r="D7123" s="8">
        <v>3000</v>
      </c>
      <c r="E7123" s="8"/>
      <c r="F7123" s="92">
        <f t="shared" si="138"/>
        <v>4780</v>
      </c>
    </row>
    <row r="7124" spans="1:6" x14ac:dyDescent="0.25">
      <c r="A7124" s="204">
        <v>43773</v>
      </c>
      <c r="B7124" s="452" t="s">
        <v>4333</v>
      </c>
      <c r="C7124" s="452"/>
      <c r="D7124" s="452"/>
      <c r="E7124" s="98">
        <v>30000</v>
      </c>
      <c r="F7124" s="92">
        <f t="shared" si="138"/>
        <v>34780</v>
      </c>
    </row>
    <row r="7125" spans="1:6" x14ac:dyDescent="0.25">
      <c r="A7125" s="204">
        <v>43773</v>
      </c>
      <c r="B7125" s="452" t="s">
        <v>4333</v>
      </c>
      <c r="C7125" s="452"/>
      <c r="D7125" s="452"/>
      <c r="E7125" s="98">
        <v>35000</v>
      </c>
      <c r="F7125" s="92">
        <f t="shared" si="138"/>
        <v>69780</v>
      </c>
    </row>
    <row r="7126" spans="1:6" x14ac:dyDescent="0.25">
      <c r="A7126" s="204">
        <v>43773</v>
      </c>
      <c r="B7126" s="26" t="s">
        <v>2597</v>
      </c>
      <c r="C7126" s="26" t="s">
        <v>5920</v>
      </c>
      <c r="D7126" s="8">
        <v>65000</v>
      </c>
      <c r="E7126" s="8"/>
      <c r="F7126" s="92">
        <f t="shared" si="138"/>
        <v>4780</v>
      </c>
    </row>
    <row r="7127" spans="1:6" x14ac:dyDescent="0.25">
      <c r="A7127" s="204">
        <v>43774</v>
      </c>
      <c r="B7127" s="29" t="s">
        <v>26</v>
      </c>
      <c r="C7127" s="29" t="s">
        <v>5921</v>
      </c>
      <c r="D7127" s="8">
        <v>180</v>
      </c>
      <c r="E7127" s="8"/>
      <c r="F7127" s="92">
        <f t="shared" si="138"/>
        <v>4600</v>
      </c>
    </row>
    <row r="7128" spans="1:6" x14ac:dyDescent="0.25">
      <c r="A7128" s="204">
        <v>43774</v>
      </c>
      <c r="B7128" s="29" t="s">
        <v>26</v>
      </c>
      <c r="C7128" s="29" t="s">
        <v>5922</v>
      </c>
      <c r="D7128" s="8">
        <f>310+20</f>
        <v>330</v>
      </c>
      <c r="E7128" s="8"/>
      <c r="F7128" s="92">
        <f t="shared" si="138"/>
        <v>4270</v>
      </c>
    </row>
    <row r="7129" spans="1:6" x14ac:dyDescent="0.25">
      <c r="A7129" s="204">
        <v>43774</v>
      </c>
      <c r="B7129" s="452" t="s">
        <v>5927</v>
      </c>
      <c r="C7129" s="452"/>
      <c r="D7129" s="452"/>
      <c r="E7129" s="98">
        <v>800000</v>
      </c>
      <c r="F7129" s="92">
        <f t="shared" si="138"/>
        <v>804270</v>
      </c>
    </row>
    <row r="7130" spans="1:6" x14ac:dyDescent="0.25">
      <c r="A7130" s="204">
        <v>43774</v>
      </c>
      <c r="B7130" s="452" t="s">
        <v>5927</v>
      </c>
      <c r="C7130" s="452"/>
      <c r="D7130" s="452"/>
      <c r="E7130" s="98">
        <v>300000</v>
      </c>
      <c r="F7130" s="92">
        <f t="shared" si="138"/>
        <v>1104270</v>
      </c>
    </row>
    <row r="7131" spans="1:6" x14ac:dyDescent="0.25">
      <c r="A7131" s="204">
        <v>43774</v>
      </c>
      <c r="B7131" s="452" t="s">
        <v>5927</v>
      </c>
      <c r="C7131" s="452"/>
      <c r="D7131" s="452"/>
      <c r="E7131" s="98">
        <v>330000</v>
      </c>
      <c r="F7131" s="92">
        <f t="shared" si="138"/>
        <v>1434270</v>
      </c>
    </row>
    <row r="7132" spans="1:6" x14ac:dyDescent="0.25">
      <c r="A7132" s="204">
        <v>43774</v>
      </c>
      <c r="B7132" s="26" t="s">
        <v>85</v>
      </c>
      <c r="C7132" s="26" t="s">
        <v>5923</v>
      </c>
      <c r="D7132" s="8">
        <v>2000</v>
      </c>
      <c r="E7132" s="8"/>
      <c r="F7132" s="92">
        <f t="shared" si="138"/>
        <v>1432270</v>
      </c>
    </row>
    <row r="7133" spans="1:6" x14ac:dyDescent="0.25">
      <c r="A7133" s="204">
        <v>43774</v>
      </c>
      <c r="B7133" s="26" t="s">
        <v>85</v>
      </c>
      <c r="C7133" s="26" t="s">
        <v>5925</v>
      </c>
      <c r="D7133" s="8">
        <v>10000</v>
      </c>
      <c r="E7133" s="8"/>
      <c r="F7133" s="92">
        <f t="shared" si="138"/>
        <v>1422270</v>
      </c>
    </row>
    <row r="7134" spans="1:6" x14ac:dyDescent="0.25">
      <c r="A7134" s="204">
        <v>43775</v>
      </c>
      <c r="B7134" s="26" t="s">
        <v>26</v>
      </c>
      <c r="C7134" s="26" t="s">
        <v>5926</v>
      </c>
      <c r="D7134" s="8">
        <f>400+170+180+110+54+300+50</f>
        <v>1264</v>
      </c>
      <c r="E7134" s="8"/>
      <c r="F7134" s="92">
        <f t="shared" si="138"/>
        <v>1421006</v>
      </c>
    </row>
    <row r="7135" spans="1:6" x14ac:dyDescent="0.25">
      <c r="A7135" s="204">
        <v>43775</v>
      </c>
      <c r="B7135" s="29" t="s">
        <v>5479</v>
      </c>
      <c r="C7135" s="29" t="s">
        <v>5490</v>
      </c>
      <c r="D7135" s="8">
        <v>450</v>
      </c>
      <c r="E7135" s="8"/>
      <c r="F7135" s="92">
        <f t="shared" si="138"/>
        <v>1420556</v>
      </c>
    </row>
    <row r="7136" spans="1:6" x14ac:dyDescent="0.25">
      <c r="A7136" s="204">
        <v>43775</v>
      </c>
      <c r="B7136" s="29" t="s">
        <v>5479</v>
      </c>
      <c r="C7136" s="29" t="s">
        <v>5490</v>
      </c>
      <c r="D7136" s="8">
        <v>450</v>
      </c>
      <c r="E7136" s="8"/>
      <c r="F7136" s="92">
        <f t="shared" si="138"/>
        <v>1420106</v>
      </c>
    </row>
    <row r="7137" spans="1:7" x14ac:dyDescent="0.25">
      <c r="A7137" s="204">
        <v>43774</v>
      </c>
      <c r="B7137" s="456" t="s">
        <v>5943</v>
      </c>
      <c r="C7137" s="457"/>
      <c r="D7137" s="458"/>
      <c r="E7137" s="98">
        <v>178624</v>
      </c>
      <c r="F7137" s="92">
        <f t="shared" si="138"/>
        <v>1598730</v>
      </c>
    </row>
    <row r="7138" spans="1:7" x14ac:dyDescent="0.25">
      <c r="A7138" s="204">
        <v>43775</v>
      </c>
      <c r="B7138" s="29" t="s">
        <v>5585</v>
      </c>
      <c r="C7138" s="29" t="s">
        <v>3336</v>
      </c>
      <c r="D7138" s="8">
        <v>1380872</v>
      </c>
      <c r="E7138" s="8"/>
      <c r="F7138" s="92">
        <f t="shared" si="138"/>
        <v>217858</v>
      </c>
    </row>
    <row r="7139" spans="1:7" x14ac:dyDescent="0.25">
      <c r="A7139" s="204">
        <v>43775</v>
      </c>
      <c r="B7139" s="26" t="s">
        <v>55</v>
      </c>
      <c r="C7139" s="26" t="s">
        <v>5928</v>
      </c>
      <c r="D7139" s="8">
        <v>20000</v>
      </c>
      <c r="E7139" s="8"/>
      <c r="F7139" s="92">
        <f t="shared" si="138"/>
        <v>197858</v>
      </c>
    </row>
    <row r="7140" spans="1:7" x14ac:dyDescent="0.25">
      <c r="A7140" s="204">
        <v>43775</v>
      </c>
      <c r="B7140" s="26" t="s">
        <v>26</v>
      </c>
      <c r="C7140" s="26" t="s">
        <v>5929</v>
      </c>
      <c r="D7140" s="8">
        <v>1000</v>
      </c>
      <c r="E7140" s="8"/>
      <c r="F7140" s="92">
        <f t="shared" si="138"/>
        <v>196858</v>
      </c>
    </row>
    <row r="7141" spans="1:7" x14ac:dyDescent="0.25">
      <c r="A7141" s="204">
        <v>43775</v>
      </c>
      <c r="B7141" s="26" t="s">
        <v>26</v>
      </c>
      <c r="C7141" s="26" t="s">
        <v>5926</v>
      </c>
      <c r="D7141" s="8">
        <v>500</v>
      </c>
      <c r="E7141" s="8"/>
      <c r="F7141" s="92">
        <f t="shared" si="138"/>
        <v>196358</v>
      </c>
    </row>
    <row r="7142" spans="1:7" x14ac:dyDescent="0.25">
      <c r="A7142" s="204">
        <v>43775</v>
      </c>
      <c r="B7142" s="26" t="s">
        <v>0</v>
      </c>
      <c r="C7142" s="26" t="s">
        <v>5427</v>
      </c>
      <c r="D7142" s="8">
        <v>10000</v>
      </c>
      <c r="E7142" s="8"/>
      <c r="F7142" s="92">
        <f t="shared" si="138"/>
        <v>186358</v>
      </c>
    </row>
    <row r="7143" spans="1:7" x14ac:dyDescent="0.25">
      <c r="A7143" s="204">
        <v>43775</v>
      </c>
      <c r="B7143" s="26" t="s">
        <v>85</v>
      </c>
      <c r="C7143" s="26" t="s">
        <v>5930</v>
      </c>
      <c r="D7143" s="8">
        <v>5000</v>
      </c>
      <c r="E7143" s="8"/>
      <c r="F7143" s="92">
        <f t="shared" si="138"/>
        <v>181358</v>
      </c>
    </row>
    <row r="7144" spans="1:7" x14ac:dyDescent="0.25">
      <c r="A7144" s="204">
        <v>43775</v>
      </c>
      <c r="B7144" s="29" t="s">
        <v>26</v>
      </c>
      <c r="C7144" s="29" t="s">
        <v>5102</v>
      </c>
      <c r="D7144" s="8">
        <v>2500</v>
      </c>
      <c r="E7144" s="8"/>
      <c r="F7144" s="92">
        <f t="shared" si="138"/>
        <v>178858</v>
      </c>
    </row>
    <row r="7145" spans="1:7" x14ac:dyDescent="0.25">
      <c r="A7145" s="204">
        <v>43775</v>
      </c>
      <c r="B7145" s="29" t="s">
        <v>26</v>
      </c>
      <c r="C7145" s="29" t="s">
        <v>5931</v>
      </c>
      <c r="D7145" s="8">
        <v>2000</v>
      </c>
      <c r="E7145" s="8"/>
      <c r="F7145" s="92">
        <f t="shared" si="138"/>
        <v>176858</v>
      </c>
    </row>
    <row r="7146" spans="1:7" x14ac:dyDescent="0.25">
      <c r="A7146" s="204">
        <v>43775</v>
      </c>
      <c r="B7146" s="26" t="s">
        <v>5863</v>
      </c>
      <c r="C7146" s="26" t="s">
        <v>5932</v>
      </c>
      <c r="D7146" s="8">
        <v>20000</v>
      </c>
      <c r="E7146" s="8"/>
      <c r="F7146" s="92">
        <f t="shared" si="138"/>
        <v>156858</v>
      </c>
    </row>
    <row r="7147" spans="1:7" x14ac:dyDescent="0.25">
      <c r="A7147" s="204">
        <v>43775</v>
      </c>
      <c r="B7147" s="26" t="s">
        <v>85</v>
      </c>
      <c r="C7147" s="26" t="s">
        <v>5933</v>
      </c>
      <c r="D7147" s="8">
        <v>5000</v>
      </c>
      <c r="E7147" s="8"/>
      <c r="F7147" s="92">
        <f t="shared" si="138"/>
        <v>151858</v>
      </c>
    </row>
    <row r="7148" spans="1:7" x14ac:dyDescent="0.25">
      <c r="A7148" s="204">
        <v>43775</v>
      </c>
      <c r="B7148" s="29" t="s">
        <v>2597</v>
      </c>
      <c r="C7148" s="29" t="s">
        <v>295</v>
      </c>
      <c r="D7148" s="8">
        <v>10000</v>
      </c>
      <c r="E7148" s="8"/>
      <c r="F7148" s="92">
        <f t="shared" si="138"/>
        <v>141858</v>
      </c>
    </row>
    <row r="7149" spans="1:7" x14ac:dyDescent="0.25">
      <c r="A7149" s="204">
        <v>43775</v>
      </c>
      <c r="B7149" s="29" t="s">
        <v>26</v>
      </c>
      <c r="C7149" s="29" t="s">
        <v>5934</v>
      </c>
      <c r="D7149" s="8">
        <v>600</v>
      </c>
      <c r="E7149" s="8"/>
      <c r="F7149" s="92">
        <f t="shared" si="138"/>
        <v>141258</v>
      </c>
      <c r="G7149" s="25"/>
    </row>
    <row r="7150" spans="1:7" x14ac:dyDescent="0.25">
      <c r="A7150" s="204">
        <v>43776</v>
      </c>
      <c r="B7150" s="29" t="s">
        <v>26</v>
      </c>
      <c r="C7150" s="29" t="s">
        <v>5814</v>
      </c>
      <c r="D7150" s="8">
        <v>7000</v>
      </c>
      <c r="E7150" s="8"/>
      <c r="F7150" s="92">
        <f t="shared" si="138"/>
        <v>134258</v>
      </c>
    </row>
    <row r="7151" spans="1:7" x14ac:dyDescent="0.25">
      <c r="A7151" s="204">
        <v>43778</v>
      </c>
      <c r="B7151" s="29" t="s">
        <v>26</v>
      </c>
      <c r="C7151" s="26" t="s">
        <v>5938</v>
      </c>
      <c r="D7151" s="8">
        <f>100+270+180+100+45+150+80+420+270+270+120+60+50+50+30+40</f>
        <v>2235</v>
      </c>
      <c r="E7151" s="8"/>
      <c r="F7151" s="92">
        <f t="shared" si="138"/>
        <v>132023</v>
      </c>
    </row>
    <row r="7152" spans="1:7" x14ac:dyDescent="0.25">
      <c r="A7152" s="204">
        <v>43778</v>
      </c>
      <c r="B7152" s="26" t="s">
        <v>2597</v>
      </c>
      <c r="C7152" s="26" t="s">
        <v>3186</v>
      </c>
      <c r="D7152" s="8">
        <f>38000-11000</f>
        <v>27000</v>
      </c>
      <c r="E7152" s="8"/>
      <c r="F7152" s="92">
        <f t="shared" si="138"/>
        <v>105023</v>
      </c>
      <c r="G7152" s="10"/>
    </row>
    <row r="7153" spans="1:6" x14ac:dyDescent="0.25">
      <c r="A7153" s="204">
        <v>43778</v>
      </c>
      <c r="B7153" s="26" t="s">
        <v>4778</v>
      </c>
      <c r="C7153" s="26" t="s">
        <v>3336</v>
      </c>
      <c r="D7153" s="8">
        <v>10000</v>
      </c>
      <c r="E7153" s="8"/>
      <c r="F7153" s="92">
        <f t="shared" si="138"/>
        <v>95023</v>
      </c>
    </row>
    <row r="7154" spans="1:6" x14ac:dyDescent="0.25">
      <c r="A7154" s="204">
        <v>43780</v>
      </c>
      <c r="B7154" s="26" t="s">
        <v>2597</v>
      </c>
      <c r="C7154" s="26" t="s">
        <v>5939</v>
      </c>
      <c r="D7154" s="8">
        <v>10000</v>
      </c>
      <c r="E7154" s="8"/>
      <c r="F7154" s="92">
        <f t="shared" si="138"/>
        <v>85023</v>
      </c>
    </row>
    <row r="7155" spans="1:6" x14ac:dyDescent="0.25">
      <c r="A7155" s="204">
        <v>43780</v>
      </c>
      <c r="B7155" s="26" t="s">
        <v>0</v>
      </c>
      <c r="C7155" s="26" t="s">
        <v>5940</v>
      </c>
      <c r="D7155" s="8">
        <v>23000</v>
      </c>
      <c r="E7155" s="8"/>
      <c r="F7155" s="92">
        <f t="shared" si="138"/>
        <v>62023</v>
      </c>
    </row>
    <row r="7156" spans="1:6" x14ac:dyDescent="0.25">
      <c r="A7156" s="204">
        <v>43780</v>
      </c>
      <c r="B7156" s="29" t="s">
        <v>1413</v>
      </c>
      <c r="C7156" s="29" t="s">
        <v>5941</v>
      </c>
      <c r="D7156" s="8">
        <v>4000</v>
      </c>
      <c r="E7156" s="8"/>
      <c r="F7156" s="92">
        <f t="shared" si="138"/>
        <v>58023</v>
      </c>
    </row>
    <row r="7157" spans="1:6" x14ac:dyDescent="0.25">
      <c r="A7157" s="204">
        <v>43780</v>
      </c>
      <c r="B7157" s="29" t="s">
        <v>1840</v>
      </c>
      <c r="C7157" s="29" t="s">
        <v>5942</v>
      </c>
      <c r="D7157" s="8">
        <v>3000</v>
      </c>
      <c r="E7157" s="8"/>
      <c r="F7157" s="92">
        <f t="shared" si="138"/>
        <v>55023</v>
      </c>
    </row>
    <row r="7158" spans="1:6" x14ac:dyDescent="0.25">
      <c r="A7158" s="204">
        <v>43780</v>
      </c>
      <c r="B7158" s="26" t="s">
        <v>26</v>
      </c>
      <c r="C7158" s="26" t="s">
        <v>5944</v>
      </c>
      <c r="D7158" s="8">
        <v>550</v>
      </c>
      <c r="E7158" s="8"/>
      <c r="F7158" s="92">
        <f t="shared" si="138"/>
        <v>54473</v>
      </c>
    </row>
    <row r="7159" spans="1:6" x14ac:dyDescent="0.25">
      <c r="A7159" s="204">
        <v>43781</v>
      </c>
      <c r="B7159" s="26" t="s">
        <v>542</v>
      </c>
      <c r="C7159" s="26" t="s">
        <v>5945</v>
      </c>
      <c r="D7159" s="8">
        <v>8700</v>
      </c>
      <c r="E7159" s="8"/>
      <c r="F7159" s="92">
        <f t="shared" si="138"/>
        <v>45773</v>
      </c>
    </row>
    <row r="7160" spans="1:6" x14ac:dyDescent="0.25">
      <c r="A7160" s="204">
        <v>43781</v>
      </c>
      <c r="B7160" s="29" t="s">
        <v>5767</v>
      </c>
      <c r="C7160" s="29" t="s">
        <v>5946</v>
      </c>
      <c r="D7160" s="8">
        <v>1000</v>
      </c>
      <c r="E7160" s="8"/>
      <c r="F7160" s="92">
        <f t="shared" si="138"/>
        <v>44773</v>
      </c>
    </row>
    <row r="7161" spans="1:6" x14ac:dyDescent="0.25">
      <c r="A7161" s="204">
        <v>43781</v>
      </c>
      <c r="B7161" s="29" t="s">
        <v>2597</v>
      </c>
      <c r="C7161" s="29" t="s">
        <v>5953</v>
      </c>
      <c r="D7161" s="8">
        <v>2600</v>
      </c>
      <c r="E7161" s="8"/>
      <c r="F7161" s="92">
        <f t="shared" si="138"/>
        <v>42173</v>
      </c>
    </row>
    <row r="7162" spans="1:6" x14ac:dyDescent="0.25">
      <c r="A7162" s="204">
        <v>43781</v>
      </c>
      <c r="B7162" s="26" t="s">
        <v>26</v>
      </c>
      <c r="C7162" s="26" t="s">
        <v>5948</v>
      </c>
      <c r="D7162" s="8">
        <v>1000</v>
      </c>
      <c r="E7162" s="8"/>
      <c r="F7162" s="92">
        <f t="shared" si="138"/>
        <v>41173</v>
      </c>
    </row>
    <row r="7163" spans="1:6" x14ac:dyDescent="0.25">
      <c r="A7163" s="204">
        <v>43781</v>
      </c>
      <c r="B7163" s="26" t="s">
        <v>3563</v>
      </c>
      <c r="C7163" s="26" t="s">
        <v>3175</v>
      </c>
      <c r="D7163" s="8">
        <v>6250</v>
      </c>
      <c r="E7163" s="8"/>
      <c r="F7163" s="92">
        <f t="shared" si="138"/>
        <v>34923</v>
      </c>
    </row>
    <row r="7164" spans="1:6" x14ac:dyDescent="0.25">
      <c r="A7164" s="204">
        <v>43781</v>
      </c>
      <c r="B7164" s="26" t="s">
        <v>26</v>
      </c>
      <c r="C7164" s="26" t="s">
        <v>5949</v>
      </c>
      <c r="D7164" s="8">
        <v>200</v>
      </c>
      <c r="E7164" s="8"/>
      <c r="F7164" s="92">
        <f t="shared" si="138"/>
        <v>34723</v>
      </c>
    </row>
    <row r="7165" spans="1:6" ht="30" x14ac:dyDescent="0.25">
      <c r="A7165" s="204">
        <v>43781</v>
      </c>
      <c r="B7165" s="26" t="s">
        <v>5827</v>
      </c>
      <c r="C7165" s="87" t="s">
        <v>5951</v>
      </c>
      <c r="D7165" s="8">
        <v>20000</v>
      </c>
      <c r="E7165" s="8"/>
      <c r="F7165" s="92">
        <f t="shared" si="138"/>
        <v>14723</v>
      </c>
    </row>
    <row r="7166" spans="1:6" x14ac:dyDescent="0.25">
      <c r="A7166" s="204">
        <v>43782</v>
      </c>
      <c r="B7166" s="26" t="s">
        <v>26</v>
      </c>
      <c r="C7166" s="26" t="s">
        <v>5952</v>
      </c>
      <c r="D7166" s="8">
        <f>230+80+180+100+210+150+120+270+70+45+90+270+90+50+50+45+60+400+550+720</f>
        <v>3780</v>
      </c>
      <c r="E7166" s="8"/>
      <c r="F7166" s="92">
        <f t="shared" si="138"/>
        <v>10943</v>
      </c>
    </row>
    <row r="7167" spans="1:6" x14ac:dyDescent="0.25">
      <c r="A7167" s="204">
        <v>43782</v>
      </c>
      <c r="B7167" s="26" t="s">
        <v>26</v>
      </c>
      <c r="C7167" s="26" t="s">
        <v>5954</v>
      </c>
      <c r="D7167" s="8">
        <v>1400</v>
      </c>
      <c r="E7167" s="8"/>
      <c r="F7167" s="92">
        <f t="shared" si="138"/>
        <v>9543</v>
      </c>
    </row>
    <row r="7168" spans="1:6" x14ac:dyDescent="0.25">
      <c r="A7168" s="204">
        <v>43783</v>
      </c>
      <c r="B7168" s="456" t="s">
        <v>5955</v>
      </c>
      <c r="C7168" s="457"/>
      <c r="D7168" s="458"/>
      <c r="E7168" s="98">
        <v>265000</v>
      </c>
      <c r="F7168" s="92">
        <f t="shared" si="138"/>
        <v>274543</v>
      </c>
    </row>
    <row r="7169" spans="1:11" x14ac:dyDescent="0.25">
      <c r="A7169" s="204">
        <v>43783</v>
      </c>
      <c r="B7169" s="29" t="s">
        <v>4776</v>
      </c>
      <c r="C7169" s="26" t="s">
        <v>4191</v>
      </c>
      <c r="D7169" s="8">
        <v>30000</v>
      </c>
      <c r="E7169" s="8"/>
      <c r="F7169" s="92">
        <f t="shared" si="138"/>
        <v>244543</v>
      </c>
    </row>
    <row r="7170" spans="1:11" x14ac:dyDescent="0.25">
      <c r="A7170" s="204">
        <v>43783</v>
      </c>
      <c r="B7170" s="29" t="s">
        <v>55</v>
      </c>
      <c r="C7170" s="26" t="s">
        <v>5956</v>
      </c>
      <c r="D7170" s="8">
        <v>50000</v>
      </c>
      <c r="E7170" s="8"/>
      <c r="F7170" s="92">
        <f t="shared" si="138"/>
        <v>194543</v>
      </c>
    </row>
    <row r="7171" spans="1:11" x14ac:dyDescent="0.25">
      <c r="A7171" s="204">
        <v>43783</v>
      </c>
      <c r="B7171" s="29" t="s">
        <v>55</v>
      </c>
      <c r="C7171" s="26" t="s">
        <v>5961</v>
      </c>
      <c r="D7171" s="8">
        <v>40000</v>
      </c>
      <c r="E7171" s="8"/>
      <c r="F7171" s="92">
        <f t="shared" si="138"/>
        <v>154543</v>
      </c>
    </row>
    <row r="7172" spans="1:11" x14ac:dyDescent="0.25">
      <c r="A7172" s="204">
        <v>43783</v>
      </c>
      <c r="B7172" s="29" t="s">
        <v>4250</v>
      </c>
      <c r="C7172" s="26" t="s">
        <v>4191</v>
      </c>
      <c r="D7172" s="8">
        <v>10000</v>
      </c>
      <c r="E7172" s="8"/>
      <c r="F7172" s="92">
        <f t="shared" si="138"/>
        <v>144543</v>
      </c>
    </row>
    <row r="7173" spans="1:11" x14ac:dyDescent="0.25">
      <c r="A7173" s="204">
        <v>43783</v>
      </c>
      <c r="B7173" s="29" t="s">
        <v>1515</v>
      </c>
      <c r="C7173" s="26" t="s">
        <v>5972</v>
      </c>
      <c r="D7173" s="8">
        <v>15000</v>
      </c>
      <c r="E7173" s="8"/>
      <c r="F7173" s="92">
        <f t="shared" si="138"/>
        <v>129543</v>
      </c>
    </row>
    <row r="7174" spans="1:11" x14ac:dyDescent="0.25">
      <c r="A7174" s="204">
        <v>43784</v>
      </c>
      <c r="B7174" s="29" t="s">
        <v>65</v>
      </c>
      <c r="C7174" s="26" t="s">
        <v>41</v>
      </c>
      <c r="D7174" s="8">
        <v>4000</v>
      </c>
      <c r="E7174" s="8"/>
      <c r="F7174" s="92">
        <f t="shared" si="138"/>
        <v>125543</v>
      </c>
    </row>
    <row r="7175" spans="1:11" x14ac:dyDescent="0.25">
      <c r="A7175" s="204">
        <v>43784</v>
      </c>
      <c r="B7175" s="26" t="s">
        <v>5967</v>
      </c>
      <c r="C7175" s="26" t="s">
        <v>5445</v>
      </c>
      <c r="D7175" s="8">
        <v>1800</v>
      </c>
      <c r="E7175" s="8"/>
      <c r="F7175" s="92">
        <f t="shared" si="138"/>
        <v>123743</v>
      </c>
    </row>
    <row r="7176" spans="1:11" x14ac:dyDescent="0.25">
      <c r="A7176" s="204">
        <v>43785</v>
      </c>
      <c r="B7176" s="26" t="s">
        <v>5957</v>
      </c>
      <c r="C7176" s="26" t="s">
        <v>5958</v>
      </c>
      <c r="D7176" s="8">
        <v>10000</v>
      </c>
      <c r="E7176" s="8"/>
      <c r="F7176" s="92">
        <f t="shared" si="138"/>
        <v>113743</v>
      </c>
    </row>
    <row r="7177" spans="1:11" x14ac:dyDescent="0.25">
      <c r="A7177" s="204">
        <v>43785</v>
      </c>
      <c r="B7177" s="26" t="s">
        <v>85</v>
      </c>
      <c r="C7177" s="26" t="s">
        <v>5959</v>
      </c>
      <c r="D7177" s="8">
        <v>2000</v>
      </c>
      <c r="E7177" s="8"/>
      <c r="F7177" s="92">
        <f t="shared" si="138"/>
        <v>111743</v>
      </c>
    </row>
    <row r="7178" spans="1:11" x14ac:dyDescent="0.25">
      <c r="A7178" s="204">
        <v>43785</v>
      </c>
      <c r="B7178" s="26" t="s">
        <v>85</v>
      </c>
      <c r="C7178" s="26" t="s">
        <v>5960</v>
      </c>
      <c r="D7178" s="8">
        <v>10000</v>
      </c>
      <c r="E7178" s="8"/>
      <c r="F7178" s="92">
        <f t="shared" si="138"/>
        <v>101743</v>
      </c>
    </row>
    <row r="7179" spans="1:11" x14ac:dyDescent="0.25">
      <c r="A7179" s="204">
        <v>43787</v>
      </c>
      <c r="B7179" s="29" t="s">
        <v>4776</v>
      </c>
      <c r="C7179" s="29" t="s">
        <v>295</v>
      </c>
      <c r="D7179" s="8">
        <v>40000</v>
      </c>
      <c r="E7179" s="8"/>
      <c r="F7179" s="92">
        <f t="shared" si="138"/>
        <v>61743</v>
      </c>
    </row>
    <row r="7180" spans="1:11" x14ac:dyDescent="0.25">
      <c r="A7180" s="204">
        <v>43787</v>
      </c>
      <c r="B7180" s="29" t="s">
        <v>26</v>
      </c>
      <c r="C7180" s="29" t="s">
        <v>5963</v>
      </c>
      <c r="D7180" s="8">
        <v>1500</v>
      </c>
      <c r="E7180" s="8"/>
      <c r="F7180" s="92">
        <f t="shared" si="138"/>
        <v>60243</v>
      </c>
    </row>
    <row r="7181" spans="1:11" x14ac:dyDescent="0.25">
      <c r="A7181" s="204">
        <v>43787</v>
      </c>
      <c r="B7181" s="29" t="s">
        <v>26</v>
      </c>
      <c r="C7181" s="29" t="s">
        <v>5964</v>
      </c>
      <c r="D7181" s="8">
        <v>4500</v>
      </c>
      <c r="E7181" s="8"/>
      <c r="F7181" s="92">
        <f t="shared" ref="F7181:F7198" si="139">F7180-D7181+E7181</f>
        <v>55743</v>
      </c>
    </row>
    <row r="7182" spans="1:11" x14ac:dyDescent="0.25">
      <c r="A7182" s="204">
        <v>43787</v>
      </c>
      <c r="B7182" s="29" t="s">
        <v>26</v>
      </c>
      <c r="C7182" s="29" t="s">
        <v>2028</v>
      </c>
      <c r="D7182" s="8">
        <v>50</v>
      </c>
      <c r="E7182" s="8"/>
      <c r="F7182" s="92">
        <f t="shared" si="139"/>
        <v>55693</v>
      </c>
      <c r="K7182" s="10"/>
    </row>
    <row r="7183" spans="1:11" x14ac:dyDescent="0.25">
      <c r="A7183" s="204">
        <v>43787</v>
      </c>
      <c r="B7183" s="29" t="s">
        <v>5201</v>
      </c>
      <c r="C7183" s="29" t="s">
        <v>5965</v>
      </c>
      <c r="D7183" s="8">
        <v>40000</v>
      </c>
      <c r="E7183" s="8"/>
      <c r="F7183" s="92">
        <f t="shared" si="139"/>
        <v>15693</v>
      </c>
    </row>
    <row r="7184" spans="1:11" x14ac:dyDescent="0.25">
      <c r="A7184" s="204">
        <v>43787</v>
      </c>
      <c r="B7184" s="29" t="s">
        <v>0</v>
      </c>
      <c r="C7184" s="29" t="s">
        <v>3914</v>
      </c>
      <c r="D7184" s="8">
        <v>5000</v>
      </c>
      <c r="E7184" s="8"/>
      <c r="F7184" s="92">
        <f t="shared" si="139"/>
        <v>10693</v>
      </c>
      <c r="K7184" s="10"/>
    </row>
    <row r="7185" spans="1:11" x14ac:dyDescent="0.25">
      <c r="A7185" s="204">
        <v>43787</v>
      </c>
      <c r="B7185" s="29" t="s">
        <v>4250</v>
      </c>
      <c r="C7185" s="29" t="s">
        <v>3914</v>
      </c>
      <c r="D7185" s="8">
        <v>5000</v>
      </c>
      <c r="E7185" s="8"/>
      <c r="F7185" s="92">
        <f t="shared" si="139"/>
        <v>5693</v>
      </c>
      <c r="K7185" s="10"/>
    </row>
    <row r="7186" spans="1:11" x14ac:dyDescent="0.25">
      <c r="A7186" s="204">
        <v>43787</v>
      </c>
      <c r="B7186" s="26" t="s">
        <v>85</v>
      </c>
      <c r="C7186" s="26" t="s">
        <v>5968</v>
      </c>
      <c r="D7186" s="8">
        <v>10000</v>
      </c>
      <c r="E7186" s="8"/>
      <c r="F7186" s="92">
        <f t="shared" si="139"/>
        <v>-4307</v>
      </c>
      <c r="K7186" s="10"/>
    </row>
    <row r="7187" spans="1:11" x14ac:dyDescent="0.25">
      <c r="A7187" s="204">
        <v>43787</v>
      </c>
      <c r="B7187" s="452" t="s">
        <v>5955</v>
      </c>
      <c r="C7187" s="452"/>
      <c r="D7187" s="452"/>
      <c r="E7187" s="98">
        <v>200000</v>
      </c>
      <c r="F7187" s="92">
        <f t="shared" si="139"/>
        <v>195693</v>
      </c>
      <c r="K7187" s="10"/>
    </row>
    <row r="7188" spans="1:11" x14ac:dyDescent="0.25">
      <c r="A7188" s="204">
        <v>43788</v>
      </c>
      <c r="B7188" s="29" t="s">
        <v>3141</v>
      </c>
      <c r="C7188" s="29" t="s">
        <v>5962</v>
      </c>
      <c r="D7188" s="8">
        <f>33227-568</f>
        <v>32659</v>
      </c>
      <c r="E7188" s="8"/>
      <c r="F7188" s="92">
        <f t="shared" si="139"/>
        <v>163034</v>
      </c>
      <c r="K7188" s="10"/>
    </row>
    <row r="7189" spans="1:11" x14ac:dyDescent="0.25">
      <c r="A7189" s="204">
        <v>43788</v>
      </c>
      <c r="B7189" s="29" t="s">
        <v>2929</v>
      </c>
      <c r="C7189" s="29" t="s">
        <v>5966</v>
      </c>
      <c r="D7189" s="8">
        <v>3550</v>
      </c>
      <c r="E7189" s="8"/>
      <c r="F7189" s="92">
        <f t="shared" si="139"/>
        <v>159484</v>
      </c>
      <c r="K7189" s="10"/>
    </row>
    <row r="7190" spans="1:11" x14ac:dyDescent="0.25">
      <c r="A7190" s="204">
        <v>43788</v>
      </c>
      <c r="B7190" s="29" t="s">
        <v>248</v>
      </c>
      <c r="C7190" s="138" t="s">
        <v>5969</v>
      </c>
      <c r="D7190" s="139">
        <v>1000</v>
      </c>
      <c r="E7190" s="8"/>
      <c r="F7190" s="92">
        <f t="shared" si="139"/>
        <v>158484</v>
      </c>
      <c r="K7190" s="10"/>
    </row>
    <row r="7191" spans="1:11" x14ac:dyDescent="0.25">
      <c r="A7191" s="204">
        <v>43788</v>
      </c>
      <c r="B7191" s="29" t="s">
        <v>5201</v>
      </c>
      <c r="C7191" s="29" t="s">
        <v>5970</v>
      </c>
      <c r="D7191" s="8">
        <v>15000</v>
      </c>
      <c r="E7191" s="8"/>
      <c r="F7191" s="92">
        <f t="shared" si="139"/>
        <v>143484</v>
      </c>
      <c r="K7191" s="10"/>
    </row>
    <row r="7192" spans="1:11" x14ac:dyDescent="0.25">
      <c r="A7192" s="204">
        <v>43788</v>
      </c>
      <c r="B7192" s="29" t="s">
        <v>26</v>
      </c>
      <c r="C7192" s="26" t="s">
        <v>5973</v>
      </c>
      <c r="D7192" s="8">
        <f>3558+120+120+50+50+100</f>
        <v>3998</v>
      </c>
      <c r="E7192" s="8"/>
      <c r="F7192" s="92">
        <f t="shared" si="139"/>
        <v>139486</v>
      </c>
      <c r="K7192" s="25"/>
    </row>
    <row r="7193" spans="1:11" x14ac:dyDescent="0.25">
      <c r="A7193" s="204">
        <v>43788</v>
      </c>
      <c r="B7193" s="29" t="s">
        <v>3563</v>
      </c>
      <c r="C7193" s="29" t="s">
        <v>5974</v>
      </c>
      <c r="D7193" s="8">
        <v>650</v>
      </c>
      <c r="E7193" s="8"/>
      <c r="F7193" s="92">
        <f t="shared" si="139"/>
        <v>138836</v>
      </c>
    </row>
    <row r="7194" spans="1:11" x14ac:dyDescent="0.25">
      <c r="A7194" s="204">
        <v>43788</v>
      </c>
      <c r="B7194" s="29" t="s">
        <v>5479</v>
      </c>
      <c r="C7194" s="29" t="s">
        <v>5490</v>
      </c>
      <c r="D7194" s="8">
        <v>150</v>
      </c>
      <c r="E7194" s="8"/>
      <c r="F7194" s="92">
        <f t="shared" si="139"/>
        <v>138686</v>
      </c>
    </row>
    <row r="7195" spans="1:11" x14ac:dyDescent="0.25">
      <c r="A7195" s="204">
        <v>43788</v>
      </c>
      <c r="B7195" s="29" t="s">
        <v>26</v>
      </c>
      <c r="C7195" s="26" t="s">
        <v>5993</v>
      </c>
      <c r="D7195" s="8">
        <v>9425</v>
      </c>
      <c r="E7195" s="8"/>
      <c r="F7195" s="92">
        <f t="shared" si="139"/>
        <v>129261</v>
      </c>
    </row>
    <row r="7196" spans="1:11" x14ac:dyDescent="0.25">
      <c r="A7196" s="204">
        <v>43788</v>
      </c>
      <c r="B7196" s="29" t="s">
        <v>26</v>
      </c>
      <c r="C7196" s="26" t="s">
        <v>5995</v>
      </c>
      <c r="D7196" s="8">
        <v>600</v>
      </c>
      <c r="E7196" s="8"/>
      <c r="F7196" s="92">
        <f t="shared" si="139"/>
        <v>128661</v>
      </c>
    </row>
    <row r="7197" spans="1:11" x14ac:dyDescent="0.25">
      <c r="A7197" s="204">
        <v>43788</v>
      </c>
      <c r="B7197" s="29" t="s">
        <v>26</v>
      </c>
      <c r="C7197" s="26" t="s">
        <v>5996</v>
      </c>
      <c r="D7197" s="8">
        <v>500</v>
      </c>
      <c r="E7197" s="8"/>
      <c r="F7197" s="92">
        <f t="shared" si="139"/>
        <v>128161</v>
      </c>
    </row>
    <row r="7198" spans="1:11" x14ac:dyDescent="0.25">
      <c r="A7198" s="204">
        <v>43788</v>
      </c>
      <c r="B7198" s="29" t="s">
        <v>26</v>
      </c>
      <c r="C7198" s="26" t="s">
        <v>5997</v>
      </c>
      <c r="D7198" s="8">
        <v>1020</v>
      </c>
      <c r="E7198" s="8"/>
      <c r="F7198" s="92">
        <f t="shared" si="139"/>
        <v>127141</v>
      </c>
    </row>
    <row r="7199" spans="1:11" x14ac:dyDescent="0.25">
      <c r="A7199" s="204"/>
      <c r="B7199" s="29"/>
      <c r="C7199" s="29"/>
      <c r="D7199" s="8"/>
      <c r="E7199" s="8"/>
      <c r="F7199" s="92"/>
    </row>
    <row r="7200" spans="1:11" x14ac:dyDescent="0.25">
      <c r="A7200" s="204">
        <v>43788</v>
      </c>
      <c r="B7200" s="452" t="s">
        <v>5985</v>
      </c>
      <c r="C7200" s="452"/>
      <c r="D7200" s="452"/>
      <c r="E7200" s="8"/>
      <c r="F7200" s="92">
        <v>0</v>
      </c>
    </row>
    <row r="7201" spans="1:11" x14ac:dyDescent="0.25">
      <c r="A7201" s="204">
        <v>43788</v>
      </c>
      <c r="B7201" s="452" t="s">
        <v>5986</v>
      </c>
      <c r="C7201" s="452"/>
      <c r="D7201" s="452"/>
      <c r="E7201" s="8">
        <v>1000000</v>
      </c>
      <c r="F7201" s="92">
        <f>E7201</f>
        <v>1000000</v>
      </c>
    </row>
    <row r="7202" spans="1:11" x14ac:dyDescent="0.25">
      <c r="A7202" s="204">
        <v>43788</v>
      </c>
      <c r="B7202" s="452" t="s">
        <v>5987</v>
      </c>
      <c r="C7202" s="452"/>
      <c r="D7202" s="452"/>
      <c r="E7202" s="8">
        <v>300000</v>
      </c>
      <c r="F7202" s="92">
        <f>F7201+E7202</f>
        <v>1300000</v>
      </c>
    </row>
    <row r="7203" spans="1:11" x14ac:dyDescent="0.25">
      <c r="A7203" s="204">
        <v>43809</v>
      </c>
      <c r="B7203" s="26" t="s">
        <v>26</v>
      </c>
      <c r="C7203" s="26" t="s">
        <v>5977</v>
      </c>
      <c r="D7203" s="8">
        <f>220+180</f>
        <v>400</v>
      </c>
      <c r="E7203" s="8"/>
      <c r="F7203" s="92">
        <f>F7202+E7203-D7203</f>
        <v>1299600</v>
      </c>
    </row>
    <row r="7204" spans="1:11" x14ac:dyDescent="0.25">
      <c r="A7204" s="204">
        <v>43809</v>
      </c>
      <c r="B7204" s="26" t="s">
        <v>26</v>
      </c>
      <c r="C7204" s="26" t="s">
        <v>5978</v>
      </c>
      <c r="D7204" s="8">
        <v>1500</v>
      </c>
      <c r="E7204" s="8"/>
      <c r="F7204" s="92">
        <f t="shared" ref="F7204:F7242" si="140">F7203+E7204-D7204</f>
        <v>1298100</v>
      </c>
      <c r="K7204" s="25"/>
    </row>
    <row r="7205" spans="1:11" x14ac:dyDescent="0.25">
      <c r="A7205" s="204">
        <v>43809</v>
      </c>
      <c r="B7205" s="26" t="s">
        <v>26</v>
      </c>
      <c r="C7205" s="26" t="s">
        <v>5979</v>
      </c>
      <c r="D7205" s="8">
        <v>1000</v>
      </c>
      <c r="E7205" s="8"/>
      <c r="F7205" s="92">
        <f t="shared" si="140"/>
        <v>1297100</v>
      </c>
    </row>
    <row r="7206" spans="1:11" x14ac:dyDescent="0.25">
      <c r="A7206" s="204">
        <v>43809</v>
      </c>
      <c r="B7206" s="26" t="s">
        <v>14</v>
      </c>
      <c r="C7206" s="26" t="s">
        <v>295</v>
      </c>
      <c r="D7206" s="8">
        <v>5000</v>
      </c>
      <c r="E7206" s="8"/>
      <c r="F7206" s="92">
        <f t="shared" si="140"/>
        <v>1292100</v>
      </c>
      <c r="K7206" s="25"/>
    </row>
    <row r="7207" spans="1:11" x14ac:dyDescent="0.25">
      <c r="A7207" s="204">
        <v>43809</v>
      </c>
      <c r="B7207" s="29" t="s">
        <v>2573</v>
      </c>
      <c r="C7207" s="29" t="s">
        <v>5980</v>
      </c>
      <c r="D7207" s="8">
        <v>4200</v>
      </c>
      <c r="E7207" s="8"/>
      <c r="F7207" s="92">
        <f t="shared" si="140"/>
        <v>1287900</v>
      </c>
    </row>
    <row r="7208" spans="1:11" x14ac:dyDescent="0.25">
      <c r="A7208" s="204">
        <v>43809</v>
      </c>
      <c r="B7208" s="29" t="s">
        <v>26</v>
      </c>
      <c r="C7208" s="29" t="s">
        <v>5981</v>
      </c>
      <c r="D7208" s="8">
        <v>300</v>
      </c>
      <c r="E7208" s="8"/>
      <c r="F7208" s="92">
        <f t="shared" si="140"/>
        <v>1287600</v>
      </c>
    </row>
    <row r="7209" spans="1:11" x14ac:dyDescent="0.25">
      <c r="A7209" s="204">
        <v>43809</v>
      </c>
      <c r="B7209" s="452" t="s">
        <v>5989</v>
      </c>
      <c r="C7209" s="452"/>
      <c r="D7209" s="452"/>
      <c r="E7209" s="8">
        <v>35000</v>
      </c>
      <c r="F7209" s="92">
        <f t="shared" si="140"/>
        <v>1322600</v>
      </c>
    </row>
    <row r="7210" spans="1:11" x14ac:dyDescent="0.25">
      <c r="A7210" s="204">
        <v>43809</v>
      </c>
      <c r="B7210" s="29" t="s">
        <v>26</v>
      </c>
      <c r="C7210" s="29" t="s">
        <v>2028</v>
      </c>
      <c r="D7210" s="8">
        <v>100</v>
      </c>
      <c r="E7210" s="8"/>
      <c r="F7210" s="92">
        <f t="shared" si="140"/>
        <v>1322500</v>
      </c>
    </row>
    <row r="7211" spans="1:11" x14ac:dyDescent="0.25">
      <c r="A7211" s="204">
        <v>43809</v>
      </c>
      <c r="B7211" s="29" t="s">
        <v>5617</v>
      </c>
      <c r="C7211" s="29" t="s">
        <v>4355</v>
      </c>
      <c r="D7211" s="8">
        <v>13250</v>
      </c>
      <c r="E7211" s="8"/>
      <c r="F7211" s="92">
        <f t="shared" si="140"/>
        <v>1309250</v>
      </c>
    </row>
    <row r="7212" spans="1:11" x14ac:dyDescent="0.25">
      <c r="A7212" s="204">
        <v>43809</v>
      </c>
      <c r="B7212" s="26" t="s">
        <v>2597</v>
      </c>
      <c r="C7212" s="26" t="s">
        <v>5982</v>
      </c>
      <c r="D7212" s="8">
        <v>10283</v>
      </c>
      <c r="E7212" s="8"/>
      <c r="F7212" s="92">
        <f t="shared" si="140"/>
        <v>1298967</v>
      </c>
    </row>
    <row r="7213" spans="1:11" x14ac:dyDescent="0.25">
      <c r="A7213" s="204">
        <v>43809</v>
      </c>
      <c r="B7213" s="26" t="s">
        <v>2597</v>
      </c>
      <c r="C7213" s="26" t="s">
        <v>5982</v>
      </c>
      <c r="D7213" s="8">
        <v>860</v>
      </c>
      <c r="E7213" s="8"/>
      <c r="F7213" s="92">
        <f t="shared" si="140"/>
        <v>1298107</v>
      </c>
    </row>
    <row r="7214" spans="1:11" x14ac:dyDescent="0.25">
      <c r="A7214" s="204">
        <v>43809</v>
      </c>
      <c r="B7214" s="26" t="s">
        <v>5201</v>
      </c>
      <c r="C7214" s="26" t="s">
        <v>5983</v>
      </c>
      <c r="D7214" s="8">
        <v>10000</v>
      </c>
      <c r="E7214" s="8"/>
      <c r="F7214" s="92">
        <f t="shared" si="140"/>
        <v>1288107</v>
      </c>
    </row>
    <row r="7215" spans="1:11" x14ac:dyDescent="0.25">
      <c r="A7215" s="204">
        <v>43809</v>
      </c>
      <c r="B7215" s="26" t="s">
        <v>5201</v>
      </c>
      <c r="C7215" s="26" t="s">
        <v>5984</v>
      </c>
      <c r="D7215" s="8">
        <v>15000</v>
      </c>
      <c r="E7215" s="8"/>
      <c r="F7215" s="92">
        <f t="shared" si="140"/>
        <v>1273107</v>
      </c>
    </row>
    <row r="7216" spans="1:11" x14ac:dyDescent="0.25">
      <c r="A7216" s="204">
        <v>43809</v>
      </c>
      <c r="B7216" s="26" t="s">
        <v>14</v>
      </c>
      <c r="C7216" s="26" t="s">
        <v>295</v>
      </c>
      <c r="D7216" s="8">
        <v>10000</v>
      </c>
      <c r="E7216" s="8"/>
      <c r="F7216" s="92">
        <f t="shared" si="140"/>
        <v>1263107</v>
      </c>
    </row>
    <row r="7217" spans="1:6" x14ac:dyDescent="0.25">
      <c r="A7217" s="204">
        <v>43809</v>
      </c>
      <c r="B7217" s="26" t="s">
        <v>55</v>
      </c>
      <c r="C7217" s="26" t="s">
        <v>5992</v>
      </c>
      <c r="D7217" s="8">
        <v>1000</v>
      </c>
      <c r="E7217" s="8"/>
      <c r="F7217" s="92">
        <f t="shared" si="140"/>
        <v>1262107</v>
      </c>
    </row>
    <row r="7218" spans="1:6" x14ac:dyDescent="0.25">
      <c r="A7218" s="204">
        <v>43809</v>
      </c>
      <c r="B7218" s="26" t="s">
        <v>5988</v>
      </c>
      <c r="C7218" s="26"/>
      <c r="D7218" s="8">
        <v>1457136</v>
      </c>
      <c r="E7218" s="8"/>
      <c r="F7218" s="92">
        <f t="shared" si="140"/>
        <v>-195029</v>
      </c>
    </row>
    <row r="7219" spans="1:6" x14ac:dyDescent="0.25">
      <c r="A7219" s="204">
        <v>43788</v>
      </c>
      <c r="B7219" s="452" t="s">
        <v>5987</v>
      </c>
      <c r="C7219" s="452"/>
      <c r="D7219" s="452"/>
      <c r="E7219" s="8">
        <v>300000</v>
      </c>
      <c r="F7219" s="92">
        <f t="shared" si="140"/>
        <v>104971</v>
      </c>
    </row>
    <row r="7220" spans="1:6" x14ac:dyDescent="0.25">
      <c r="A7220" s="204">
        <v>43810</v>
      </c>
      <c r="B7220" s="26" t="s">
        <v>85</v>
      </c>
      <c r="C7220" s="26" t="s">
        <v>6051</v>
      </c>
      <c r="D7220" s="8">
        <v>7000</v>
      </c>
      <c r="E7220" s="8"/>
      <c r="F7220" s="92">
        <f t="shared" si="140"/>
        <v>97971</v>
      </c>
    </row>
    <row r="7221" spans="1:6" x14ac:dyDescent="0.25">
      <c r="A7221" s="204">
        <v>43810</v>
      </c>
      <c r="B7221" s="29" t="s">
        <v>26</v>
      </c>
      <c r="C7221" s="29" t="s">
        <v>5994</v>
      </c>
      <c r="D7221" s="8">
        <v>200</v>
      </c>
      <c r="E7221" s="8"/>
      <c r="F7221" s="92">
        <f t="shared" si="140"/>
        <v>97771</v>
      </c>
    </row>
    <row r="7222" spans="1:6" x14ac:dyDescent="0.25">
      <c r="A7222" s="204">
        <v>43810</v>
      </c>
      <c r="B7222" s="26" t="s">
        <v>111</v>
      </c>
      <c r="C7222" s="26" t="s">
        <v>5998</v>
      </c>
      <c r="D7222" s="8">
        <v>650</v>
      </c>
      <c r="E7222" s="8"/>
      <c r="F7222" s="92">
        <f t="shared" si="140"/>
        <v>97121</v>
      </c>
    </row>
    <row r="7223" spans="1:6" x14ac:dyDescent="0.25">
      <c r="A7223" s="204">
        <v>43810</v>
      </c>
      <c r="B7223" s="26" t="s">
        <v>1840</v>
      </c>
      <c r="C7223" s="26" t="s">
        <v>5999</v>
      </c>
      <c r="D7223" s="8">
        <v>1000</v>
      </c>
      <c r="E7223" s="8"/>
      <c r="F7223" s="92">
        <f t="shared" si="140"/>
        <v>96121</v>
      </c>
    </row>
    <row r="7224" spans="1:6" x14ac:dyDescent="0.25">
      <c r="A7224" s="204">
        <v>43810</v>
      </c>
      <c r="B7224" s="26" t="s">
        <v>6000</v>
      </c>
      <c r="C7224" s="26" t="s">
        <v>4819</v>
      </c>
      <c r="D7224" s="8">
        <v>2000</v>
      </c>
      <c r="E7224" s="8"/>
      <c r="F7224" s="92">
        <f t="shared" si="140"/>
        <v>94121</v>
      </c>
    </row>
    <row r="7225" spans="1:6" x14ac:dyDescent="0.25">
      <c r="A7225" s="204">
        <v>43810</v>
      </c>
      <c r="B7225" s="26" t="s">
        <v>2597</v>
      </c>
      <c r="C7225" s="26" t="s">
        <v>6001</v>
      </c>
      <c r="D7225" s="8">
        <v>42605</v>
      </c>
      <c r="E7225" s="8"/>
      <c r="F7225" s="92">
        <f t="shared" si="140"/>
        <v>51516</v>
      </c>
    </row>
    <row r="7226" spans="1:6" x14ac:dyDescent="0.25">
      <c r="A7226" s="204">
        <v>43810</v>
      </c>
      <c r="B7226" s="29" t="s">
        <v>4776</v>
      </c>
      <c r="C7226" s="29" t="s">
        <v>295</v>
      </c>
      <c r="D7226" s="8">
        <v>10000</v>
      </c>
      <c r="E7226" s="8"/>
      <c r="F7226" s="92">
        <f t="shared" si="140"/>
        <v>41516</v>
      </c>
    </row>
    <row r="7227" spans="1:6" x14ac:dyDescent="0.25">
      <c r="A7227" s="204">
        <v>43810</v>
      </c>
      <c r="B7227" s="26" t="s">
        <v>17</v>
      </c>
      <c r="C7227" s="26" t="s">
        <v>4191</v>
      </c>
      <c r="D7227" s="8">
        <v>20000</v>
      </c>
      <c r="E7227" s="8"/>
      <c r="F7227" s="92">
        <f t="shared" si="140"/>
        <v>21516</v>
      </c>
    </row>
    <row r="7228" spans="1:6" x14ac:dyDescent="0.25">
      <c r="A7228" s="204">
        <v>43810</v>
      </c>
      <c r="B7228" s="29" t="s">
        <v>6002</v>
      </c>
      <c r="C7228" s="29" t="s">
        <v>6003</v>
      </c>
      <c r="D7228" s="8">
        <v>15000</v>
      </c>
      <c r="E7228" s="8"/>
      <c r="F7228" s="92">
        <f t="shared" si="140"/>
        <v>6516</v>
      </c>
    </row>
    <row r="7229" spans="1:6" x14ac:dyDescent="0.25">
      <c r="A7229" s="204">
        <v>43810</v>
      </c>
      <c r="B7229" s="452" t="s">
        <v>6128</v>
      </c>
      <c r="C7229" s="452"/>
      <c r="D7229" s="452"/>
      <c r="E7229" s="8">
        <v>45000</v>
      </c>
      <c r="F7229" s="92">
        <f t="shared" si="140"/>
        <v>51516</v>
      </c>
    </row>
    <row r="7230" spans="1:6" x14ac:dyDescent="0.25">
      <c r="A7230" s="204">
        <v>43810</v>
      </c>
      <c r="B7230" s="452" t="s">
        <v>6007</v>
      </c>
      <c r="C7230" s="452"/>
      <c r="D7230" s="452"/>
      <c r="E7230" s="8">
        <v>45000</v>
      </c>
      <c r="F7230" s="92">
        <f t="shared" si="140"/>
        <v>96516</v>
      </c>
    </row>
    <row r="7231" spans="1:6" x14ac:dyDescent="0.25">
      <c r="A7231" s="204">
        <v>43810</v>
      </c>
      <c r="B7231" s="26" t="s">
        <v>4776</v>
      </c>
      <c r="C7231" s="26" t="s">
        <v>4191</v>
      </c>
      <c r="D7231" s="8">
        <v>20000</v>
      </c>
      <c r="E7231" s="8"/>
      <c r="F7231" s="92">
        <f t="shared" si="140"/>
        <v>76516</v>
      </c>
    </row>
    <row r="7232" spans="1:6" x14ac:dyDescent="0.25">
      <c r="A7232" s="204">
        <v>43810</v>
      </c>
      <c r="B7232" s="26" t="s">
        <v>4776</v>
      </c>
      <c r="C7232" s="26" t="s">
        <v>6008</v>
      </c>
      <c r="D7232" s="8">
        <v>25000</v>
      </c>
      <c r="E7232" s="8"/>
      <c r="F7232" s="92">
        <f t="shared" si="140"/>
        <v>51516</v>
      </c>
    </row>
    <row r="7233" spans="1:6" x14ac:dyDescent="0.25">
      <c r="A7233" s="204">
        <v>43813</v>
      </c>
      <c r="B7233" s="26" t="s">
        <v>1682</v>
      </c>
      <c r="C7233" s="26" t="s">
        <v>6004</v>
      </c>
      <c r="D7233" s="8">
        <v>600</v>
      </c>
      <c r="E7233" s="8"/>
      <c r="F7233" s="92">
        <f t="shared" si="140"/>
        <v>50916</v>
      </c>
    </row>
    <row r="7234" spans="1:6" x14ac:dyDescent="0.25">
      <c r="A7234" s="204">
        <v>43815</v>
      </c>
      <c r="B7234" s="26" t="s">
        <v>26</v>
      </c>
      <c r="C7234" s="26" t="s">
        <v>6005</v>
      </c>
      <c r="D7234" s="8">
        <v>1000</v>
      </c>
      <c r="E7234" s="8"/>
      <c r="F7234" s="92">
        <f t="shared" si="140"/>
        <v>49916</v>
      </c>
    </row>
    <row r="7235" spans="1:6" x14ac:dyDescent="0.25">
      <c r="A7235" s="204">
        <v>43815</v>
      </c>
      <c r="B7235" s="26" t="s">
        <v>65</v>
      </c>
      <c r="C7235" s="26" t="s">
        <v>6006</v>
      </c>
      <c r="D7235" s="8">
        <v>2700</v>
      </c>
      <c r="E7235" s="8"/>
      <c r="F7235" s="92">
        <f t="shared" si="140"/>
        <v>47216</v>
      </c>
    </row>
    <row r="7236" spans="1:6" x14ac:dyDescent="0.25">
      <c r="A7236" s="204">
        <v>43815</v>
      </c>
      <c r="B7236" s="26" t="s">
        <v>2597</v>
      </c>
      <c r="C7236" s="26" t="s">
        <v>4191</v>
      </c>
      <c r="D7236" s="8">
        <v>13480</v>
      </c>
      <c r="E7236" s="8"/>
      <c r="F7236" s="92">
        <f t="shared" si="140"/>
        <v>33736</v>
      </c>
    </row>
    <row r="7237" spans="1:6" x14ac:dyDescent="0.25">
      <c r="A7237" s="204">
        <v>43816</v>
      </c>
      <c r="B7237" s="26" t="s">
        <v>55</v>
      </c>
      <c r="C7237" s="26" t="s">
        <v>6009</v>
      </c>
      <c r="D7237" s="8">
        <v>1000</v>
      </c>
      <c r="E7237" s="8"/>
      <c r="F7237" s="92">
        <f t="shared" si="140"/>
        <v>32736</v>
      </c>
    </row>
    <row r="7238" spans="1:6" x14ac:dyDescent="0.25">
      <c r="A7238" s="204">
        <v>43816</v>
      </c>
      <c r="B7238" s="26" t="s">
        <v>55</v>
      </c>
      <c r="C7238" s="29" t="s">
        <v>6010</v>
      </c>
      <c r="D7238" s="8">
        <v>1000</v>
      </c>
      <c r="E7238" s="8"/>
      <c r="F7238" s="92">
        <f t="shared" si="140"/>
        <v>31736</v>
      </c>
    </row>
    <row r="7239" spans="1:6" x14ac:dyDescent="0.25">
      <c r="A7239" s="204">
        <v>43816</v>
      </c>
      <c r="B7239" s="26" t="s">
        <v>2597</v>
      </c>
      <c r="C7239" s="26" t="s">
        <v>6011</v>
      </c>
      <c r="D7239" s="8">
        <v>12350</v>
      </c>
      <c r="E7239" s="8"/>
      <c r="F7239" s="92">
        <f t="shared" si="140"/>
        <v>19386</v>
      </c>
    </row>
    <row r="7240" spans="1:6" x14ac:dyDescent="0.25">
      <c r="A7240" s="204">
        <v>43816</v>
      </c>
      <c r="B7240" s="26" t="s">
        <v>5479</v>
      </c>
      <c r="C7240" s="26"/>
      <c r="D7240" s="8">
        <v>5070</v>
      </c>
      <c r="E7240" s="8"/>
      <c r="F7240" s="92">
        <f t="shared" si="140"/>
        <v>14316</v>
      </c>
    </row>
    <row r="7241" spans="1:6" x14ac:dyDescent="0.25">
      <c r="A7241" s="204">
        <v>43816</v>
      </c>
      <c r="B7241" s="26" t="s">
        <v>4778</v>
      </c>
      <c r="C7241" s="26" t="s">
        <v>3615</v>
      </c>
      <c r="D7241" s="8">
        <v>10000</v>
      </c>
      <c r="E7241" s="8"/>
      <c r="F7241" s="92">
        <f t="shared" si="140"/>
        <v>4316</v>
      </c>
    </row>
    <row r="7242" spans="1:6" x14ac:dyDescent="0.25">
      <c r="A7242" s="204">
        <v>43817</v>
      </c>
      <c r="B7242" s="26" t="s">
        <v>2597</v>
      </c>
      <c r="C7242" s="26" t="s">
        <v>6012</v>
      </c>
      <c r="D7242" s="8">
        <v>750</v>
      </c>
      <c r="E7242" s="8"/>
      <c r="F7242" s="92">
        <f t="shared" si="140"/>
        <v>3566</v>
      </c>
    </row>
    <row r="7243" spans="1:6" x14ac:dyDescent="0.25">
      <c r="A7243" s="204">
        <v>43820</v>
      </c>
      <c r="B7243" s="452" t="s">
        <v>3721</v>
      </c>
      <c r="C7243" s="452"/>
      <c r="D7243" s="452"/>
      <c r="E7243" s="8">
        <v>50000</v>
      </c>
      <c r="F7243" s="92">
        <f t="shared" ref="F7243:F7244" si="141">F7242+E7243-D7243</f>
        <v>53566</v>
      </c>
    </row>
    <row r="7244" spans="1:6" x14ac:dyDescent="0.25">
      <c r="A7244" s="204">
        <v>43820</v>
      </c>
      <c r="B7244" s="26" t="s">
        <v>2597</v>
      </c>
      <c r="C7244" s="26" t="s">
        <v>6014</v>
      </c>
      <c r="D7244" s="8">
        <v>47621</v>
      </c>
      <c r="E7244" s="8"/>
      <c r="F7244" s="92">
        <f t="shared" si="141"/>
        <v>5945</v>
      </c>
    </row>
    <row r="7245" spans="1:6" x14ac:dyDescent="0.25">
      <c r="A7245" s="204">
        <v>43820</v>
      </c>
      <c r="B7245" s="452" t="s">
        <v>3721</v>
      </c>
      <c r="C7245" s="452"/>
      <c r="D7245" s="452"/>
      <c r="E7245" s="8">
        <v>25000</v>
      </c>
      <c r="F7245" s="92">
        <f t="shared" ref="F7245:F7251" si="142">F7244+E7245-D7245</f>
        <v>30945</v>
      </c>
    </row>
    <row r="7246" spans="1:6" x14ac:dyDescent="0.25">
      <c r="A7246" s="204">
        <v>43820</v>
      </c>
      <c r="B7246" s="26" t="s">
        <v>26</v>
      </c>
      <c r="C7246" s="26" t="s">
        <v>6015</v>
      </c>
      <c r="D7246" s="8">
        <v>600</v>
      </c>
      <c r="E7246" s="8"/>
      <c r="F7246" s="92">
        <f t="shared" si="142"/>
        <v>30345</v>
      </c>
    </row>
    <row r="7247" spans="1:6" x14ac:dyDescent="0.25">
      <c r="A7247" s="204">
        <v>43820</v>
      </c>
      <c r="B7247" s="26" t="s">
        <v>2597</v>
      </c>
      <c r="C7247" s="26" t="s">
        <v>6018</v>
      </c>
      <c r="D7247" s="8">
        <v>13900</v>
      </c>
      <c r="E7247" s="8"/>
      <c r="F7247" s="92">
        <f t="shared" si="142"/>
        <v>16445</v>
      </c>
    </row>
    <row r="7248" spans="1:6" x14ac:dyDescent="0.25">
      <c r="A7248" s="204">
        <v>43822</v>
      </c>
      <c r="B7248" s="452" t="s">
        <v>3721</v>
      </c>
      <c r="C7248" s="452"/>
      <c r="D7248" s="452"/>
      <c r="E7248" s="8">
        <v>150000</v>
      </c>
      <c r="F7248" s="92">
        <f t="shared" si="142"/>
        <v>166445</v>
      </c>
    </row>
    <row r="7249" spans="1:12" x14ac:dyDescent="0.25">
      <c r="A7249" s="204">
        <v>43822</v>
      </c>
      <c r="B7249" s="26" t="s">
        <v>4776</v>
      </c>
      <c r="C7249" s="26" t="s">
        <v>6017</v>
      </c>
      <c r="D7249" s="8">
        <v>35000</v>
      </c>
      <c r="E7249" s="8"/>
      <c r="F7249" s="92">
        <f t="shared" si="142"/>
        <v>131445</v>
      </c>
    </row>
    <row r="7250" spans="1:12" x14ac:dyDescent="0.25">
      <c r="A7250" s="204">
        <v>43822</v>
      </c>
      <c r="B7250" s="26" t="s">
        <v>4776</v>
      </c>
      <c r="C7250" s="26" t="s">
        <v>6017</v>
      </c>
      <c r="D7250" s="8">
        <v>15000</v>
      </c>
      <c r="E7250" s="8"/>
      <c r="F7250" s="92">
        <f t="shared" si="142"/>
        <v>116445</v>
      </c>
      <c r="J7250" s="6"/>
    </row>
    <row r="7251" spans="1:12" x14ac:dyDescent="0.25">
      <c r="A7251" s="204">
        <v>43822</v>
      </c>
      <c r="B7251" s="26" t="s">
        <v>2597</v>
      </c>
      <c r="C7251" s="29" t="s">
        <v>6018</v>
      </c>
      <c r="D7251" s="8">
        <v>13800</v>
      </c>
      <c r="E7251" s="8"/>
      <c r="F7251" s="92">
        <f t="shared" si="142"/>
        <v>102645</v>
      </c>
      <c r="K7251" s="10"/>
      <c r="L7251" s="10"/>
    </row>
    <row r="7252" spans="1:12" x14ac:dyDescent="0.25">
      <c r="A7252" s="204">
        <v>43822</v>
      </c>
      <c r="B7252" s="26" t="s">
        <v>6019</v>
      </c>
      <c r="C7252" s="29" t="s">
        <v>6020</v>
      </c>
      <c r="D7252" s="8">
        <v>10000</v>
      </c>
      <c r="E7252" s="8"/>
      <c r="F7252" s="92">
        <f t="shared" ref="F7252:F7326" si="143">F7251+E7252-D7252</f>
        <v>92645</v>
      </c>
      <c r="K7252" s="10"/>
      <c r="L7252" s="10"/>
    </row>
    <row r="7253" spans="1:12" x14ac:dyDescent="0.25">
      <c r="A7253" s="204">
        <v>43822</v>
      </c>
      <c r="B7253" s="26" t="s">
        <v>2597</v>
      </c>
      <c r="C7253" s="29" t="s">
        <v>6021</v>
      </c>
      <c r="D7253" s="8">
        <v>11432</v>
      </c>
      <c r="E7253" s="8"/>
      <c r="F7253" s="92">
        <f t="shared" si="143"/>
        <v>81213</v>
      </c>
      <c r="K7253" s="10"/>
      <c r="L7253" s="10"/>
    </row>
    <row r="7254" spans="1:12" x14ac:dyDescent="0.25">
      <c r="A7254" s="204">
        <v>43822</v>
      </c>
      <c r="B7254" s="26" t="s">
        <v>1515</v>
      </c>
      <c r="C7254" s="29" t="s">
        <v>6022</v>
      </c>
      <c r="D7254" s="8">
        <v>27000</v>
      </c>
      <c r="E7254" s="8"/>
      <c r="F7254" s="92">
        <f t="shared" si="143"/>
        <v>54213</v>
      </c>
      <c r="K7254" s="10"/>
      <c r="L7254" s="10"/>
    </row>
    <row r="7255" spans="1:12" x14ac:dyDescent="0.25">
      <c r="A7255" s="204">
        <v>43822</v>
      </c>
      <c r="B7255" s="26" t="s">
        <v>6016</v>
      </c>
      <c r="C7255" s="29" t="s">
        <v>4777</v>
      </c>
      <c r="D7255" s="8">
        <v>10000</v>
      </c>
      <c r="E7255" s="8"/>
      <c r="F7255" s="92">
        <f t="shared" si="143"/>
        <v>44213</v>
      </c>
      <c r="K7255" s="10"/>
      <c r="L7255" s="10"/>
    </row>
    <row r="7256" spans="1:12" x14ac:dyDescent="0.25">
      <c r="A7256" s="204">
        <v>43822</v>
      </c>
      <c r="B7256" s="26" t="s">
        <v>14</v>
      </c>
      <c r="C7256" s="29" t="s">
        <v>295</v>
      </c>
      <c r="D7256" s="8">
        <v>5000</v>
      </c>
      <c r="E7256" s="8"/>
      <c r="F7256" s="92">
        <f t="shared" si="143"/>
        <v>39213</v>
      </c>
      <c r="K7256" s="10"/>
      <c r="L7256" s="10"/>
    </row>
    <row r="7257" spans="1:12" x14ac:dyDescent="0.25">
      <c r="A7257" s="204">
        <v>43822</v>
      </c>
      <c r="B7257" s="26" t="s">
        <v>85</v>
      </c>
      <c r="C7257" s="29" t="s">
        <v>6023</v>
      </c>
      <c r="D7257" s="8">
        <v>15000</v>
      </c>
      <c r="E7257" s="8"/>
      <c r="F7257" s="92">
        <f t="shared" si="143"/>
        <v>24213</v>
      </c>
      <c r="K7257" s="10"/>
      <c r="L7257" s="10"/>
    </row>
    <row r="7258" spans="1:12" x14ac:dyDescent="0.25">
      <c r="A7258" s="204">
        <v>43822</v>
      </c>
      <c r="B7258" s="26" t="s">
        <v>85</v>
      </c>
      <c r="C7258" s="138" t="s">
        <v>6024</v>
      </c>
      <c r="D7258" s="165">
        <v>15000</v>
      </c>
      <c r="E7258" s="8"/>
      <c r="F7258" s="92">
        <f t="shared" si="143"/>
        <v>9213</v>
      </c>
      <c r="K7258" s="10"/>
      <c r="L7258" s="10"/>
    </row>
    <row r="7259" spans="1:12" x14ac:dyDescent="0.25">
      <c r="A7259" s="204">
        <v>43822</v>
      </c>
      <c r="B7259" s="26" t="s">
        <v>85</v>
      </c>
      <c r="C7259" s="29" t="s">
        <v>6025</v>
      </c>
      <c r="D7259" s="8">
        <v>1000</v>
      </c>
      <c r="E7259" s="8"/>
      <c r="F7259" s="92">
        <f t="shared" si="143"/>
        <v>8213</v>
      </c>
      <c r="J7259" s="25"/>
      <c r="K7259" s="10"/>
      <c r="L7259" s="10"/>
    </row>
    <row r="7260" spans="1:12" x14ac:dyDescent="0.25">
      <c r="A7260" s="204">
        <v>43822</v>
      </c>
      <c r="B7260" s="452" t="s">
        <v>6026</v>
      </c>
      <c r="C7260" s="452"/>
      <c r="D7260" s="452"/>
      <c r="E7260" s="8">
        <v>3000</v>
      </c>
      <c r="F7260" s="92">
        <f t="shared" si="143"/>
        <v>11213</v>
      </c>
    </row>
    <row r="7261" spans="1:12" x14ac:dyDescent="0.25">
      <c r="A7261" s="204">
        <v>43822</v>
      </c>
      <c r="B7261" s="29" t="s">
        <v>111</v>
      </c>
      <c r="C7261" s="29" t="s">
        <v>6027</v>
      </c>
      <c r="D7261" s="8">
        <v>11000</v>
      </c>
      <c r="E7261" s="8"/>
      <c r="F7261" s="92">
        <f t="shared" si="143"/>
        <v>213</v>
      </c>
    </row>
    <row r="7262" spans="1:12" x14ac:dyDescent="0.25">
      <c r="A7262" s="204">
        <v>43823</v>
      </c>
      <c r="B7262" s="26" t="s">
        <v>26</v>
      </c>
      <c r="C7262" s="26" t="s">
        <v>6028</v>
      </c>
      <c r="D7262" s="8">
        <v>100</v>
      </c>
      <c r="E7262" s="8"/>
      <c r="F7262" s="92">
        <f t="shared" si="143"/>
        <v>113</v>
      </c>
      <c r="J7262" s="6"/>
    </row>
    <row r="7263" spans="1:12" x14ac:dyDescent="0.25">
      <c r="A7263" s="204">
        <v>43823</v>
      </c>
      <c r="B7263" s="26" t="s">
        <v>26</v>
      </c>
      <c r="C7263" s="26" t="s">
        <v>6029</v>
      </c>
      <c r="D7263" s="8">
        <v>200</v>
      </c>
      <c r="E7263" s="8"/>
      <c r="F7263" s="92">
        <f t="shared" si="143"/>
        <v>-87</v>
      </c>
      <c r="K7263" s="10"/>
      <c r="L7263" s="10"/>
    </row>
    <row r="7264" spans="1:12" x14ac:dyDescent="0.25">
      <c r="A7264" s="204">
        <v>43823</v>
      </c>
      <c r="B7264" s="26" t="s">
        <v>26</v>
      </c>
      <c r="C7264" s="26" t="s">
        <v>6030</v>
      </c>
      <c r="D7264" s="8">
        <v>200</v>
      </c>
      <c r="E7264" s="8"/>
      <c r="F7264" s="92">
        <f t="shared" si="143"/>
        <v>-287</v>
      </c>
      <c r="K7264" s="10"/>
      <c r="L7264" s="10"/>
    </row>
    <row r="7265" spans="1:12" x14ac:dyDescent="0.25">
      <c r="A7265" s="204">
        <v>43823</v>
      </c>
      <c r="B7265" s="452" t="s">
        <v>6026</v>
      </c>
      <c r="C7265" s="452"/>
      <c r="D7265" s="452"/>
      <c r="E7265" s="8">
        <v>10000</v>
      </c>
      <c r="F7265" s="92">
        <f t="shared" si="143"/>
        <v>9713</v>
      </c>
      <c r="K7265" s="10"/>
      <c r="L7265" s="10"/>
    </row>
    <row r="7266" spans="1:12" x14ac:dyDescent="0.25">
      <c r="A7266" s="204">
        <v>43823</v>
      </c>
      <c r="B7266" s="29" t="s">
        <v>2597</v>
      </c>
      <c r="C7266" s="29" t="s">
        <v>6031</v>
      </c>
      <c r="D7266" s="8">
        <v>7403</v>
      </c>
      <c r="E7266" s="8"/>
      <c r="F7266" s="92">
        <f t="shared" si="143"/>
        <v>2310</v>
      </c>
      <c r="K7266" s="10"/>
      <c r="L7266" s="10"/>
    </row>
    <row r="7267" spans="1:12" x14ac:dyDescent="0.25">
      <c r="A7267" s="204">
        <v>43825</v>
      </c>
      <c r="B7267" s="29" t="s">
        <v>26</v>
      </c>
      <c r="C7267" s="29" t="s">
        <v>5995</v>
      </c>
      <c r="D7267" s="8">
        <v>600</v>
      </c>
      <c r="E7267" s="8"/>
      <c r="F7267" s="92">
        <f t="shared" si="143"/>
        <v>1710</v>
      </c>
      <c r="K7267" s="10"/>
      <c r="L7267" s="10"/>
    </row>
    <row r="7268" spans="1:12" x14ac:dyDescent="0.25">
      <c r="A7268" s="204">
        <v>43825</v>
      </c>
      <c r="B7268" s="452" t="s">
        <v>4333</v>
      </c>
      <c r="C7268" s="452"/>
      <c r="D7268" s="452"/>
      <c r="E7268" s="8">
        <v>100000</v>
      </c>
      <c r="F7268" s="92">
        <f t="shared" si="143"/>
        <v>101710</v>
      </c>
      <c r="K7268" s="10"/>
      <c r="L7268" s="10"/>
    </row>
    <row r="7269" spans="1:12" x14ac:dyDescent="0.25">
      <c r="A7269" s="204">
        <v>43825</v>
      </c>
      <c r="B7269" s="29" t="s">
        <v>6037</v>
      </c>
      <c r="C7269" s="29" t="s">
        <v>6038</v>
      </c>
      <c r="D7269" s="8">
        <v>42000</v>
      </c>
      <c r="E7269" s="8"/>
      <c r="F7269" s="92">
        <f t="shared" si="143"/>
        <v>59710</v>
      </c>
      <c r="K7269" s="10"/>
      <c r="L7269" s="10"/>
    </row>
    <row r="7270" spans="1:12" x14ac:dyDescent="0.25">
      <c r="A7270" s="204">
        <v>43825</v>
      </c>
      <c r="B7270" s="29" t="s">
        <v>85</v>
      </c>
      <c r="C7270" s="29" t="s">
        <v>6033</v>
      </c>
      <c r="D7270" s="8">
        <v>1000</v>
      </c>
      <c r="E7270" s="8"/>
      <c r="F7270" s="92">
        <f t="shared" si="143"/>
        <v>58710</v>
      </c>
      <c r="K7270" s="10"/>
      <c r="L7270" s="10"/>
    </row>
    <row r="7271" spans="1:12" x14ac:dyDescent="0.25">
      <c r="A7271" s="204">
        <v>43825</v>
      </c>
      <c r="B7271" s="29" t="s">
        <v>14</v>
      </c>
      <c r="C7271" s="29" t="s">
        <v>295</v>
      </c>
      <c r="D7271" s="8">
        <v>1000</v>
      </c>
      <c r="E7271" s="8"/>
      <c r="F7271" s="92">
        <f t="shared" si="143"/>
        <v>57710</v>
      </c>
      <c r="K7271" s="10"/>
      <c r="L7271" s="10"/>
    </row>
    <row r="7272" spans="1:12" x14ac:dyDescent="0.25">
      <c r="A7272" s="204">
        <v>43825</v>
      </c>
      <c r="B7272" s="452" t="s">
        <v>4333</v>
      </c>
      <c r="C7272" s="452"/>
      <c r="D7272" s="452"/>
      <c r="E7272" s="8">
        <v>100000</v>
      </c>
      <c r="F7272" s="92">
        <f t="shared" si="143"/>
        <v>157710</v>
      </c>
      <c r="K7272" s="10"/>
      <c r="L7272" s="10"/>
    </row>
    <row r="7273" spans="1:12" x14ac:dyDescent="0.25">
      <c r="A7273" s="204">
        <v>43825</v>
      </c>
      <c r="B7273" s="26" t="s">
        <v>14</v>
      </c>
      <c r="C7273" s="26" t="s">
        <v>6032</v>
      </c>
      <c r="D7273" s="8">
        <v>55000</v>
      </c>
      <c r="E7273" s="8"/>
      <c r="F7273" s="92">
        <f t="shared" si="143"/>
        <v>102710</v>
      </c>
    </row>
    <row r="7274" spans="1:12" x14ac:dyDescent="0.25">
      <c r="A7274" s="204">
        <v>43825</v>
      </c>
      <c r="B7274" s="29" t="s">
        <v>26</v>
      </c>
      <c r="C7274" s="26" t="s">
        <v>6034</v>
      </c>
      <c r="D7274" s="8">
        <f>280+230+120+45+230+180+270+100+100+110+50+105+100+440+250+70+280+100</f>
        <v>3060</v>
      </c>
      <c r="E7274" s="8"/>
      <c r="F7274" s="92">
        <f t="shared" si="143"/>
        <v>99650</v>
      </c>
    </row>
    <row r="7275" spans="1:12" x14ac:dyDescent="0.25">
      <c r="A7275" s="204">
        <v>43825</v>
      </c>
      <c r="B7275" s="29" t="s">
        <v>85</v>
      </c>
      <c r="C7275" s="29" t="s">
        <v>6035</v>
      </c>
      <c r="D7275" s="8">
        <v>3000</v>
      </c>
      <c r="E7275" s="8"/>
      <c r="F7275" s="92">
        <f t="shared" si="143"/>
        <v>96650</v>
      </c>
    </row>
    <row r="7276" spans="1:12" x14ac:dyDescent="0.25">
      <c r="A7276" s="204">
        <v>43825</v>
      </c>
      <c r="B7276" s="29" t="s">
        <v>85</v>
      </c>
      <c r="C7276" s="29" t="s">
        <v>6036</v>
      </c>
      <c r="D7276" s="8">
        <v>3000</v>
      </c>
      <c r="E7276" s="8"/>
      <c r="F7276" s="92">
        <f t="shared" si="143"/>
        <v>93650</v>
      </c>
    </row>
    <row r="7277" spans="1:12" x14ac:dyDescent="0.25">
      <c r="A7277" s="204">
        <v>43825</v>
      </c>
      <c r="B7277" s="29" t="s">
        <v>85</v>
      </c>
      <c r="C7277" s="29" t="s">
        <v>6052</v>
      </c>
      <c r="D7277" s="8">
        <v>500</v>
      </c>
      <c r="E7277" s="8"/>
      <c r="F7277" s="92">
        <f t="shared" si="143"/>
        <v>93150</v>
      </c>
    </row>
    <row r="7278" spans="1:12" x14ac:dyDescent="0.25">
      <c r="A7278" s="204">
        <v>43825</v>
      </c>
      <c r="B7278" s="26" t="s">
        <v>26</v>
      </c>
      <c r="C7278" s="26" t="s">
        <v>6045</v>
      </c>
      <c r="D7278" s="8">
        <v>1170</v>
      </c>
      <c r="E7278" s="8"/>
      <c r="F7278" s="92">
        <f t="shared" si="143"/>
        <v>91980</v>
      </c>
    </row>
    <row r="7279" spans="1:12" x14ac:dyDescent="0.25">
      <c r="A7279" s="204">
        <v>43825</v>
      </c>
      <c r="B7279" s="26" t="s">
        <v>26</v>
      </c>
      <c r="C7279" s="26" t="s">
        <v>3697</v>
      </c>
      <c r="D7279" s="8">
        <v>1510</v>
      </c>
      <c r="E7279" s="8"/>
      <c r="F7279" s="92">
        <f t="shared" si="143"/>
        <v>90470</v>
      </c>
      <c r="G7279" s="25"/>
    </row>
    <row r="7280" spans="1:12" x14ac:dyDescent="0.25">
      <c r="A7280" s="204">
        <v>43825</v>
      </c>
      <c r="B7280" s="29" t="s">
        <v>26</v>
      </c>
      <c r="C7280" s="26" t="s">
        <v>6041</v>
      </c>
      <c r="D7280" s="8">
        <v>400</v>
      </c>
      <c r="E7280" s="8"/>
      <c r="F7280" s="92">
        <f t="shared" si="143"/>
        <v>90070</v>
      </c>
      <c r="G7280" s="25"/>
    </row>
    <row r="7281" spans="1:6" x14ac:dyDescent="0.25">
      <c r="A7281" s="204">
        <v>43826</v>
      </c>
      <c r="B7281" s="29" t="s">
        <v>6019</v>
      </c>
      <c r="C7281" s="26" t="s">
        <v>6039</v>
      </c>
      <c r="D7281" s="8">
        <v>50000</v>
      </c>
      <c r="E7281" s="8"/>
      <c r="F7281" s="92">
        <f t="shared" si="143"/>
        <v>40070</v>
      </c>
    </row>
    <row r="7282" spans="1:6" x14ac:dyDescent="0.25">
      <c r="A7282" s="204">
        <v>43826</v>
      </c>
      <c r="B7282" s="26" t="s">
        <v>5201</v>
      </c>
      <c r="C7282" s="26" t="s">
        <v>6040</v>
      </c>
      <c r="D7282" s="8">
        <v>20000</v>
      </c>
      <c r="E7282" s="8"/>
      <c r="F7282" s="92">
        <f t="shared" si="143"/>
        <v>20070</v>
      </c>
    </row>
    <row r="7283" spans="1:6" x14ac:dyDescent="0.25">
      <c r="A7283" s="204">
        <v>43826</v>
      </c>
      <c r="B7283" s="26" t="s">
        <v>26</v>
      </c>
      <c r="C7283" s="26" t="s">
        <v>6042</v>
      </c>
      <c r="D7283" s="8">
        <v>1500</v>
      </c>
      <c r="E7283" s="8"/>
      <c r="F7283" s="92">
        <f t="shared" si="143"/>
        <v>18570</v>
      </c>
    </row>
    <row r="7284" spans="1:6" x14ac:dyDescent="0.25">
      <c r="A7284" s="204">
        <v>43826</v>
      </c>
      <c r="B7284" s="29" t="s">
        <v>85</v>
      </c>
      <c r="C7284" s="29" t="s">
        <v>6043</v>
      </c>
      <c r="D7284" s="8">
        <v>5000</v>
      </c>
      <c r="E7284" s="8"/>
      <c r="F7284" s="92">
        <f t="shared" si="143"/>
        <v>13570</v>
      </c>
    </row>
    <row r="7285" spans="1:6" x14ac:dyDescent="0.25">
      <c r="A7285" s="204">
        <v>43826</v>
      </c>
      <c r="B7285" s="29" t="s">
        <v>2597</v>
      </c>
      <c r="C7285" s="29" t="s">
        <v>6044</v>
      </c>
      <c r="D7285" s="8">
        <v>1800</v>
      </c>
      <c r="E7285" s="8"/>
      <c r="F7285" s="92">
        <f t="shared" si="143"/>
        <v>11770</v>
      </c>
    </row>
    <row r="7286" spans="1:6" x14ac:dyDescent="0.25">
      <c r="A7286" s="204">
        <v>43826</v>
      </c>
      <c r="B7286" s="29" t="s">
        <v>85</v>
      </c>
      <c r="C7286" s="29" t="s">
        <v>6050</v>
      </c>
      <c r="D7286" s="8">
        <v>1000</v>
      </c>
      <c r="E7286" s="8"/>
      <c r="F7286" s="92">
        <f t="shared" si="143"/>
        <v>10770</v>
      </c>
    </row>
    <row r="7287" spans="1:6" x14ac:dyDescent="0.25">
      <c r="A7287" s="204">
        <v>43826</v>
      </c>
      <c r="B7287" s="26" t="s">
        <v>26</v>
      </c>
      <c r="C7287" s="26" t="s">
        <v>6046</v>
      </c>
      <c r="D7287" s="8">
        <v>1700</v>
      </c>
      <c r="E7287" s="8"/>
      <c r="F7287" s="92">
        <f t="shared" si="143"/>
        <v>9070</v>
      </c>
    </row>
    <row r="7288" spans="1:6" x14ac:dyDescent="0.25">
      <c r="A7288" s="204">
        <v>43826</v>
      </c>
      <c r="B7288" s="26" t="s">
        <v>85</v>
      </c>
      <c r="C7288" s="26" t="s">
        <v>6047</v>
      </c>
      <c r="D7288" s="8">
        <v>2000</v>
      </c>
      <c r="E7288" s="8"/>
      <c r="F7288" s="92">
        <f t="shared" si="143"/>
        <v>7070</v>
      </c>
    </row>
    <row r="7289" spans="1:6" x14ac:dyDescent="0.25">
      <c r="A7289" s="204">
        <v>43826</v>
      </c>
      <c r="B7289" s="29" t="s">
        <v>26</v>
      </c>
      <c r="C7289" s="29" t="s">
        <v>6048</v>
      </c>
      <c r="D7289" s="8">
        <v>1100</v>
      </c>
      <c r="E7289" s="8"/>
      <c r="F7289" s="92">
        <f t="shared" si="143"/>
        <v>5970</v>
      </c>
    </row>
    <row r="7290" spans="1:6" x14ac:dyDescent="0.25">
      <c r="A7290" s="204">
        <v>43826</v>
      </c>
      <c r="B7290" s="29" t="s">
        <v>1840</v>
      </c>
      <c r="C7290" s="29" t="s">
        <v>6049</v>
      </c>
      <c r="D7290" s="8">
        <v>1200</v>
      </c>
      <c r="E7290" s="8"/>
      <c r="F7290" s="92">
        <f t="shared" si="143"/>
        <v>4770</v>
      </c>
    </row>
    <row r="7291" spans="1:6" x14ac:dyDescent="0.25">
      <c r="A7291" s="204">
        <v>43830</v>
      </c>
      <c r="B7291" s="26" t="s">
        <v>111</v>
      </c>
      <c r="C7291" s="26" t="s">
        <v>92</v>
      </c>
      <c r="D7291" s="8">
        <v>600</v>
      </c>
      <c r="E7291" s="8"/>
      <c r="F7291" s="92">
        <f t="shared" si="143"/>
        <v>4170</v>
      </c>
    </row>
    <row r="7292" spans="1:6" x14ac:dyDescent="0.25">
      <c r="A7292" s="204">
        <v>43832</v>
      </c>
      <c r="B7292" s="452" t="s">
        <v>4333</v>
      </c>
      <c r="C7292" s="452"/>
      <c r="D7292" s="452"/>
      <c r="E7292" s="8">
        <v>50000</v>
      </c>
      <c r="F7292" s="92">
        <f t="shared" si="143"/>
        <v>54170</v>
      </c>
    </row>
    <row r="7293" spans="1:6" x14ac:dyDescent="0.25">
      <c r="A7293" s="204">
        <v>43832</v>
      </c>
      <c r="B7293" s="26" t="s">
        <v>2597</v>
      </c>
      <c r="C7293" s="26" t="s">
        <v>4847</v>
      </c>
      <c r="D7293" s="8">
        <v>5050</v>
      </c>
      <c r="E7293" s="8"/>
      <c r="F7293" s="92">
        <f t="shared" si="143"/>
        <v>49120</v>
      </c>
    </row>
    <row r="7294" spans="1:6" x14ac:dyDescent="0.25">
      <c r="A7294" s="204">
        <v>43832</v>
      </c>
      <c r="B7294" s="29" t="s">
        <v>10</v>
      </c>
      <c r="C7294" s="29" t="s">
        <v>6056</v>
      </c>
      <c r="D7294" s="8">
        <v>4000</v>
      </c>
      <c r="E7294" s="8"/>
      <c r="F7294" s="92">
        <f t="shared" si="143"/>
        <v>45120</v>
      </c>
    </row>
    <row r="7295" spans="1:6" x14ac:dyDescent="0.25">
      <c r="A7295" s="204">
        <v>43832</v>
      </c>
      <c r="B7295" s="26" t="s">
        <v>85</v>
      </c>
      <c r="C7295" s="26" t="s">
        <v>6057</v>
      </c>
      <c r="D7295" s="8">
        <v>1000</v>
      </c>
      <c r="E7295" s="8"/>
      <c r="F7295" s="92">
        <f t="shared" si="143"/>
        <v>44120</v>
      </c>
    </row>
    <row r="7296" spans="1:6" x14ac:dyDescent="0.25">
      <c r="A7296" s="204">
        <v>43832</v>
      </c>
      <c r="B7296" s="29" t="s">
        <v>111</v>
      </c>
      <c r="C7296" s="29" t="s">
        <v>3175</v>
      </c>
      <c r="D7296" s="8">
        <v>12000</v>
      </c>
      <c r="E7296" s="8"/>
      <c r="F7296" s="92">
        <f t="shared" si="143"/>
        <v>32120</v>
      </c>
    </row>
    <row r="7297" spans="1:12" x14ac:dyDescent="0.25">
      <c r="A7297" s="204">
        <v>43833</v>
      </c>
      <c r="B7297" s="29" t="s">
        <v>1515</v>
      </c>
      <c r="C7297" s="29" t="s">
        <v>6025</v>
      </c>
      <c r="D7297" s="8">
        <v>5000</v>
      </c>
      <c r="E7297" s="8"/>
      <c r="F7297" s="92">
        <f t="shared" si="143"/>
        <v>27120</v>
      </c>
    </row>
    <row r="7298" spans="1:12" x14ac:dyDescent="0.25">
      <c r="A7298" s="204">
        <v>43833</v>
      </c>
      <c r="B7298" s="26" t="s">
        <v>998</v>
      </c>
      <c r="C7298" s="26" t="s">
        <v>6058</v>
      </c>
      <c r="D7298" s="8">
        <v>660</v>
      </c>
      <c r="E7298" s="8"/>
      <c r="F7298" s="92">
        <f t="shared" si="143"/>
        <v>26460</v>
      </c>
    </row>
    <row r="7299" spans="1:12" x14ac:dyDescent="0.25">
      <c r="A7299" s="204">
        <v>43833</v>
      </c>
      <c r="B7299" s="26" t="s">
        <v>26</v>
      </c>
      <c r="C7299" s="26" t="s">
        <v>6059</v>
      </c>
      <c r="D7299" s="8">
        <v>400</v>
      </c>
      <c r="E7299" s="8"/>
      <c r="F7299" s="92">
        <f t="shared" si="143"/>
        <v>26060</v>
      </c>
    </row>
    <row r="7300" spans="1:12" x14ac:dyDescent="0.25">
      <c r="A7300" s="204">
        <v>43834</v>
      </c>
      <c r="B7300" s="26" t="s">
        <v>26</v>
      </c>
      <c r="C7300" s="137" t="s">
        <v>6060</v>
      </c>
      <c r="D7300" s="139">
        <v>1500</v>
      </c>
      <c r="E7300" s="8"/>
      <c r="F7300" s="92">
        <f t="shared" si="143"/>
        <v>24560</v>
      </c>
    </row>
    <row r="7301" spans="1:12" x14ac:dyDescent="0.25">
      <c r="A7301" s="204">
        <v>43834</v>
      </c>
      <c r="B7301" s="26" t="s">
        <v>2597</v>
      </c>
      <c r="C7301" s="26" t="s">
        <v>3146</v>
      </c>
      <c r="D7301" s="8">
        <v>16082</v>
      </c>
      <c r="E7301" s="8"/>
      <c r="F7301" s="92">
        <f t="shared" si="143"/>
        <v>8478</v>
      </c>
    </row>
    <row r="7302" spans="1:12" x14ac:dyDescent="0.25">
      <c r="A7302" s="204">
        <v>43834</v>
      </c>
      <c r="B7302" s="26" t="s">
        <v>2597</v>
      </c>
      <c r="C7302" s="46" t="s">
        <v>6061</v>
      </c>
      <c r="D7302" s="140">
        <v>3250</v>
      </c>
      <c r="E7302" s="8"/>
      <c r="F7302" s="92">
        <f t="shared" si="143"/>
        <v>5228</v>
      </c>
    </row>
    <row r="7303" spans="1:12" x14ac:dyDescent="0.25">
      <c r="A7303" s="204">
        <v>43834</v>
      </c>
      <c r="B7303" s="26" t="s">
        <v>85</v>
      </c>
      <c r="C7303" s="26" t="s">
        <v>6035</v>
      </c>
      <c r="D7303" s="8">
        <v>450</v>
      </c>
      <c r="E7303" s="8"/>
      <c r="F7303" s="92">
        <f t="shared" si="143"/>
        <v>4778</v>
      </c>
    </row>
    <row r="7304" spans="1:12" x14ac:dyDescent="0.25">
      <c r="A7304" s="204">
        <v>43834</v>
      </c>
      <c r="B7304" s="29" t="s">
        <v>85</v>
      </c>
      <c r="C7304" s="29" t="s">
        <v>6050</v>
      </c>
      <c r="D7304" s="8">
        <v>1000</v>
      </c>
      <c r="E7304" s="8"/>
      <c r="F7304" s="92">
        <f t="shared" si="143"/>
        <v>3778</v>
      </c>
    </row>
    <row r="7305" spans="1:12" x14ac:dyDescent="0.25">
      <c r="A7305" s="204">
        <v>43837</v>
      </c>
      <c r="B7305" s="26" t="s">
        <v>26</v>
      </c>
      <c r="C7305" s="26" t="s">
        <v>3376</v>
      </c>
      <c r="D7305" s="8">
        <v>1000</v>
      </c>
      <c r="E7305" s="8"/>
      <c r="F7305" s="92">
        <f t="shared" si="143"/>
        <v>2778</v>
      </c>
    </row>
    <row r="7306" spans="1:12" x14ac:dyDescent="0.25">
      <c r="A7306" s="204">
        <v>43837</v>
      </c>
      <c r="B7306" s="26" t="s">
        <v>2597</v>
      </c>
      <c r="C7306" s="137" t="s">
        <v>295</v>
      </c>
      <c r="D7306" s="139">
        <v>250</v>
      </c>
      <c r="E7306" s="8"/>
      <c r="F7306" s="92">
        <f t="shared" si="143"/>
        <v>2528</v>
      </c>
    </row>
    <row r="7307" spans="1:12" x14ac:dyDescent="0.25">
      <c r="A7307" s="204">
        <v>43837</v>
      </c>
      <c r="B7307" s="29" t="s">
        <v>26</v>
      </c>
      <c r="C7307" s="26" t="s">
        <v>6068</v>
      </c>
      <c r="D7307" s="8">
        <f>280+220+50+170+280+290+270+160+130</f>
        <v>1850</v>
      </c>
      <c r="E7307" s="8"/>
      <c r="F7307" s="92">
        <f t="shared" si="143"/>
        <v>678</v>
      </c>
    </row>
    <row r="7308" spans="1:12" x14ac:dyDescent="0.25">
      <c r="A7308" s="204">
        <v>43837</v>
      </c>
      <c r="B7308" s="452" t="s">
        <v>6026</v>
      </c>
      <c r="C7308" s="452"/>
      <c r="D7308" s="452"/>
      <c r="E7308" s="8">
        <v>750000</v>
      </c>
      <c r="F7308" s="92">
        <f t="shared" si="143"/>
        <v>750678</v>
      </c>
      <c r="K7308" s="10"/>
      <c r="L7308" s="10"/>
    </row>
    <row r="7309" spans="1:12" x14ac:dyDescent="0.25">
      <c r="A7309" s="204">
        <v>43837</v>
      </c>
      <c r="B7309" s="452" t="s">
        <v>6026</v>
      </c>
      <c r="C7309" s="452"/>
      <c r="D7309" s="452"/>
      <c r="E7309" s="8">
        <v>200000</v>
      </c>
      <c r="F7309" s="92">
        <f t="shared" si="143"/>
        <v>950678</v>
      </c>
      <c r="K7309" s="10"/>
      <c r="L7309" s="10"/>
    </row>
    <row r="7310" spans="1:12" x14ac:dyDescent="0.25">
      <c r="A7310" s="204">
        <v>43837</v>
      </c>
      <c r="B7310" s="452" t="s">
        <v>6026</v>
      </c>
      <c r="C7310" s="452"/>
      <c r="D7310" s="452"/>
      <c r="E7310" s="8">
        <v>496000</v>
      </c>
      <c r="F7310" s="92">
        <f t="shared" si="143"/>
        <v>1446678</v>
      </c>
      <c r="K7310" s="10"/>
      <c r="L7310" s="10"/>
    </row>
    <row r="7311" spans="1:12" x14ac:dyDescent="0.25">
      <c r="A7311" s="204">
        <v>43837</v>
      </c>
      <c r="B7311" s="452" t="s">
        <v>4333</v>
      </c>
      <c r="C7311" s="452"/>
      <c r="D7311" s="452"/>
      <c r="E7311" s="8">
        <v>150000</v>
      </c>
      <c r="F7311" s="92">
        <f t="shared" ref="F7311:F7312" si="144">F7310+E7311-D7311</f>
        <v>1596678</v>
      </c>
    </row>
    <row r="7312" spans="1:12" x14ac:dyDescent="0.25">
      <c r="A7312" s="204">
        <v>43839</v>
      </c>
      <c r="B7312" s="29" t="s">
        <v>5140</v>
      </c>
      <c r="C7312" s="29" t="s">
        <v>41</v>
      </c>
      <c r="D7312" s="8">
        <v>4200</v>
      </c>
      <c r="E7312" s="8"/>
      <c r="F7312" s="92">
        <f t="shared" si="144"/>
        <v>1592478</v>
      </c>
    </row>
    <row r="7313" spans="1:12" x14ac:dyDescent="0.25">
      <c r="A7313" s="204">
        <v>43839</v>
      </c>
      <c r="B7313" s="26" t="s">
        <v>4778</v>
      </c>
      <c r="C7313" s="26" t="s">
        <v>295</v>
      </c>
      <c r="D7313" s="8">
        <v>5000</v>
      </c>
      <c r="E7313" s="8"/>
      <c r="F7313" s="92">
        <f t="shared" si="143"/>
        <v>1587478</v>
      </c>
    </row>
    <row r="7314" spans="1:12" x14ac:dyDescent="0.25">
      <c r="A7314" s="204">
        <v>43839</v>
      </c>
      <c r="B7314" s="26" t="s">
        <v>4778</v>
      </c>
      <c r="C7314" s="26" t="s">
        <v>295</v>
      </c>
      <c r="D7314" s="8">
        <v>10000</v>
      </c>
      <c r="E7314" s="8"/>
      <c r="F7314" s="92">
        <f t="shared" si="143"/>
        <v>1577478</v>
      </c>
    </row>
    <row r="7315" spans="1:12" x14ac:dyDescent="0.25">
      <c r="A7315" s="204">
        <v>43841</v>
      </c>
      <c r="B7315" s="26" t="s">
        <v>4312</v>
      </c>
      <c r="C7315" s="26" t="s">
        <v>41</v>
      </c>
      <c r="D7315" s="8">
        <v>20000</v>
      </c>
      <c r="E7315" s="8"/>
      <c r="F7315" s="92">
        <f t="shared" si="143"/>
        <v>1557478</v>
      </c>
    </row>
    <row r="7316" spans="1:12" x14ac:dyDescent="0.25">
      <c r="A7316" s="204">
        <v>43841</v>
      </c>
      <c r="B7316" s="26" t="s">
        <v>1515</v>
      </c>
      <c r="C7316" s="26" t="s">
        <v>6062</v>
      </c>
      <c r="D7316" s="8">
        <v>300</v>
      </c>
      <c r="E7316" s="8"/>
      <c r="F7316" s="92">
        <f t="shared" si="143"/>
        <v>1557178</v>
      </c>
    </row>
    <row r="7317" spans="1:12" x14ac:dyDescent="0.25">
      <c r="A7317" s="204">
        <v>43841</v>
      </c>
      <c r="B7317" s="26" t="s">
        <v>2597</v>
      </c>
      <c r="C7317" s="26" t="s">
        <v>4196</v>
      </c>
      <c r="D7317" s="8">
        <v>20000</v>
      </c>
      <c r="E7317" s="8"/>
      <c r="F7317" s="92">
        <f t="shared" si="143"/>
        <v>1537178</v>
      </c>
    </row>
    <row r="7318" spans="1:12" x14ac:dyDescent="0.25">
      <c r="A7318" s="204">
        <v>43841</v>
      </c>
      <c r="B7318" s="26" t="s">
        <v>6063</v>
      </c>
      <c r="C7318" s="26" t="s">
        <v>6064</v>
      </c>
      <c r="D7318" s="8">
        <v>10000</v>
      </c>
      <c r="E7318" s="8"/>
      <c r="F7318" s="92">
        <f t="shared" si="143"/>
        <v>1527178</v>
      </c>
    </row>
    <row r="7319" spans="1:12" x14ac:dyDescent="0.25">
      <c r="A7319" s="204">
        <v>43841</v>
      </c>
      <c r="B7319" s="26" t="s">
        <v>4250</v>
      </c>
      <c r="C7319" s="26" t="s">
        <v>6065</v>
      </c>
      <c r="D7319" s="8">
        <v>5000</v>
      </c>
      <c r="E7319" s="8"/>
      <c r="F7319" s="92">
        <f t="shared" si="143"/>
        <v>1522178</v>
      </c>
    </row>
    <row r="7320" spans="1:12" x14ac:dyDescent="0.25">
      <c r="A7320" s="204">
        <v>43841</v>
      </c>
      <c r="B7320" s="26" t="s">
        <v>55</v>
      </c>
      <c r="C7320" s="26" t="s">
        <v>6066</v>
      </c>
      <c r="D7320" s="8">
        <v>1447198</v>
      </c>
      <c r="E7320" s="8"/>
      <c r="F7320" s="92">
        <f t="shared" si="143"/>
        <v>74980</v>
      </c>
    </row>
    <row r="7321" spans="1:12" x14ac:dyDescent="0.25">
      <c r="A7321" s="204">
        <v>43841</v>
      </c>
      <c r="B7321" s="29" t="s">
        <v>26</v>
      </c>
      <c r="C7321" s="29" t="s">
        <v>6067</v>
      </c>
      <c r="D7321" s="8">
        <v>23625</v>
      </c>
      <c r="E7321" s="8"/>
      <c r="F7321" s="92">
        <f t="shared" si="143"/>
        <v>51355</v>
      </c>
      <c r="G7321" s="25"/>
    </row>
    <row r="7322" spans="1:12" x14ac:dyDescent="0.25">
      <c r="A7322" s="204">
        <v>43843</v>
      </c>
      <c r="B7322" s="29" t="s">
        <v>3550</v>
      </c>
      <c r="C7322" s="29" t="s">
        <v>439</v>
      </c>
      <c r="D7322" s="8">
        <v>14100</v>
      </c>
      <c r="E7322" s="8"/>
      <c r="F7322" s="92">
        <f t="shared" si="143"/>
        <v>37255</v>
      </c>
    </row>
    <row r="7323" spans="1:12" x14ac:dyDescent="0.25">
      <c r="A7323" s="204">
        <v>43843</v>
      </c>
      <c r="B7323" s="29" t="s">
        <v>2597</v>
      </c>
      <c r="C7323" s="29" t="s">
        <v>6069</v>
      </c>
      <c r="D7323" s="8">
        <v>870</v>
      </c>
      <c r="E7323" s="8"/>
      <c r="F7323" s="92">
        <f t="shared" si="143"/>
        <v>36385</v>
      </c>
    </row>
    <row r="7324" spans="1:12" x14ac:dyDescent="0.25">
      <c r="A7324" s="204">
        <v>43844</v>
      </c>
      <c r="B7324" s="29" t="s">
        <v>2597</v>
      </c>
      <c r="C7324" s="29" t="s">
        <v>6070</v>
      </c>
      <c r="D7324" s="8">
        <v>7008</v>
      </c>
      <c r="E7324" s="8"/>
      <c r="F7324" s="92">
        <f t="shared" si="143"/>
        <v>29377</v>
      </c>
    </row>
    <row r="7325" spans="1:12" x14ac:dyDescent="0.25">
      <c r="A7325" s="204">
        <v>43844</v>
      </c>
      <c r="B7325" s="26" t="s">
        <v>4776</v>
      </c>
      <c r="C7325" s="29" t="s">
        <v>6076</v>
      </c>
      <c r="D7325" s="8">
        <v>5000</v>
      </c>
      <c r="E7325" s="8"/>
      <c r="F7325" s="92">
        <f t="shared" si="143"/>
        <v>24377</v>
      </c>
    </row>
    <row r="7326" spans="1:12" x14ac:dyDescent="0.25">
      <c r="A7326" s="204">
        <v>43845</v>
      </c>
      <c r="B7326" s="26" t="s">
        <v>14</v>
      </c>
      <c r="C7326" s="26" t="s">
        <v>295</v>
      </c>
      <c r="D7326" s="8">
        <v>5000</v>
      </c>
      <c r="E7326" s="8"/>
      <c r="F7326" s="92">
        <f t="shared" si="143"/>
        <v>19377</v>
      </c>
    </row>
    <row r="7327" spans="1:12" x14ac:dyDescent="0.25">
      <c r="A7327" s="204">
        <v>43845</v>
      </c>
      <c r="B7327" s="452" t="s">
        <v>6071</v>
      </c>
      <c r="C7327" s="452"/>
      <c r="D7327" s="452"/>
      <c r="E7327" s="8">
        <v>8000</v>
      </c>
      <c r="F7327" s="92">
        <f t="shared" ref="F7327:F7367" si="145">F7326+E7327-D7327</f>
        <v>27377</v>
      </c>
      <c r="K7327" s="10"/>
      <c r="L7327" s="10"/>
    </row>
    <row r="7328" spans="1:12" x14ac:dyDescent="0.25">
      <c r="A7328" s="204">
        <v>43845</v>
      </c>
      <c r="B7328" s="46" t="s">
        <v>2597</v>
      </c>
      <c r="C7328" s="46" t="s">
        <v>2547</v>
      </c>
      <c r="D7328" s="140">
        <v>8422</v>
      </c>
      <c r="E7328" s="8"/>
      <c r="F7328" s="92">
        <f t="shared" si="145"/>
        <v>18955</v>
      </c>
    </row>
    <row r="7329" spans="1:12" x14ac:dyDescent="0.25">
      <c r="A7329" s="204">
        <v>43845</v>
      </c>
      <c r="B7329" s="46" t="s">
        <v>1790</v>
      </c>
      <c r="C7329" s="46" t="s">
        <v>41</v>
      </c>
      <c r="D7329" s="140">
        <v>3000</v>
      </c>
      <c r="E7329" s="8"/>
      <c r="F7329" s="92">
        <f t="shared" si="145"/>
        <v>15955</v>
      </c>
    </row>
    <row r="7330" spans="1:12" x14ac:dyDescent="0.25">
      <c r="A7330" s="204">
        <v>43846</v>
      </c>
      <c r="B7330" s="46" t="s">
        <v>2597</v>
      </c>
      <c r="C7330" s="46" t="s">
        <v>2547</v>
      </c>
      <c r="D7330" s="140">
        <v>8900</v>
      </c>
      <c r="E7330" s="8"/>
      <c r="F7330" s="92">
        <f t="shared" si="145"/>
        <v>7055</v>
      </c>
    </row>
    <row r="7331" spans="1:12" x14ac:dyDescent="0.25">
      <c r="A7331" s="204">
        <v>43846</v>
      </c>
      <c r="B7331" s="452" t="s">
        <v>6026</v>
      </c>
      <c r="C7331" s="452"/>
      <c r="D7331" s="452"/>
      <c r="E7331" s="8">
        <v>100000</v>
      </c>
      <c r="F7331" s="92">
        <f t="shared" si="145"/>
        <v>107055</v>
      </c>
      <c r="K7331" s="10"/>
      <c r="L7331" s="10"/>
    </row>
    <row r="7332" spans="1:12" x14ac:dyDescent="0.25">
      <c r="A7332" s="204">
        <v>43846</v>
      </c>
      <c r="B7332" s="26" t="s">
        <v>14</v>
      </c>
      <c r="C7332" s="26" t="s">
        <v>295</v>
      </c>
      <c r="D7332" s="8">
        <v>30000</v>
      </c>
      <c r="E7332" s="8"/>
      <c r="F7332" s="92">
        <f t="shared" si="145"/>
        <v>77055</v>
      </c>
    </row>
    <row r="7333" spans="1:12" x14ac:dyDescent="0.25">
      <c r="A7333" s="204">
        <v>43846</v>
      </c>
      <c r="B7333" s="29" t="s">
        <v>6072</v>
      </c>
      <c r="C7333" s="29" t="s">
        <v>41</v>
      </c>
      <c r="D7333" s="8">
        <v>70000</v>
      </c>
      <c r="E7333" s="8"/>
      <c r="F7333" s="92">
        <f t="shared" si="145"/>
        <v>7055</v>
      </c>
    </row>
    <row r="7334" spans="1:12" x14ac:dyDescent="0.25">
      <c r="A7334" s="204">
        <v>43848</v>
      </c>
      <c r="B7334" s="26" t="s">
        <v>94</v>
      </c>
      <c r="C7334" s="26" t="s">
        <v>6073</v>
      </c>
      <c r="D7334" s="8">
        <v>2000</v>
      </c>
      <c r="E7334" s="8"/>
      <c r="F7334" s="92">
        <f t="shared" si="145"/>
        <v>5055</v>
      </c>
    </row>
    <row r="7335" spans="1:12" x14ac:dyDescent="0.25">
      <c r="A7335" s="204">
        <v>43851</v>
      </c>
      <c r="B7335" s="26" t="s">
        <v>26</v>
      </c>
      <c r="C7335" s="26" t="s">
        <v>6077</v>
      </c>
      <c r="D7335" s="8">
        <f>280+280+30+220+90+130+240+60+170+170+240+260+1000+170+200</f>
        <v>3540</v>
      </c>
      <c r="E7335" s="8"/>
      <c r="F7335" s="92">
        <f t="shared" si="145"/>
        <v>1515</v>
      </c>
    </row>
    <row r="7336" spans="1:12" x14ac:dyDescent="0.25">
      <c r="A7336" s="204">
        <v>43852</v>
      </c>
      <c r="B7336" s="452" t="s">
        <v>6026</v>
      </c>
      <c r="C7336" s="452"/>
      <c r="D7336" s="452"/>
      <c r="E7336" s="8">
        <v>100000</v>
      </c>
      <c r="F7336" s="92">
        <f t="shared" si="145"/>
        <v>101515</v>
      </c>
      <c r="K7336" s="10"/>
      <c r="L7336" s="10"/>
    </row>
    <row r="7337" spans="1:12" x14ac:dyDescent="0.25">
      <c r="A7337" s="204">
        <v>43852</v>
      </c>
      <c r="B7337" s="26" t="s">
        <v>2597</v>
      </c>
      <c r="C7337" s="26" t="s">
        <v>6078</v>
      </c>
      <c r="D7337" s="8">
        <v>9750</v>
      </c>
      <c r="E7337" s="8"/>
      <c r="F7337" s="92">
        <f t="shared" si="145"/>
        <v>91765</v>
      </c>
    </row>
    <row r="7338" spans="1:12" x14ac:dyDescent="0.25">
      <c r="A7338" s="204">
        <v>43852</v>
      </c>
      <c r="B7338" s="26" t="s">
        <v>1077</v>
      </c>
      <c r="C7338" s="26" t="s">
        <v>6079</v>
      </c>
      <c r="D7338" s="8">
        <v>24088</v>
      </c>
      <c r="E7338" s="8"/>
      <c r="F7338" s="92">
        <f t="shared" si="145"/>
        <v>67677</v>
      </c>
    </row>
    <row r="7339" spans="1:12" x14ac:dyDescent="0.25">
      <c r="A7339" s="204">
        <v>43852</v>
      </c>
      <c r="B7339" s="29" t="s">
        <v>85</v>
      </c>
      <c r="C7339" s="29" t="s">
        <v>6080</v>
      </c>
      <c r="D7339" s="8">
        <v>3000</v>
      </c>
      <c r="E7339" s="8"/>
      <c r="F7339" s="92">
        <f t="shared" si="145"/>
        <v>64677</v>
      </c>
    </row>
    <row r="7340" spans="1:12" x14ac:dyDescent="0.25">
      <c r="A7340" s="204">
        <v>43852</v>
      </c>
      <c r="B7340" s="26" t="s">
        <v>0</v>
      </c>
      <c r="C7340" s="26" t="s">
        <v>6081</v>
      </c>
      <c r="D7340" s="8">
        <v>5000</v>
      </c>
      <c r="E7340" s="8"/>
      <c r="F7340" s="92">
        <f t="shared" si="145"/>
        <v>59677</v>
      </c>
    </row>
    <row r="7341" spans="1:12" x14ac:dyDescent="0.25">
      <c r="A7341" s="204">
        <v>43852</v>
      </c>
      <c r="B7341" s="26" t="s">
        <v>26</v>
      </c>
      <c r="C7341" s="26" t="s">
        <v>6092</v>
      </c>
      <c r="D7341" s="8">
        <v>450</v>
      </c>
      <c r="E7341" s="8"/>
      <c r="F7341" s="92">
        <f t="shared" si="145"/>
        <v>59227</v>
      </c>
    </row>
    <row r="7342" spans="1:12" x14ac:dyDescent="0.25">
      <c r="A7342" s="204">
        <v>43852</v>
      </c>
      <c r="B7342" s="26" t="s">
        <v>6063</v>
      </c>
      <c r="C7342" s="26" t="s">
        <v>6082</v>
      </c>
      <c r="D7342" s="8">
        <v>1730</v>
      </c>
      <c r="E7342" s="8"/>
      <c r="F7342" s="92">
        <f t="shared" si="145"/>
        <v>57497</v>
      </c>
    </row>
    <row r="7343" spans="1:12" x14ac:dyDescent="0.25">
      <c r="A7343" s="204">
        <v>43852</v>
      </c>
      <c r="B7343" s="26" t="s">
        <v>6063</v>
      </c>
      <c r="C7343" s="26" t="s">
        <v>4191</v>
      </c>
      <c r="D7343" s="8">
        <v>1000</v>
      </c>
      <c r="E7343" s="8"/>
      <c r="F7343" s="92">
        <f t="shared" si="145"/>
        <v>56497</v>
      </c>
    </row>
    <row r="7344" spans="1:12" x14ac:dyDescent="0.25">
      <c r="A7344" s="204">
        <v>43853</v>
      </c>
      <c r="B7344" s="26" t="s">
        <v>2597</v>
      </c>
      <c r="C7344" s="137" t="s">
        <v>6086</v>
      </c>
      <c r="D7344" s="139">
        <v>5000</v>
      </c>
      <c r="E7344" s="8"/>
      <c r="F7344" s="92">
        <f t="shared" si="145"/>
        <v>51497</v>
      </c>
    </row>
    <row r="7345" spans="1:12" x14ac:dyDescent="0.25">
      <c r="A7345" s="204">
        <v>43853</v>
      </c>
      <c r="B7345" s="26" t="s">
        <v>26</v>
      </c>
      <c r="C7345" s="26" t="s">
        <v>6083</v>
      </c>
      <c r="D7345" s="8">
        <v>3670</v>
      </c>
      <c r="E7345" s="8"/>
      <c r="F7345" s="92">
        <f t="shared" si="145"/>
        <v>47827</v>
      </c>
    </row>
    <row r="7346" spans="1:12" x14ac:dyDescent="0.25">
      <c r="A7346" s="204">
        <v>43853</v>
      </c>
      <c r="B7346" s="26" t="s">
        <v>14</v>
      </c>
      <c r="C7346" s="26" t="s">
        <v>6084</v>
      </c>
      <c r="D7346" s="8">
        <v>3281</v>
      </c>
      <c r="E7346" s="8"/>
      <c r="F7346" s="92">
        <f t="shared" si="145"/>
        <v>44546</v>
      </c>
    </row>
    <row r="7347" spans="1:12" x14ac:dyDescent="0.25">
      <c r="A7347" s="204">
        <v>43853</v>
      </c>
      <c r="B7347" s="26" t="s">
        <v>3563</v>
      </c>
      <c r="C7347" s="26" t="s">
        <v>92</v>
      </c>
      <c r="D7347" s="8">
        <v>650</v>
      </c>
      <c r="E7347" s="8"/>
      <c r="F7347" s="92">
        <f t="shared" si="145"/>
        <v>43896</v>
      </c>
    </row>
    <row r="7348" spans="1:12" x14ac:dyDescent="0.25">
      <c r="A7348" s="204">
        <v>43853</v>
      </c>
      <c r="B7348" s="29" t="s">
        <v>2597</v>
      </c>
      <c r="C7348" s="29" t="s">
        <v>295</v>
      </c>
      <c r="D7348" s="8">
        <v>8229</v>
      </c>
      <c r="E7348" s="8"/>
      <c r="F7348" s="92">
        <f t="shared" si="145"/>
        <v>35667</v>
      </c>
    </row>
    <row r="7349" spans="1:12" x14ac:dyDescent="0.25">
      <c r="A7349" s="204">
        <v>43854</v>
      </c>
      <c r="B7349" s="29" t="s">
        <v>2597</v>
      </c>
      <c r="C7349" s="26" t="s">
        <v>6087</v>
      </c>
      <c r="D7349" s="8">
        <v>15000</v>
      </c>
      <c r="E7349" s="8"/>
      <c r="F7349" s="92">
        <f t="shared" si="145"/>
        <v>20667</v>
      </c>
    </row>
    <row r="7350" spans="1:12" x14ac:dyDescent="0.25">
      <c r="A7350" s="204">
        <v>43854</v>
      </c>
      <c r="B7350" s="26" t="s">
        <v>542</v>
      </c>
      <c r="C7350" s="26" t="s">
        <v>6088</v>
      </c>
      <c r="D7350" s="8">
        <v>5000</v>
      </c>
      <c r="E7350" s="8"/>
      <c r="F7350" s="92">
        <f t="shared" si="145"/>
        <v>15667</v>
      </c>
    </row>
    <row r="7351" spans="1:12" x14ac:dyDescent="0.25">
      <c r="A7351" s="204">
        <v>43854</v>
      </c>
      <c r="B7351" s="29" t="s">
        <v>6000</v>
      </c>
      <c r="C7351" s="29" t="s">
        <v>6089</v>
      </c>
      <c r="D7351" s="8">
        <v>19000</v>
      </c>
      <c r="E7351" s="8"/>
      <c r="F7351" s="92">
        <f t="shared" si="145"/>
        <v>-3333</v>
      </c>
    </row>
    <row r="7352" spans="1:12" x14ac:dyDescent="0.25">
      <c r="A7352" s="204">
        <v>43854</v>
      </c>
      <c r="B7352" s="26" t="s">
        <v>26</v>
      </c>
      <c r="C7352" s="26" t="s">
        <v>6090</v>
      </c>
      <c r="D7352" s="8">
        <v>150</v>
      </c>
      <c r="E7352" s="8"/>
      <c r="F7352" s="92">
        <f t="shared" si="145"/>
        <v>-3483</v>
      </c>
    </row>
    <row r="7353" spans="1:12" x14ac:dyDescent="0.25">
      <c r="A7353" s="204">
        <v>43854</v>
      </c>
      <c r="B7353" s="26" t="s">
        <v>26</v>
      </c>
      <c r="C7353" s="26" t="s">
        <v>6091</v>
      </c>
      <c r="D7353" s="8">
        <v>455</v>
      </c>
      <c r="E7353" s="8"/>
      <c r="F7353" s="92">
        <f t="shared" si="145"/>
        <v>-3938</v>
      </c>
    </row>
    <row r="7354" spans="1:12" x14ac:dyDescent="0.25">
      <c r="A7354" s="204">
        <v>43854</v>
      </c>
      <c r="B7354" s="452" t="s">
        <v>2963</v>
      </c>
      <c r="C7354" s="452"/>
      <c r="D7354" s="452"/>
      <c r="E7354" s="8">
        <v>5000</v>
      </c>
      <c r="F7354" s="92">
        <f t="shared" si="145"/>
        <v>1062</v>
      </c>
      <c r="K7354" s="10"/>
      <c r="L7354" s="10"/>
    </row>
    <row r="7355" spans="1:12" x14ac:dyDescent="0.25">
      <c r="A7355" s="204">
        <v>43855</v>
      </c>
      <c r="B7355" s="29" t="s">
        <v>2597</v>
      </c>
      <c r="C7355" s="29" t="s">
        <v>6093</v>
      </c>
      <c r="D7355" s="8">
        <v>500</v>
      </c>
      <c r="E7355" s="8"/>
      <c r="F7355" s="92">
        <f t="shared" si="145"/>
        <v>562</v>
      </c>
    </row>
    <row r="7356" spans="1:12" x14ac:dyDescent="0.25">
      <c r="A7356" s="204">
        <v>43857</v>
      </c>
      <c r="B7356" s="29" t="s">
        <v>19</v>
      </c>
      <c r="C7356" s="29" t="s">
        <v>295</v>
      </c>
      <c r="D7356" s="8">
        <v>3000</v>
      </c>
      <c r="E7356" s="8"/>
      <c r="F7356" s="92">
        <f t="shared" si="145"/>
        <v>-2438</v>
      </c>
    </row>
    <row r="7357" spans="1:12" x14ac:dyDescent="0.25">
      <c r="A7357" s="204">
        <v>43857</v>
      </c>
      <c r="B7357" s="452" t="s">
        <v>2963</v>
      </c>
      <c r="C7357" s="452"/>
      <c r="D7357" s="452"/>
      <c r="E7357" s="8">
        <v>50000</v>
      </c>
      <c r="F7357" s="92">
        <f t="shared" si="145"/>
        <v>47562</v>
      </c>
      <c r="K7357" s="10"/>
      <c r="L7357" s="10"/>
    </row>
    <row r="7358" spans="1:12" x14ac:dyDescent="0.25">
      <c r="A7358" s="204">
        <v>43857</v>
      </c>
      <c r="B7358" s="26" t="s">
        <v>6095</v>
      </c>
      <c r="C7358" s="26" t="s">
        <v>6096</v>
      </c>
      <c r="D7358" s="8">
        <v>23000</v>
      </c>
      <c r="E7358" s="8"/>
      <c r="F7358" s="92">
        <f t="shared" si="145"/>
        <v>24562</v>
      </c>
    </row>
    <row r="7359" spans="1:12" x14ac:dyDescent="0.25">
      <c r="A7359" s="204">
        <v>43857</v>
      </c>
      <c r="B7359" s="29" t="s">
        <v>85</v>
      </c>
      <c r="C7359" s="29" t="s">
        <v>6097</v>
      </c>
      <c r="D7359" s="8">
        <v>10000</v>
      </c>
      <c r="E7359" s="8"/>
      <c r="F7359" s="92">
        <f t="shared" si="145"/>
        <v>14562</v>
      </c>
    </row>
    <row r="7360" spans="1:12" x14ac:dyDescent="0.25">
      <c r="A7360" s="204">
        <v>43857</v>
      </c>
      <c r="B7360" s="452" t="s">
        <v>6099</v>
      </c>
      <c r="C7360" s="452"/>
      <c r="D7360" s="452"/>
      <c r="E7360" s="8">
        <v>500</v>
      </c>
      <c r="F7360" s="92">
        <f t="shared" si="145"/>
        <v>15062</v>
      </c>
      <c r="K7360" s="10"/>
      <c r="L7360" s="10"/>
    </row>
    <row r="7361" spans="1:12" x14ac:dyDescent="0.25">
      <c r="A7361" s="204">
        <v>43857</v>
      </c>
      <c r="B7361" s="29" t="s">
        <v>85</v>
      </c>
      <c r="C7361" s="29" t="s">
        <v>6133</v>
      </c>
      <c r="D7361" s="8">
        <v>1000</v>
      </c>
      <c r="E7361" s="8"/>
      <c r="F7361" s="92">
        <f t="shared" si="145"/>
        <v>14062</v>
      </c>
    </row>
    <row r="7362" spans="1:12" x14ac:dyDescent="0.25">
      <c r="A7362" s="204">
        <v>43857</v>
      </c>
      <c r="B7362" s="29" t="s">
        <v>85</v>
      </c>
      <c r="C7362" s="29" t="s">
        <v>6134</v>
      </c>
      <c r="D7362" s="8">
        <v>500</v>
      </c>
      <c r="E7362" s="8"/>
      <c r="F7362" s="92">
        <f t="shared" si="145"/>
        <v>13562</v>
      </c>
    </row>
    <row r="7363" spans="1:12" x14ac:dyDescent="0.25">
      <c r="A7363" s="204">
        <v>43857</v>
      </c>
      <c r="B7363" s="26" t="s">
        <v>14</v>
      </c>
      <c r="C7363" s="26" t="s">
        <v>295</v>
      </c>
      <c r="D7363" s="8">
        <v>6000</v>
      </c>
      <c r="E7363" s="8"/>
      <c r="F7363" s="92">
        <f t="shared" si="145"/>
        <v>7562</v>
      </c>
    </row>
    <row r="7364" spans="1:12" x14ac:dyDescent="0.25">
      <c r="A7364" s="204">
        <v>43857</v>
      </c>
      <c r="B7364" s="26" t="s">
        <v>542</v>
      </c>
      <c r="C7364" s="26" t="s">
        <v>295</v>
      </c>
      <c r="D7364" s="8">
        <v>1500</v>
      </c>
      <c r="E7364" s="8"/>
      <c r="F7364" s="92">
        <f t="shared" si="145"/>
        <v>6062</v>
      </c>
    </row>
    <row r="7365" spans="1:12" x14ac:dyDescent="0.25">
      <c r="A7365" s="204">
        <v>43857</v>
      </c>
      <c r="B7365" s="29" t="s">
        <v>26</v>
      </c>
      <c r="C7365" s="29" t="s">
        <v>6098</v>
      </c>
      <c r="D7365" s="8">
        <v>350</v>
      </c>
      <c r="E7365" s="8"/>
      <c r="F7365" s="92">
        <f t="shared" si="145"/>
        <v>5712</v>
      </c>
    </row>
    <row r="7366" spans="1:12" x14ac:dyDescent="0.25">
      <c r="A7366" s="204">
        <v>43857</v>
      </c>
      <c r="B7366" s="26" t="s">
        <v>0</v>
      </c>
      <c r="C7366" s="26" t="s">
        <v>3914</v>
      </c>
      <c r="D7366" s="8">
        <v>3000</v>
      </c>
      <c r="E7366" s="8"/>
      <c r="F7366" s="92">
        <f t="shared" si="145"/>
        <v>2712</v>
      </c>
    </row>
    <row r="7367" spans="1:12" x14ac:dyDescent="0.25">
      <c r="A7367" s="204">
        <v>43858</v>
      </c>
      <c r="B7367" s="452" t="s">
        <v>2963</v>
      </c>
      <c r="C7367" s="452"/>
      <c r="D7367" s="452"/>
      <c r="E7367" s="8">
        <v>36000</v>
      </c>
      <c r="F7367" s="92">
        <f t="shared" si="145"/>
        <v>38712</v>
      </c>
      <c r="K7367" s="10"/>
      <c r="L7367" s="10"/>
    </row>
    <row r="7368" spans="1:12" x14ac:dyDescent="0.25">
      <c r="A7368" s="204">
        <v>43858</v>
      </c>
      <c r="B7368" s="29" t="s">
        <v>85</v>
      </c>
      <c r="C7368" s="29" t="s">
        <v>6135</v>
      </c>
      <c r="D7368" s="8">
        <v>5000</v>
      </c>
      <c r="E7368" s="8"/>
      <c r="F7368" s="92">
        <f t="shared" ref="F7368:F7431" si="146">F7367+E7368-D7368</f>
        <v>33712</v>
      </c>
    </row>
    <row r="7369" spans="1:12" x14ac:dyDescent="0.25">
      <c r="A7369" s="204">
        <v>43858</v>
      </c>
      <c r="B7369" s="29" t="s">
        <v>85</v>
      </c>
      <c r="C7369" s="29" t="s">
        <v>6100</v>
      </c>
      <c r="D7369" s="8">
        <v>10000</v>
      </c>
      <c r="E7369" s="8"/>
      <c r="F7369" s="92">
        <f t="shared" si="146"/>
        <v>23712</v>
      </c>
    </row>
    <row r="7370" spans="1:12" x14ac:dyDescent="0.25">
      <c r="A7370" s="204">
        <v>43859</v>
      </c>
      <c r="B7370" s="26" t="s">
        <v>65</v>
      </c>
      <c r="C7370" s="26" t="s">
        <v>6101</v>
      </c>
      <c r="D7370" s="8">
        <v>2000</v>
      </c>
      <c r="E7370" s="8"/>
      <c r="F7370" s="92">
        <f t="shared" si="146"/>
        <v>21712</v>
      </c>
    </row>
    <row r="7371" spans="1:12" x14ac:dyDescent="0.25">
      <c r="A7371" s="204">
        <v>43859</v>
      </c>
      <c r="B7371" s="26" t="s">
        <v>14</v>
      </c>
      <c r="C7371" s="26" t="s">
        <v>295</v>
      </c>
      <c r="D7371" s="8">
        <v>11000</v>
      </c>
      <c r="E7371" s="8"/>
      <c r="F7371" s="92">
        <f t="shared" si="146"/>
        <v>10712</v>
      </c>
    </row>
    <row r="7372" spans="1:12" x14ac:dyDescent="0.25">
      <c r="A7372" s="204">
        <v>43859</v>
      </c>
      <c r="B7372" s="26" t="s">
        <v>2597</v>
      </c>
      <c r="C7372" s="26" t="s">
        <v>2547</v>
      </c>
      <c r="D7372" s="8">
        <v>4764</v>
      </c>
      <c r="E7372" s="8"/>
      <c r="F7372" s="92">
        <f t="shared" si="146"/>
        <v>5948</v>
      </c>
    </row>
    <row r="7373" spans="1:12" x14ac:dyDescent="0.25">
      <c r="A7373" s="204">
        <v>43859</v>
      </c>
      <c r="B7373" s="26" t="s">
        <v>2597</v>
      </c>
      <c r="C7373" s="26" t="s">
        <v>2547</v>
      </c>
      <c r="D7373" s="8">
        <v>2265</v>
      </c>
      <c r="E7373" s="8"/>
      <c r="F7373" s="92">
        <f t="shared" si="146"/>
        <v>3683</v>
      </c>
    </row>
    <row r="7374" spans="1:12" x14ac:dyDescent="0.25">
      <c r="A7374" s="204">
        <v>43859</v>
      </c>
      <c r="B7374" s="452" t="s">
        <v>4333</v>
      </c>
      <c r="C7374" s="452"/>
      <c r="D7374" s="452"/>
      <c r="E7374" s="8">
        <v>50000</v>
      </c>
      <c r="F7374" s="92">
        <f t="shared" si="146"/>
        <v>53683</v>
      </c>
    </row>
    <row r="7375" spans="1:12" x14ac:dyDescent="0.25">
      <c r="A7375" s="204">
        <v>43859</v>
      </c>
      <c r="B7375" s="26" t="s">
        <v>2597</v>
      </c>
      <c r="C7375" s="26" t="s">
        <v>6102</v>
      </c>
      <c r="D7375" s="8">
        <v>24320</v>
      </c>
      <c r="E7375" s="8"/>
      <c r="F7375" s="92">
        <f t="shared" si="146"/>
        <v>29363</v>
      </c>
    </row>
    <row r="7376" spans="1:12" x14ac:dyDescent="0.25">
      <c r="A7376" s="204">
        <v>43859</v>
      </c>
      <c r="B7376" s="26" t="s">
        <v>2351</v>
      </c>
      <c r="C7376" s="26" t="s">
        <v>295</v>
      </c>
      <c r="D7376" s="8">
        <v>2000</v>
      </c>
      <c r="E7376" s="8"/>
      <c r="F7376" s="92">
        <f t="shared" si="146"/>
        <v>27363</v>
      </c>
    </row>
    <row r="7377" spans="1:12" x14ac:dyDescent="0.25">
      <c r="A7377" s="204">
        <v>43859</v>
      </c>
      <c r="B7377" s="26" t="s">
        <v>6103</v>
      </c>
      <c r="C7377" s="26" t="s">
        <v>6104</v>
      </c>
      <c r="D7377" s="8">
        <v>3500</v>
      </c>
      <c r="E7377" s="8"/>
      <c r="F7377" s="92">
        <f t="shared" si="146"/>
        <v>23863</v>
      </c>
    </row>
    <row r="7378" spans="1:12" x14ac:dyDescent="0.25">
      <c r="A7378" s="204">
        <v>43860</v>
      </c>
      <c r="B7378" s="26" t="s">
        <v>1682</v>
      </c>
      <c r="C7378" s="26" t="s">
        <v>6105</v>
      </c>
      <c r="D7378" s="8">
        <v>13000</v>
      </c>
      <c r="E7378" s="8"/>
      <c r="F7378" s="92">
        <f t="shared" si="146"/>
        <v>10863</v>
      </c>
    </row>
    <row r="7379" spans="1:12" x14ac:dyDescent="0.25">
      <c r="A7379" s="204">
        <v>43860</v>
      </c>
      <c r="B7379" s="26" t="s">
        <v>14</v>
      </c>
      <c r="C7379" s="26" t="s">
        <v>6106</v>
      </c>
      <c r="D7379" s="8">
        <v>2526</v>
      </c>
      <c r="E7379" s="8"/>
      <c r="F7379" s="92">
        <f t="shared" si="146"/>
        <v>8337</v>
      </c>
    </row>
    <row r="7380" spans="1:12" x14ac:dyDescent="0.25">
      <c r="A7380" s="204">
        <v>43860</v>
      </c>
      <c r="B7380" s="26" t="s">
        <v>26</v>
      </c>
      <c r="C7380" s="26" t="s">
        <v>4829</v>
      </c>
      <c r="D7380" s="8">
        <v>710</v>
      </c>
      <c r="E7380" s="8"/>
      <c r="F7380" s="92">
        <f t="shared" si="146"/>
        <v>7627</v>
      </c>
    </row>
    <row r="7381" spans="1:12" x14ac:dyDescent="0.25">
      <c r="A7381" s="204">
        <v>43860</v>
      </c>
      <c r="B7381" s="26" t="s">
        <v>26</v>
      </c>
      <c r="C7381" s="26" t="s">
        <v>3199</v>
      </c>
      <c r="D7381" s="8">
        <v>3000</v>
      </c>
      <c r="E7381" s="8"/>
      <c r="F7381" s="92">
        <f t="shared" si="146"/>
        <v>4627</v>
      </c>
    </row>
    <row r="7382" spans="1:12" x14ac:dyDescent="0.25">
      <c r="A7382" s="204">
        <v>43860</v>
      </c>
      <c r="B7382" s="26" t="s">
        <v>26</v>
      </c>
      <c r="C7382" s="26" t="s">
        <v>6107</v>
      </c>
      <c r="D7382" s="8">
        <v>470</v>
      </c>
      <c r="E7382" s="8"/>
      <c r="F7382" s="92">
        <f t="shared" si="146"/>
        <v>4157</v>
      </c>
    </row>
    <row r="7383" spans="1:12" x14ac:dyDescent="0.25">
      <c r="A7383" s="204">
        <v>43860</v>
      </c>
      <c r="B7383" s="26" t="s">
        <v>5479</v>
      </c>
      <c r="C7383" s="26"/>
      <c r="D7383" s="8">
        <v>2020</v>
      </c>
      <c r="E7383" s="8"/>
      <c r="F7383" s="92">
        <f t="shared" si="146"/>
        <v>2137</v>
      </c>
    </row>
    <row r="7384" spans="1:12" x14ac:dyDescent="0.25">
      <c r="A7384" s="204">
        <v>43860</v>
      </c>
      <c r="B7384" s="26" t="s">
        <v>26</v>
      </c>
      <c r="C7384" s="26" t="s">
        <v>6108</v>
      </c>
      <c r="D7384" s="8">
        <v>280</v>
      </c>
      <c r="E7384" s="8"/>
      <c r="F7384" s="92">
        <f t="shared" si="146"/>
        <v>1857</v>
      </c>
    </row>
    <row r="7385" spans="1:12" x14ac:dyDescent="0.25">
      <c r="A7385" s="204">
        <v>43860</v>
      </c>
      <c r="B7385" s="26" t="s">
        <v>26</v>
      </c>
      <c r="C7385" s="26" t="s">
        <v>6113</v>
      </c>
      <c r="D7385" s="8">
        <f>230+280+270+220+80+180+60+280+75+240+230</f>
        <v>2145</v>
      </c>
      <c r="E7385" s="8"/>
      <c r="F7385" s="92">
        <f t="shared" si="146"/>
        <v>-288</v>
      </c>
    </row>
    <row r="7386" spans="1:12" x14ac:dyDescent="0.25">
      <c r="A7386" s="204">
        <v>43860</v>
      </c>
      <c r="B7386" s="452" t="s">
        <v>6109</v>
      </c>
      <c r="C7386" s="452"/>
      <c r="D7386" s="452"/>
      <c r="E7386" s="8">
        <v>600000</v>
      </c>
      <c r="F7386" s="92">
        <f t="shared" si="146"/>
        <v>599712</v>
      </c>
      <c r="K7386" s="10"/>
      <c r="L7386" s="10"/>
    </row>
    <row r="7387" spans="1:12" x14ac:dyDescent="0.25">
      <c r="A7387" s="204">
        <v>43861</v>
      </c>
      <c r="B7387" s="29" t="s">
        <v>17</v>
      </c>
      <c r="C7387" s="29" t="s">
        <v>3914</v>
      </c>
      <c r="D7387" s="8">
        <v>100000</v>
      </c>
      <c r="E7387" s="8"/>
      <c r="F7387" s="92">
        <f t="shared" si="146"/>
        <v>499712</v>
      </c>
    </row>
    <row r="7388" spans="1:12" x14ac:dyDescent="0.25">
      <c r="A7388" s="204">
        <v>43861</v>
      </c>
      <c r="B7388" s="29" t="s">
        <v>85</v>
      </c>
      <c r="C7388" s="29" t="s">
        <v>6110</v>
      </c>
      <c r="D7388" s="8">
        <v>15000</v>
      </c>
      <c r="E7388" s="8"/>
      <c r="F7388" s="92">
        <f t="shared" si="146"/>
        <v>484712</v>
      </c>
    </row>
    <row r="7389" spans="1:12" x14ac:dyDescent="0.25">
      <c r="A7389" s="204">
        <v>43861</v>
      </c>
      <c r="B7389" s="29" t="s">
        <v>14</v>
      </c>
      <c r="C7389" s="29" t="s">
        <v>3914</v>
      </c>
      <c r="D7389" s="8">
        <v>5000</v>
      </c>
      <c r="E7389" s="8"/>
      <c r="F7389" s="92">
        <f t="shared" si="146"/>
        <v>479712</v>
      </c>
    </row>
    <row r="7390" spans="1:12" x14ac:dyDescent="0.25">
      <c r="A7390" s="204">
        <v>43861</v>
      </c>
      <c r="B7390" s="26" t="s">
        <v>1790</v>
      </c>
      <c r="C7390" s="26" t="s">
        <v>6111</v>
      </c>
      <c r="D7390" s="8">
        <v>2000</v>
      </c>
      <c r="E7390" s="8"/>
      <c r="F7390" s="92">
        <f t="shared" si="146"/>
        <v>477712</v>
      </c>
    </row>
    <row r="7391" spans="1:12" x14ac:dyDescent="0.25">
      <c r="A7391" s="204">
        <v>43861</v>
      </c>
      <c r="B7391" s="162" t="s">
        <v>2597</v>
      </c>
      <c r="C7391" s="162" t="s">
        <v>6112</v>
      </c>
      <c r="D7391" s="163">
        <v>1000</v>
      </c>
      <c r="E7391" s="8"/>
      <c r="F7391" s="92">
        <f t="shared" si="146"/>
        <v>476712</v>
      </c>
    </row>
    <row r="7392" spans="1:12" x14ac:dyDescent="0.25">
      <c r="A7392" s="204">
        <v>43861</v>
      </c>
      <c r="B7392" s="26" t="s">
        <v>6000</v>
      </c>
      <c r="C7392" s="26" t="s">
        <v>4191</v>
      </c>
      <c r="D7392" s="8">
        <v>500</v>
      </c>
      <c r="E7392" s="8"/>
      <c r="F7392" s="92">
        <f t="shared" si="146"/>
        <v>476212</v>
      </c>
    </row>
    <row r="7393" spans="1:7" x14ac:dyDescent="0.25">
      <c r="A7393" s="204">
        <v>43861</v>
      </c>
      <c r="B7393" s="26" t="s">
        <v>4778</v>
      </c>
      <c r="C7393" s="26" t="s">
        <v>6114</v>
      </c>
      <c r="D7393" s="8">
        <v>15000</v>
      </c>
      <c r="E7393" s="8"/>
      <c r="F7393" s="92">
        <f t="shared" si="146"/>
        <v>461212</v>
      </c>
    </row>
    <row r="7394" spans="1:7" x14ac:dyDescent="0.25">
      <c r="A7394" s="204">
        <v>43861</v>
      </c>
      <c r="B7394" s="26" t="s">
        <v>19</v>
      </c>
      <c r="C7394" s="26" t="s">
        <v>6149</v>
      </c>
      <c r="D7394" s="8">
        <v>8200</v>
      </c>
      <c r="E7394" s="8"/>
      <c r="F7394" s="92">
        <f t="shared" si="146"/>
        <v>453012</v>
      </c>
    </row>
    <row r="7395" spans="1:7" x14ac:dyDescent="0.25">
      <c r="A7395" s="204">
        <v>43861</v>
      </c>
      <c r="B7395" s="26" t="s">
        <v>6000</v>
      </c>
      <c r="C7395" s="26" t="s">
        <v>6115</v>
      </c>
      <c r="D7395" s="8">
        <v>200</v>
      </c>
      <c r="E7395" s="8"/>
      <c r="F7395" s="92">
        <f t="shared" si="146"/>
        <v>452812</v>
      </c>
    </row>
    <row r="7396" spans="1:7" x14ac:dyDescent="0.25">
      <c r="A7396" s="204">
        <v>43861</v>
      </c>
      <c r="B7396" s="26" t="s">
        <v>2677</v>
      </c>
      <c r="C7396" s="26" t="s">
        <v>31</v>
      </c>
      <c r="D7396" s="8">
        <v>100</v>
      </c>
      <c r="E7396" s="8"/>
      <c r="F7396" s="92">
        <f t="shared" si="146"/>
        <v>452712</v>
      </c>
    </row>
    <row r="7397" spans="1:7" x14ac:dyDescent="0.25">
      <c r="A7397" s="204">
        <v>43861</v>
      </c>
      <c r="B7397" s="46" t="s">
        <v>2597</v>
      </c>
      <c r="C7397" s="46" t="s">
        <v>4323</v>
      </c>
      <c r="D7397" s="140">
        <v>18388</v>
      </c>
      <c r="E7397" s="8"/>
      <c r="F7397" s="92">
        <f t="shared" si="146"/>
        <v>434324</v>
      </c>
    </row>
    <row r="7398" spans="1:7" x14ac:dyDescent="0.25">
      <c r="A7398" s="204">
        <v>43862</v>
      </c>
      <c r="B7398" s="26" t="s">
        <v>14</v>
      </c>
      <c r="C7398" s="26" t="s">
        <v>295</v>
      </c>
      <c r="D7398" s="8">
        <v>7000</v>
      </c>
      <c r="E7398" s="8"/>
      <c r="F7398" s="92">
        <f t="shared" si="146"/>
        <v>427324</v>
      </c>
    </row>
    <row r="7399" spans="1:7" x14ac:dyDescent="0.25">
      <c r="A7399" s="204">
        <v>43862</v>
      </c>
      <c r="B7399" s="26" t="s">
        <v>0</v>
      </c>
      <c r="C7399" s="26" t="s">
        <v>6116</v>
      </c>
      <c r="D7399" s="8">
        <v>500</v>
      </c>
      <c r="E7399" s="8"/>
      <c r="F7399" s="92">
        <f t="shared" si="146"/>
        <v>426824</v>
      </c>
      <c r="G7399" s="25"/>
    </row>
    <row r="7400" spans="1:7" x14ac:dyDescent="0.25">
      <c r="A7400" s="204">
        <v>43862</v>
      </c>
      <c r="B7400" s="26" t="s">
        <v>2351</v>
      </c>
      <c r="C7400" s="26" t="s">
        <v>295</v>
      </c>
      <c r="D7400" s="8">
        <v>28000</v>
      </c>
      <c r="E7400" s="8"/>
      <c r="F7400" s="92">
        <f t="shared" si="146"/>
        <v>398824</v>
      </c>
    </row>
    <row r="7401" spans="1:7" x14ac:dyDescent="0.25">
      <c r="A7401" s="204">
        <v>43862</v>
      </c>
      <c r="B7401" s="26" t="s">
        <v>248</v>
      </c>
      <c r="C7401" s="26" t="s">
        <v>2016</v>
      </c>
      <c r="D7401" s="8">
        <v>100</v>
      </c>
      <c r="E7401" s="8"/>
      <c r="F7401" s="92">
        <f t="shared" si="146"/>
        <v>398724</v>
      </c>
    </row>
    <row r="7402" spans="1:7" x14ac:dyDescent="0.25">
      <c r="A7402" s="204">
        <v>43864</v>
      </c>
      <c r="B7402" s="29" t="s">
        <v>85</v>
      </c>
      <c r="C7402" s="29" t="s">
        <v>6117</v>
      </c>
      <c r="D7402" s="8">
        <v>5000</v>
      </c>
      <c r="E7402" s="8"/>
      <c r="F7402" s="92">
        <f t="shared" si="146"/>
        <v>393724</v>
      </c>
    </row>
    <row r="7403" spans="1:7" x14ac:dyDescent="0.25">
      <c r="A7403" s="204">
        <v>43864</v>
      </c>
      <c r="B7403" s="29" t="s">
        <v>6118</v>
      </c>
      <c r="C7403" s="29" t="s">
        <v>6119</v>
      </c>
      <c r="D7403" s="8">
        <v>10000</v>
      </c>
      <c r="E7403" s="8"/>
      <c r="F7403" s="92">
        <f t="shared" si="146"/>
        <v>383724</v>
      </c>
    </row>
    <row r="7404" spans="1:7" x14ac:dyDescent="0.25">
      <c r="A7404" s="204">
        <v>43864</v>
      </c>
      <c r="B7404" s="26" t="s">
        <v>1515</v>
      </c>
      <c r="C7404" s="26" t="s">
        <v>6120</v>
      </c>
      <c r="D7404" s="8">
        <v>6000</v>
      </c>
      <c r="E7404" s="8"/>
      <c r="F7404" s="92">
        <f t="shared" si="146"/>
        <v>377724</v>
      </c>
    </row>
    <row r="7405" spans="1:7" x14ac:dyDescent="0.25">
      <c r="A7405" s="204">
        <v>43864</v>
      </c>
      <c r="B7405" s="26" t="s">
        <v>5140</v>
      </c>
      <c r="C7405" s="26" t="s">
        <v>41</v>
      </c>
      <c r="D7405" s="8">
        <v>4200</v>
      </c>
      <c r="E7405" s="8"/>
      <c r="F7405" s="92">
        <f t="shared" si="146"/>
        <v>373524</v>
      </c>
    </row>
    <row r="7406" spans="1:7" x14ac:dyDescent="0.25">
      <c r="A7406" s="204">
        <v>43864</v>
      </c>
      <c r="B7406" s="46" t="s">
        <v>2597</v>
      </c>
      <c r="C7406" s="46" t="s">
        <v>6121</v>
      </c>
      <c r="D7406" s="140">
        <v>8310</v>
      </c>
      <c r="E7406" s="8"/>
      <c r="F7406" s="92">
        <f t="shared" si="146"/>
        <v>365214</v>
      </c>
    </row>
    <row r="7407" spans="1:7" x14ac:dyDescent="0.25">
      <c r="A7407" s="204">
        <v>43864</v>
      </c>
      <c r="B7407" s="26" t="s">
        <v>6122</v>
      </c>
      <c r="C7407" s="26" t="s">
        <v>6123</v>
      </c>
      <c r="D7407" s="8">
        <v>150000</v>
      </c>
      <c r="E7407" s="8"/>
      <c r="F7407" s="92">
        <f t="shared" si="146"/>
        <v>215214</v>
      </c>
    </row>
    <row r="7408" spans="1:7" x14ac:dyDescent="0.25">
      <c r="A7408" s="204">
        <v>43864</v>
      </c>
      <c r="B7408" s="26" t="s">
        <v>3989</v>
      </c>
      <c r="C7408" s="26" t="s">
        <v>6124</v>
      </c>
      <c r="D7408" s="8">
        <v>34500</v>
      </c>
      <c r="E7408" s="8"/>
      <c r="F7408" s="92">
        <f t="shared" si="146"/>
        <v>180714</v>
      </c>
    </row>
    <row r="7409" spans="1:12" x14ac:dyDescent="0.25">
      <c r="A7409" s="204">
        <v>43864</v>
      </c>
      <c r="B7409" s="26" t="s">
        <v>10</v>
      </c>
      <c r="C7409" s="26" t="s">
        <v>6125</v>
      </c>
      <c r="D7409" s="8">
        <v>2000</v>
      </c>
      <c r="E7409" s="8"/>
      <c r="F7409" s="92">
        <f t="shared" si="146"/>
        <v>178714</v>
      </c>
    </row>
    <row r="7410" spans="1:12" x14ac:dyDescent="0.25">
      <c r="A7410" s="204">
        <v>43864</v>
      </c>
      <c r="B7410" s="26" t="s">
        <v>1619</v>
      </c>
      <c r="C7410" s="26" t="s">
        <v>2318</v>
      </c>
      <c r="D7410" s="8">
        <v>12500</v>
      </c>
      <c r="E7410" s="8"/>
      <c r="F7410" s="92">
        <f t="shared" si="146"/>
        <v>166214</v>
      </c>
    </row>
    <row r="7411" spans="1:12" x14ac:dyDescent="0.25">
      <c r="A7411" s="204">
        <v>43864</v>
      </c>
      <c r="B7411" s="29" t="s">
        <v>85</v>
      </c>
      <c r="C7411" s="29" t="s">
        <v>6126</v>
      </c>
      <c r="D7411" s="8">
        <v>5000</v>
      </c>
      <c r="E7411" s="8"/>
      <c r="F7411" s="92">
        <f t="shared" si="146"/>
        <v>161214</v>
      </c>
    </row>
    <row r="7412" spans="1:12" x14ac:dyDescent="0.25">
      <c r="A7412" s="204">
        <v>43864</v>
      </c>
      <c r="B7412" s="26" t="s">
        <v>542</v>
      </c>
      <c r="C7412" s="162" t="s">
        <v>6127</v>
      </c>
      <c r="D7412" s="163">
        <v>20000</v>
      </c>
      <c r="E7412" s="8"/>
      <c r="F7412" s="92">
        <f t="shared" si="146"/>
        <v>141214</v>
      </c>
    </row>
    <row r="7413" spans="1:12" x14ac:dyDescent="0.25">
      <c r="A7413" s="204">
        <v>43865</v>
      </c>
      <c r="B7413" s="29" t="s">
        <v>85</v>
      </c>
      <c r="C7413" s="29" t="s">
        <v>6136</v>
      </c>
      <c r="D7413" s="8">
        <v>1000</v>
      </c>
      <c r="E7413" s="8"/>
      <c r="F7413" s="92">
        <f t="shared" si="146"/>
        <v>140214</v>
      </c>
    </row>
    <row r="7414" spans="1:12" x14ac:dyDescent="0.25">
      <c r="A7414" s="204">
        <v>43867</v>
      </c>
      <c r="B7414" s="26" t="s">
        <v>26</v>
      </c>
      <c r="C7414" s="26" t="s">
        <v>6130</v>
      </c>
      <c r="D7414" s="8">
        <f>180+360+270+220+170+80+80+60+600+348+270+25</f>
        <v>2663</v>
      </c>
      <c r="E7414" s="8"/>
      <c r="F7414" s="92">
        <f t="shared" si="146"/>
        <v>137551</v>
      </c>
    </row>
    <row r="7415" spans="1:12" x14ac:dyDescent="0.25">
      <c r="A7415" s="204">
        <v>43867</v>
      </c>
      <c r="B7415" s="26" t="s">
        <v>26</v>
      </c>
      <c r="C7415" s="26" t="s">
        <v>6131</v>
      </c>
      <c r="D7415" s="8">
        <v>1400</v>
      </c>
      <c r="E7415" s="8"/>
      <c r="F7415" s="92">
        <f t="shared" si="146"/>
        <v>136151</v>
      </c>
    </row>
    <row r="7416" spans="1:12" x14ac:dyDescent="0.25">
      <c r="A7416" s="204">
        <v>43867</v>
      </c>
      <c r="B7416" s="452" t="s">
        <v>2963</v>
      </c>
      <c r="C7416" s="452"/>
      <c r="D7416" s="452"/>
      <c r="E7416" s="8">
        <v>6000</v>
      </c>
      <c r="F7416" s="92">
        <f t="shared" si="146"/>
        <v>142151</v>
      </c>
      <c r="K7416" s="10"/>
      <c r="L7416" s="10"/>
    </row>
    <row r="7417" spans="1:12" x14ac:dyDescent="0.25">
      <c r="A7417" s="204">
        <v>43867</v>
      </c>
      <c r="B7417" s="26" t="s">
        <v>4776</v>
      </c>
      <c r="C7417" s="26" t="s">
        <v>6132</v>
      </c>
      <c r="D7417" s="8">
        <v>30000</v>
      </c>
      <c r="E7417" s="8"/>
      <c r="F7417" s="92">
        <f t="shared" si="146"/>
        <v>112151</v>
      </c>
    </row>
    <row r="7418" spans="1:12" x14ac:dyDescent="0.25">
      <c r="A7418" s="204">
        <v>43867</v>
      </c>
      <c r="B7418" s="26" t="s">
        <v>26</v>
      </c>
      <c r="C7418" s="26" t="s">
        <v>6137</v>
      </c>
      <c r="D7418" s="8">
        <v>1000</v>
      </c>
      <c r="E7418" s="8"/>
      <c r="F7418" s="92">
        <f t="shared" si="146"/>
        <v>111151</v>
      </c>
    </row>
    <row r="7419" spans="1:12" x14ac:dyDescent="0.25">
      <c r="A7419" s="204">
        <v>43867</v>
      </c>
      <c r="B7419" s="452" t="s">
        <v>6140</v>
      </c>
      <c r="C7419" s="452"/>
      <c r="D7419" s="452"/>
      <c r="E7419" s="8">
        <v>650000</v>
      </c>
      <c r="F7419" s="92">
        <f t="shared" si="146"/>
        <v>761151</v>
      </c>
      <c r="K7419" s="10"/>
      <c r="L7419" s="10"/>
    </row>
    <row r="7420" spans="1:12" x14ac:dyDescent="0.25">
      <c r="A7420" s="204">
        <v>43868</v>
      </c>
      <c r="B7420" s="26" t="s">
        <v>94</v>
      </c>
      <c r="C7420" s="29" t="s">
        <v>6138</v>
      </c>
      <c r="D7420" s="8">
        <v>1000</v>
      </c>
      <c r="E7420" s="8"/>
      <c r="F7420" s="92">
        <f t="shared" si="146"/>
        <v>760151</v>
      </c>
    </row>
    <row r="7421" spans="1:12" x14ac:dyDescent="0.25">
      <c r="A7421" s="204">
        <v>43868</v>
      </c>
      <c r="B7421" s="29" t="s">
        <v>26</v>
      </c>
      <c r="C7421" s="29" t="s">
        <v>6139</v>
      </c>
      <c r="D7421" s="8">
        <v>120</v>
      </c>
      <c r="E7421" s="8"/>
      <c r="F7421" s="92">
        <f t="shared" si="146"/>
        <v>760031</v>
      </c>
    </row>
    <row r="7422" spans="1:12" x14ac:dyDescent="0.25">
      <c r="A7422" s="204">
        <v>43868</v>
      </c>
      <c r="B7422" s="452" t="s">
        <v>6140</v>
      </c>
      <c r="C7422" s="452"/>
      <c r="D7422" s="452"/>
      <c r="E7422" s="8">
        <v>700000</v>
      </c>
      <c r="F7422" s="92">
        <f t="shared" si="146"/>
        <v>1460031</v>
      </c>
    </row>
    <row r="7423" spans="1:12" x14ac:dyDescent="0.25">
      <c r="A7423" s="204">
        <v>43868</v>
      </c>
      <c r="B7423" s="26" t="s">
        <v>26</v>
      </c>
      <c r="C7423" s="26" t="s">
        <v>5424</v>
      </c>
      <c r="D7423" s="8">
        <v>1000</v>
      </c>
      <c r="E7423" s="8"/>
      <c r="F7423" s="92">
        <f t="shared" si="146"/>
        <v>1459031</v>
      </c>
    </row>
    <row r="7424" spans="1:12" x14ac:dyDescent="0.25">
      <c r="A7424" s="204">
        <v>43868</v>
      </c>
      <c r="B7424" s="40" t="s">
        <v>2597</v>
      </c>
      <c r="C7424" s="40" t="s">
        <v>6141</v>
      </c>
      <c r="D7424" s="140">
        <v>35389</v>
      </c>
      <c r="E7424" s="8"/>
      <c r="F7424" s="92">
        <f t="shared" si="146"/>
        <v>1423642</v>
      </c>
    </row>
    <row r="7425" spans="1:6" x14ac:dyDescent="0.25">
      <c r="A7425" s="204">
        <v>43868</v>
      </c>
      <c r="B7425" s="40" t="s">
        <v>0</v>
      </c>
      <c r="C7425" s="40" t="s">
        <v>6142</v>
      </c>
      <c r="D7425" s="140">
        <v>22000</v>
      </c>
      <c r="E7425" s="8"/>
      <c r="F7425" s="92">
        <f t="shared" si="146"/>
        <v>1401642</v>
      </c>
    </row>
    <row r="7426" spans="1:6" x14ac:dyDescent="0.25">
      <c r="A7426" s="204">
        <v>43868</v>
      </c>
      <c r="B7426" s="29" t="s">
        <v>85</v>
      </c>
      <c r="C7426" s="29" t="s">
        <v>6143</v>
      </c>
      <c r="D7426" s="8">
        <v>1000</v>
      </c>
      <c r="E7426" s="8"/>
      <c r="F7426" s="92">
        <f t="shared" si="146"/>
        <v>1400642</v>
      </c>
    </row>
    <row r="7427" spans="1:6" x14ac:dyDescent="0.25">
      <c r="A7427" s="204">
        <v>43868</v>
      </c>
      <c r="B7427" s="166" t="s">
        <v>14</v>
      </c>
      <c r="C7427" s="166" t="s">
        <v>4323</v>
      </c>
      <c r="D7427" s="167">
        <v>300000</v>
      </c>
      <c r="E7427" s="8"/>
      <c r="F7427" s="92">
        <f t="shared" si="146"/>
        <v>1100642</v>
      </c>
    </row>
    <row r="7428" spans="1:6" x14ac:dyDescent="0.25">
      <c r="A7428" s="204">
        <v>43868</v>
      </c>
      <c r="B7428" s="46" t="s">
        <v>6063</v>
      </c>
      <c r="C7428" s="46" t="s">
        <v>4191</v>
      </c>
      <c r="D7428" s="140">
        <v>2050</v>
      </c>
      <c r="E7428" s="8"/>
      <c r="F7428" s="92">
        <f t="shared" si="146"/>
        <v>1098592</v>
      </c>
    </row>
    <row r="7429" spans="1:6" x14ac:dyDescent="0.25">
      <c r="A7429" s="204">
        <v>43868</v>
      </c>
      <c r="B7429" s="26" t="s">
        <v>1840</v>
      </c>
      <c r="C7429" s="26" t="s">
        <v>6144</v>
      </c>
      <c r="D7429" s="8">
        <v>2000</v>
      </c>
      <c r="E7429" s="8"/>
      <c r="F7429" s="92">
        <f t="shared" si="146"/>
        <v>1096592</v>
      </c>
    </row>
    <row r="7430" spans="1:6" x14ac:dyDescent="0.25">
      <c r="A7430" s="204">
        <v>43868</v>
      </c>
      <c r="B7430" s="26" t="s">
        <v>26</v>
      </c>
      <c r="C7430" s="26" t="s">
        <v>2131</v>
      </c>
      <c r="D7430" s="8">
        <v>70</v>
      </c>
      <c r="E7430" s="8"/>
      <c r="F7430" s="92">
        <f t="shared" si="146"/>
        <v>1096522</v>
      </c>
    </row>
    <row r="7431" spans="1:6" x14ac:dyDescent="0.25">
      <c r="A7431" s="204">
        <v>43869</v>
      </c>
      <c r="B7431" s="26" t="s">
        <v>94</v>
      </c>
      <c r="C7431" s="26" t="s">
        <v>6145</v>
      </c>
      <c r="D7431" s="8">
        <v>4000</v>
      </c>
      <c r="E7431" s="8"/>
      <c r="F7431" s="92">
        <f t="shared" si="146"/>
        <v>1092522</v>
      </c>
    </row>
    <row r="7432" spans="1:6" x14ac:dyDescent="0.25">
      <c r="A7432" s="204">
        <v>43869</v>
      </c>
      <c r="B7432" s="166" t="s">
        <v>2597</v>
      </c>
      <c r="C7432" s="166" t="s">
        <v>3146</v>
      </c>
      <c r="D7432" s="167">
        <v>1920</v>
      </c>
      <c r="E7432" s="8"/>
      <c r="F7432" s="92">
        <f t="shared" ref="F7432:F7495" si="147">F7431+E7432-D7432</f>
        <v>1090602</v>
      </c>
    </row>
    <row r="7433" spans="1:6" x14ac:dyDescent="0.25">
      <c r="A7433" s="204">
        <v>43869</v>
      </c>
      <c r="B7433" s="166" t="s">
        <v>2597</v>
      </c>
      <c r="C7433" s="166" t="s">
        <v>3146</v>
      </c>
      <c r="D7433" s="167">
        <v>7920</v>
      </c>
      <c r="E7433" s="8"/>
      <c r="F7433" s="92">
        <f t="shared" si="147"/>
        <v>1082682</v>
      </c>
    </row>
    <row r="7434" spans="1:6" x14ac:dyDescent="0.25">
      <c r="A7434" s="204">
        <v>43869</v>
      </c>
      <c r="B7434" s="26" t="s">
        <v>6146</v>
      </c>
      <c r="C7434" s="26" t="s">
        <v>4191</v>
      </c>
      <c r="D7434" s="8">
        <v>1500</v>
      </c>
      <c r="E7434" s="8"/>
      <c r="F7434" s="92">
        <f t="shared" si="147"/>
        <v>1081182</v>
      </c>
    </row>
    <row r="7435" spans="1:6" x14ac:dyDescent="0.25">
      <c r="A7435" s="204">
        <v>43871</v>
      </c>
      <c r="B7435" s="26" t="s">
        <v>6147</v>
      </c>
      <c r="C7435" s="26" t="s">
        <v>6148</v>
      </c>
      <c r="D7435" s="8">
        <v>300</v>
      </c>
      <c r="E7435" s="8"/>
      <c r="F7435" s="92">
        <f t="shared" si="147"/>
        <v>1080882</v>
      </c>
    </row>
    <row r="7436" spans="1:6" x14ac:dyDescent="0.25">
      <c r="A7436" s="204">
        <v>43871</v>
      </c>
      <c r="B7436" s="29" t="s">
        <v>85</v>
      </c>
      <c r="C7436" s="29" t="s">
        <v>6151</v>
      </c>
      <c r="D7436" s="8">
        <v>5000</v>
      </c>
      <c r="E7436" s="8"/>
      <c r="F7436" s="92">
        <f t="shared" si="147"/>
        <v>1075882</v>
      </c>
    </row>
    <row r="7437" spans="1:6" x14ac:dyDescent="0.25">
      <c r="A7437" s="204">
        <v>43872</v>
      </c>
      <c r="B7437" s="29" t="s">
        <v>26</v>
      </c>
      <c r="C7437" s="29" t="s">
        <v>6152</v>
      </c>
      <c r="D7437" s="8">
        <v>300</v>
      </c>
      <c r="E7437" s="8"/>
      <c r="F7437" s="92">
        <f t="shared" si="147"/>
        <v>1075582</v>
      </c>
    </row>
    <row r="7438" spans="1:6" x14ac:dyDescent="0.25">
      <c r="A7438" s="204">
        <v>43872</v>
      </c>
      <c r="B7438" s="29" t="s">
        <v>26</v>
      </c>
      <c r="C7438" s="29" t="s">
        <v>6153</v>
      </c>
      <c r="D7438" s="8">
        <v>100</v>
      </c>
      <c r="E7438" s="8"/>
      <c r="F7438" s="92">
        <f t="shared" si="147"/>
        <v>1075482</v>
      </c>
    </row>
    <row r="7439" spans="1:6" x14ac:dyDescent="0.25">
      <c r="A7439" s="204">
        <v>43872</v>
      </c>
      <c r="B7439" s="29" t="s">
        <v>14</v>
      </c>
      <c r="C7439" s="29" t="s">
        <v>6154</v>
      </c>
      <c r="D7439" s="8">
        <v>250</v>
      </c>
      <c r="E7439" s="8"/>
      <c r="F7439" s="92">
        <f t="shared" si="147"/>
        <v>1075232</v>
      </c>
    </row>
    <row r="7440" spans="1:6" x14ac:dyDescent="0.25">
      <c r="A7440" s="204">
        <v>43872</v>
      </c>
      <c r="B7440" s="138" t="s">
        <v>2349</v>
      </c>
      <c r="C7440" s="138" t="s">
        <v>7630</v>
      </c>
      <c r="D7440" s="139">
        <v>5000</v>
      </c>
      <c r="E7440" s="8"/>
      <c r="F7440" s="92">
        <f t="shared" si="147"/>
        <v>1070232</v>
      </c>
    </row>
    <row r="7441" spans="1:6" x14ac:dyDescent="0.25">
      <c r="A7441" s="204">
        <v>43872</v>
      </c>
      <c r="B7441" s="26" t="s">
        <v>2597</v>
      </c>
      <c r="C7441" s="26" t="s">
        <v>3146</v>
      </c>
      <c r="D7441" s="8">
        <v>12210</v>
      </c>
      <c r="E7441" s="8"/>
      <c r="F7441" s="92">
        <f t="shared" si="147"/>
        <v>1058022</v>
      </c>
    </row>
    <row r="7442" spans="1:6" x14ac:dyDescent="0.25">
      <c r="A7442" s="204">
        <v>43872</v>
      </c>
      <c r="B7442" s="148" t="s">
        <v>14</v>
      </c>
      <c r="C7442" s="148" t="s">
        <v>6155</v>
      </c>
      <c r="D7442" s="149">
        <v>20000</v>
      </c>
      <c r="E7442" s="8"/>
      <c r="F7442" s="92">
        <f t="shared" si="147"/>
        <v>1038022</v>
      </c>
    </row>
    <row r="7443" spans="1:6" x14ac:dyDescent="0.25">
      <c r="A7443" s="204">
        <v>43872</v>
      </c>
      <c r="B7443" s="29" t="s">
        <v>85</v>
      </c>
      <c r="C7443" s="29" t="s">
        <v>6156</v>
      </c>
      <c r="D7443" s="8">
        <v>1000</v>
      </c>
      <c r="E7443" s="8"/>
      <c r="F7443" s="92">
        <f t="shared" si="147"/>
        <v>1037022</v>
      </c>
    </row>
    <row r="7444" spans="1:6" x14ac:dyDescent="0.25">
      <c r="A7444" s="204">
        <v>43873</v>
      </c>
      <c r="B7444" s="26" t="s">
        <v>26</v>
      </c>
      <c r="C7444" s="26" t="s">
        <v>6157</v>
      </c>
      <c r="D7444" s="140">
        <f>140+30+50+250+270+80+130+200+250</f>
        <v>1400</v>
      </c>
      <c r="E7444" s="8"/>
      <c r="F7444" s="92">
        <f t="shared" si="147"/>
        <v>1035622</v>
      </c>
    </row>
    <row r="7445" spans="1:6" x14ac:dyDescent="0.25">
      <c r="A7445" s="204">
        <v>43873</v>
      </c>
      <c r="B7445" s="26" t="s">
        <v>1790</v>
      </c>
      <c r="C7445" s="26" t="s">
        <v>6158</v>
      </c>
      <c r="D7445" s="140">
        <v>900</v>
      </c>
      <c r="E7445" s="8"/>
      <c r="F7445" s="92">
        <f t="shared" si="147"/>
        <v>1034722</v>
      </c>
    </row>
    <row r="7446" spans="1:6" x14ac:dyDescent="0.25">
      <c r="A7446" s="204">
        <v>43873</v>
      </c>
      <c r="B7446" s="26" t="s">
        <v>2597</v>
      </c>
      <c r="C7446" s="26" t="s">
        <v>6159</v>
      </c>
      <c r="D7446" s="140">
        <v>45500</v>
      </c>
      <c r="E7446" s="8"/>
      <c r="F7446" s="92">
        <f t="shared" si="147"/>
        <v>989222</v>
      </c>
    </row>
    <row r="7447" spans="1:6" x14ac:dyDescent="0.25">
      <c r="A7447" s="204">
        <v>43873</v>
      </c>
      <c r="B7447" s="26" t="s">
        <v>1790</v>
      </c>
      <c r="C7447" s="26" t="s">
        <v>6161</v>
      </c>
      <c r="D7447" s="140">
        <v>1000</v>
      </c>
      <c r="E7447" s="8"/>
      <c r="F7447" s="92">
        <f t="shared" si="147"/>
        <v>988222</v>
      </c>
    </row>
    <row r="7448" spans="1:6" x14ac:dyDescent="0.25">
      <c r="A7448" s="204">
        <v>43873</v>
      </c>
      <c r="B7448" s="166" t="s">
        <v>2597</v>
      </c>
      <c r="C7448" s="166" t="s">
        <v>6164</v>
      </c>
      <c r="D7448" s="167">
        <v>4150</v>
      </c>
      <c r="E7448" s="8"/>
      <c r="F7448" s="92">
        <f t="shared" si="147"/>
        <v>984072</v>
      </c>
    </row>
    <row r="7449" spans="1:6" x14ac:dyDescent="0.25">
      <c r="A7449" s="204">
        <v>43873</v>
      </c>
      <c r="B7449" s="26" t="s">
        <v>5479</v>
      </c>
      <c r="C7449" s="26" t="s">
        <v>6160</v>
      </c>
      <c r="D7449" s="140">
        <v>50</v>
      </c>
      <c r="E7449" s="8"/>
      <c r="F7449" s="92">
        <f t="shared" si="147"/>
        <v>984022</v>
      </c>
    </row>
    <row r="7450" spans="1:6" x14ac:dyDescent="0.25">
      <c r="A7450" s="204">
        <v>43873</v>
      </c>
      <c r="B7450" s="29" t="s">
        <v>85</v>
      </c>
      <c r="C7450" s="29" t="s">
        <v>6143</v>
      </c>
      <c r="D7450" s="8">
        <v>500</v>
      </c>
      <c r="E7450" s="8"/>
      <c r="F7450" s="92">
        <f t="shared" si="147"/>
        <v>983522</v>
      </c>
    </row>
    <row r="7451" spans="1:6" x14ac:dyDescent="0.25">
      <c r="A7451" s="204">
        <v>43873</v>
      </c>
      <c r="B7451" s="29" t="s">
        <v>26</v>
      </c>
      <c r="C7451" s="29" t="s">
        <v>6162</v>
      </c>
      <c r="D7451" s="8">
        <v>8000</v>
      </c>
      <c r="E7451" s="8"/>
      <c r="F7451" s="92">
        <f t="shared" si="147"/>
        <v>975522</v>
      </c>
    </row>
    <row r="7452" spans="1:6" x14ac:dyDescent="0.25">
      <c r="A7452" s="204">
        <v>43873</v>
      </c>
      <c r="B7452" s="29" t="s">
        <v>1682</v>
      </c>
      <c r="C7452" s="29" t="s">
        <v>6166</v>
      </c>
      <c r="D7452" s="8">
        <v>50000</v>
      </c>
      <c r="E7452" s="8"/>
      <c r="F7452" s="92">
        <f t="shared" si="147"/>
        <v>925522</v>
      </c>
    </row>
    <row r="7453" spans="1:6" x14ac:dyDescent="0.25">
      <c r="A7453" s="204">
        <v>43874</v>
      </c>
      <c r="B7453" s="452" t="s">
        <v>6163</v>
      </c>
      <c r="C7453" s="452"/>
      <c r="D7453" s="452"/>
      <c r="E7453" s="8">
        <v>500000</v>
      </c>
      <c r="F7453" s="92">
        <f t="shared" si="147"/>
        <v>1425522</v>
      </c>
    </row>
    <row r="7454" spans="1:6" x14ac:dyDescent="0.25">
      <c r="A7454" s="204">
        <v>43875</v>
      </c>
      <c r="B7454" s="452" t="s">
        <v>6190</v>
      </c>
      <c r="C7454" s="452"/>
      <c r="D7454" s="452"/>
      <c r="E7454" s="8">
        <v>150000</v>
      </c>
      <c r="F7454" s="92">
        <f t="shared" si="147"/>
        <v>1575522</v>
      </c>
    </row>
    <row r="7455" spans="1:6" x14ac:dyDescent="0.25">
      <c r="A7455" s="204">
        <v>43875</v>
      </c>
      <c r="B7455" s="26" t="s">
        <v>2597</v>
      </c>
      <c r="C7455" s="26" t="s">
        <v>6165</v>
      </c>
      <c r="D7455" s="140">
        <v>7316</v>
      </c>
      <c r="E7455" s="8"/>
      <c r="F7455" s="92">
        <f t="shared" si="147"/>
        <v>1568206</v>
      </c>
    </row>
    <row r="7456" spans="1:6" x14ac:dyDescent="0.25">
      <c r="A7456" s="204">
        <v>43875</v>
      </c>
      <c r="B7456" s="26" t="s">
        <v>1515</v>
      </c>
      <c r="C7456" s="26" t="s">
        <v>41</v>
      </c>
      <c r="D7456" s="8">
        <v>1435051</v>
      </c>
      <c r="E7456" s="8"/>
      <c r="F7456" s="92">
        <f t="shared" si="147"/>
        <v>133155</v>
      </c>
    </row>
    <row r="7457" spans="1:7" x14ac:dyDescent="0.25">
      <c r="A7457" s="204">
        <v>43876</v>
      </c>
      <c r="B7457" s="29" t="s">
        <v>0</v>
      </c>
      <c r="C7457" s="29" t="s">
        <v>6167</v>
      </c>
      <c r="D7457" s="8">
        <v>2000</v>
      </c>
      <c r="E7457" s="8"/>
      <c r="F7457" s="92">
        <f t="shared" si="147"/>
        <v>131155</v>
      </c>
    </row>
    <row r="7458" spans="1:7" x14ac:dyDescent="0.25">
      <c r="A7458" s="204">
        <v>43876</v>
      </c>
      <c r="B7458" s="29" t="s">
        <v>1973</v>
      </c>
      <c r="C7458" s="29" t="s">
        <v>6168</v>
      </c>
      <c r="D7458" s="8">
        <v>80000</v>
      </c>
      <c r="E7458" s="8"/>
      <c r="F7458" s="92">
        <f t="shared" si="147"/>
        <v>51155</v>
      </c>
    </row>
    <row r="7459" spans="1:7" x14ac:dyDescent="0.25">
      <c r="A7459" s="204">
        <v>43876</v>
      </c>
      <c r="B7459" s="29" t="s">
        <v>111</v>
      </c>
      <c r="C7459" s="29" t="s">
        <v>2251</v>
      </c>
      <c r="D7459" s="8">
        <v>3500</v>
      </c>
      <c r="E7459" s="8"/>
      <c r="F7459" s="92">
        <f t="shared" si="147"/>
        <v>47655</v>
      </c>
    </row>
    <row r="7460" spans="1:7" x14ac:dyDescent="0.25">
      <c r="A7460" s="204">
        <v>43876</v>
      </c>
      <c r="B7460" s="40" t="s">
        <v>6063</v>
      </c>
      <c r="C7460" s="168" t="s">
        <v>6169</v>
      </c>
      <c r="D7460" s="167">
        <v>2000</v>
      </c>
      <c r="E7460" s="8"/>
      <c r="F7460" s="92">
        <f t="shared" si="147"/>
        <v>45655</v>
      </c>
    </row>
    <row r="7461" spans="1:7" x14ac:dyDescent="0.25">
      <c r="A7461" s="204">
        <v>43876</v>
      </c>
      <c r="B7461" s="29" t="s">
        <v>6019</v>
      </c>
      <c r="C7461" s="29" t="s">
        <v>6170</v>
      </c>
      <c r="D7461" s="8">
        <v>15000</v>
      </c>
      <c r="E7461" s="8"/>
      <c r="F7461" s="92">
        <f t="shared" si="147"/>
        <v>30655</v>
      </c>
    </row>
    <row r="7462" spans="1:7" x14ac:dyDescent="0.25">
      <c r="A7462" s="204">
        <v>43878</v>
      </c>
      <c r="B7462" s="452" t="s">
        <v>6172</v>
      </c>
      <c r="C7462" s="452"/>
      <c r="D7462" s="452"/>
      <c r="E7462" s="8">
        <v>508775</v>
      </c>
      <c r="F7462" s="92">
        <f t="shared" si="147"/>
        <v>539430</v>
      </c>
    </row>
    <row r="7463" spans="1:7" x14ac:dyDescent="0.25">
      <c r="A7463" s="204">
        <v>43878</v>
      </c>
      <c r="B7463" s="29" t="s">
        <v>5845</v>
      </c>
      <c r="C7463" s="29" t="s">
        <v>6171</v>
      </c>
      <c r="D7463" s="8">
        <v>80000</v>
      </c>
      <c r="E7463" s="8"/>
      <c r="F7463" s="92">
        <f t="shared" si="147"/>
        <v>459430</v>
      </c>
    </row>
    <row r="7464" spans="1:7" x14ac:dyDescent="0.25">
      <c r="A7464" s="204">
        <v>43878</v>
      </c>
      <c r="B7464" s="29" t="s">
        <v>0</v>
      </c>
      <c r="C7464" s="29" t="s">
        <v>6173</v>
      </c>
      <c r="D7464" s="8">
        <v>62000</v>
      </c>
      <c r="E7464" s="8"/>
      <c r="F7464" s="92">
        <f t="shared" si="147"/>
        <v>397430</v>
      </c>
    </row>
    <row r="7465" spans="1:7" x14ac:dyDescent="0.25">
      <c r="A7465" s="204">
        <v>43878</v>
      </c>
      <c r="B7465" s="29" t="s">
        <v>2597</v>
      </c>
      <c r="C7465" s="29" t="s">
        <v>6187</v>
      </c>
      <c r="D7465" s="8">
        <v>39510</v>
      </c>
      <c r="E7465" s="8"/>
      <c r="F7465" s="92">
        <f t="shared" si="147"/>
        <v>357920</v>
      </c>
    </row>
    <row r="7466" spans="1:7" x14ac:dyDescent="0.25">
      <c r="A7466" s="204">
        <v>43878</v>
      </c>
      <c r="B7466" s="29" t="s">
        <v>2597</v>
      </c>
      <c r="C7466" s="29" t="s">
        <v>6173</v>
      </c>
      <c r="D7466" s="8">
        <v>3941</v>
      </c>
      <c r="E7466" s="8"/>
      <c r="F7466" s="92">
        <f t="shared" si="147"/>
        <v>353979</v>
      </c>
      <c r="G7466" s="25"/>
    </row>
    <row r="7467" spans="1:7" x14ac:dyDescent="0.25">
      <c r="A7467" s="204">
        <v>43878</v>
      </c>
      <c r="B7467" s="29" t="s">
        <v>4778</v>
      </c>
      <c r="C7467" s="29" t="s">
        <v>6174</v>
      </c>
      <c r="D7467" s="8">
        <v>35000</v>
      </c>
      <c r="E7467" s="8"/>
      <c r="F7467" s="92">
        <f t="shared" si="147"/>
        <v>318979</v>
      </c>
    </row>
    <row r="7468" spans="1:7" x14ac:dyDescent="0.25">
      <c r="A7468" s="204">
        <v>43878</v>
      </c>
      <c r="B7468" s="29" t="s">
        <v>85</v>
      </c>
      <c r="C7468" s="29" t="s">
        <v>6175</v>
      </c>
      <c r="D7468" s="8">
        <v>5000</v>
      </c>
      <c r="E7468" s="8"/>
      <c r="F7468" s="92">
        <f t="shared" si="147"/>
        <v>313979</v>
      </c>
    </row>
    <row r="7469" spans="1:7" x14ac:dyDescent="0.25">
      <c r="A7469" s="204">
        <v>43878</v>
      </c>
      <c r="B7469" s="29" t="s">
        <v>4776</v>
      </c>
      <c r="C7469" s="29" t="s">
        <v>6176</v>
      </c>
      <c r="D7469" s="8">
        <v>30000</v>
      </c>
      <c r="E7469" s="8"/>
      <c r="F7469" s="92">
        <f t="shared" si="147"/>
        <v>283979</v>
      </c>
    </row>
    <row r="7470" spans="1:7" x14ac:dyDescent="0.25">
      <c r="A7470" s="204">
        <v>43878</v>
      </c>
      <c r="B7470" s="26" t="s">
        <v>1077</v>
      </c>
      <c r="C7470" s="26" t="s">
        <v>6177</v>
      </c>
      <c r="D7470" s="8">
        <f>20668+1285</f>
        <v>21953</v>
      </c>
      <c r="E7470" s="8"/>
      <c r="F7470" s="92">
        <f t="shared" si="147"/>
        <v>262026</v>
      </c>
    </row>
    <row r="7471" spans="1:7" x14ac:dyDescent="0.25">
      <c r="A7471" s="204">
        <v>43878</v>
      </c>
      <c r="B7471" s="26" t="s">
        <v>1682</v>
      </c>
      <c r="C7471" s="26" t="s">
        <v>6178</v>
      </c>
      <c r="D7471" s="8">
        <v>40000</v>
      </c>
      <c r="E7471" s="8"/>
      <c r="F7471" s="92">
        <f t="shared" si="147"/>
        <v>222026</v>
      </c>
    </row>
    <row r="7472" spans="1:7" x14ac:dyDescent="0.25">
      <c r="A7472" s="204">
        <v>43878</v>
      </c>
      <c r="B7472" s="26" t="s">
        <v>26</v>
      </c>
      <c r="C7472" s="26" t="s">
        <v>6179</v>
      </c>
      <c r="D7472" s="8">
        <v>100</v>
      </c>
      <c r="E7472" s="8"/>
      <c r="F7472" s="92">
        <f t="shared" si="147"/>
        <v>221926</v>
      </c>
    </row>
    <row r="7473" spans="1:6" x14ac:dyDescent="0.25">
      <c r="A7473" s="204">
        <v>43878</v>
      </c>
      <c r="B7473" s="26" t="s">
        <v>26</v>
      </c>
      <c r="C7473" s="26" t="s">
        <v>6015</v>
      </c>
      <c r="D7473" s="8">
        <v>600</v>
      </c>
      <c r="E7473" s="8"/>
      <c r="F7473" s="92">
        <f t="shared" si="147"/>
        <v>221326</v>
      </c>
    </row>
    <row r="7474" spans="1:6" x14ac:dyDescent="0.25">
      <c r="A7474" s="204">
        <v>43879</v>
      </c>
      <c r="B7474" s="26" t="s">
        <v>26</v>
      </c>
      <c r="C7474" s="26" t="s">
        <v>6180</v>
      </c>
      <c r="D7474" s="8">
        <f>530+440+250+80+270+250+80+280+250+100+280+370+270</f>
        <v>3450</v>
      </c>
      <c r="E7474" s="8"/>
      <c r="F7474" s="92">
        <f t="shared" si="147"/>
        <v>217876</v>
      </c>
    </row>
    <row r="7475" spans="1:6" x14ac:dyDescent="0.25">
      <c r="A7475" s="204">
        <v>43879</v>
      </c>
      <c r="B7475" s="26" t="s">
        <v>248</v>
      </c>
      <c r="C7475" s="26" t="s">
        <v>6181</v>
      </c>
      <c r="D7475" s="8">
        <v>500</v>
      </c>
      <c r="E7475" s="8"/>
      <c r="F7475" s="92">
        <f t="shared" si="147"/>
        <v>217376</v>
      </c>
    </row>
    <row r="7476" spans="1:6" x14ac:dyDescent="0.25">
      <c r="A7476" s="204">
        <v>43879</v>
      </c>
      <c r="B7476" s="26" t="s">
        <v>4312</v>
      </c>
      <c r="C7476" s="26" t="s">
        <v>5570</v>
      </c>
      <c r="D7476" s="8">
        <v>35000</v>
      </c>
      <c r="E7476" s="8"/>
      <c r="F7476" s="92">
        <f t="shared" si="147"/>
        <v>182376</v>
      </c>
    </row>
    <row r="7477" spans="1:6" x14ac:dyDescent="0.25">
      <c r="A7477" s="204">
        <v>43879</v>
      </c>
      <c r="B7477" s="26" t="s">
        <v>5479</v>
      </c>
      <c r="C7477" s="26" t="s">
        <v>6182</v>
      </c>
      <c r="D7477" s="8">
        <v>300</v>
      </c>
      <c r="E7477" s="8"/>
      <c r="F7477" s="92">
        <f t="shared" si="147"/>
        <v>182076</v>
      </c>
    </row>
    <row r="7478" spans="1:6" x14ac:dyDescent="0.25">
      <c r="A7478" s="204">
        <v>43879</v>
      </c>
      <c r="B7478" s="26" t="s">
        <v>26</v>
      </c>
      <c r="C7478" s="26" t="s">
        <v>2028</v>
      </c>
      <c r="D7478" s="8">
        <v>100</v>
      </c>
      <c r="E7478" s="8"/>
      <c r="F7478" s="92">
        <f t="shared" si="147"/>
        <v>181976</v>
      </c>
    </row>
    <row r="7479" spans="1:6" x14ac:dyDescent="0.25">
      <c r="A7479" s="204">
        <v>43879</v>
      </c>
      <c r="B7479" s="29" t="s">
        <v>6186</v>
      </c>
      <c r="C7479" s="29" t="s">
        <v>5853</v>
      </c>
      <c r="D7479" s="8">
        <v>45500</v>
      </c>
      <c r="E7479" s="8"/>
      <c r="F7479" s="92">
        <f t="shared" si="147"/>
        <v>136476</v>
      </c>
    </row>
    <row r="7480" spans="1:6" x14ac:dyDescent="0.25">
      <c r="A7480" s="204">
        <v>43880</v>
      </c>
      <c r="B7480" s="26" t="s">
        <v>2597</v>
      </c>
      <c r="C7480" s="26" t="s">
        <v>6188</v>
      </c>
      <c r="D7480" s="8">
        <v>5320</v>
      </c>
      <c r="E7480" s="8"/>
      <c r="F7480" s="92">
        <f t="shared" si="147"/>
        <v>131156</v>
      </c>
    </row>
    <row r="7481" spans="1:6" x14ac:dyDescent="0.25">
      <c r="A7481" s="204">
        <v>43880</v>
      </c>
      <c r="B7481" s="26" t="s">
        <v>3989</v>
      </c>
      <c r="C7481" s="26" t="s">
        <v>6123</v>
      </c>
      <c r="D7481" s="8">
        <v>55000</v>
      </c>
      <c r="E7481" s="8"/>
      <c r="F7481" s="92">
        <f t="shared" si="147"/>
        <v>76156</v>
      </c>
    </row>
    <row r="7482" spans="1:6" x14ac:dyDescent="0.25">
      <c r="A7482" s="204">
        <v>43880</v>
      </c>
      <c r="B7482" s="29" t="s">
        <v>85</v>
      </c>
      <c r="C7482" s="29" t="s">
        <v>6189</v>
      </c>
      <c r="D7482" s="8">
        <v>5000</v>
      </c>
      <c r="E7482" s="8"/>
      <c r="F7482" s="92">
        <f t="shared" si="147"/>
        <v>71156</v>
      </c>
    </row>
    <row r="7483" spans="1:6" x14ac:dyDescent="0.25">
      <c r="A7483" s="204">
        <v>43880</v>
      </c>
      <c r="B7483" s="26" t="s">
        <v>1682</v>
      </c>
      <c r="C7483" s="26" t="s">
        <v>6191</v>
      </c>
      <c r="D7483" s="8">
        <v>15000</v>
      </c>
      <c r="E7483" s="8"/>
      <c r="F7483" s="92">
        <f t="shared" si="147"/>
        <v>56156</v>
      </c>
    </row>
    <row r="7484" spans="1:6" x14ac:dyDescent="0.25">
      <c r="A7484" s="204">
        <v>43881</v>
      </c>
      <c r="B7484" s="26" t="s">
        <v>14</v>
      </c>
      <c r="C7484" s="26" t="s">
        <v>641</v>
      </c>
      <c r="D7484" s="8">
        <v>1000</v>
      </c>
      <c r="E7484" s="8"/>
      <c r="F7484" s="92">
        <f t="shared" si="147"/>
        <v>55156</v>
      </c>
    </row>
    <row r="7485" spans="1:6" x14ac:dyDescent="0.25">
      <c r="A7485" s="204">
        <v>43881</v>
      </c>
      <c r="B7485" s="452" t="s">
        <v>6163</v>
      </c>
      <c r="C7485" s="452"/>
      <c r="D7485" s="452"/>
      <c r="E7485" s="8">
        <v>100000</v>
      </c>
      <c r="F7485" s="92">
        <f t="shared" si="147"/>
        <v>155156</v>
      </c>
    </row>
    <row r="7486" spans="1:6" x14ac:dyDescent="0.25">
      <c r="A7486" s="204">
        <v>43881</v>
      </c>
      <c r="B7486" s="26" t="s">
        <v>0</v>
      </c>
      <c r="C7486" s="26" t="s">
        <v>6192</v>
      </c>
      <c r="D7486" s="8">
        <v>25000</v>
      </c>
      <c r="E7486" s="8"/>
      <c r="F7486" s="92">
        <f t="shared" si="147"/>
        <v>130156</v>
      </c>
    </row>
    <row r="7487" spans="1:6" x14ac:dyDescent="0.25">
      <c r="A7487" s="204">
        <v>43881</v>
      </c>
      <c r="B7487" s="26" t="s">
        <v>19</v>
      </c>
      <c r="C7487" s="26" t="s">
        <v>6205</v>
      </c>
      <c r="D7487" s="8">
        <v>2000</v>
      </c>
      <c r="E7487" s="8"/>
      <c r="F7487" s="92">
        <f t="shared" si="147"/>
        <v>128156</v>
      </c>
    </row>
    <row r="7488" spans="1:6" x14ac:dyDescent="0.25">
      <c r="A7488" s="204">
        <v>43881</v>
      </c>
      <c r="B7488" s="137" t="s">
        <v>2597</v>
      </c>
      <c r="C7488" s="137" t="s">
        <v>6193</v>
      </c>
      <c r="D7488" s="139">
        <v>20100</v>
      </c>
      <c r="E7488" s="8"/>
      <c r="F7488" s="92">
        <f t="shared" si="147"/>
        <v>108056</v>
      </c>
    </row>
    <row r="7489" spans="1:6" x14ac:dyDescent="0.25">
      <c r="A7489" s="204">
        <v>43881</v>
      </c>
      <c r="B7489" s="26" t="s">
        <v>4776</v>
      </c>
      <c r="C7489" s="26" t="s">
        <v>6194</v>
      </c>
      <c r="D7489" s="8">
        <v>25000</v>
      </c>
      <c r="E7489" s="8"/>
      <c r="F7489" s="92">
        <f t="shared" si="147"/>
        <v>83056</v>
      </c>
    </row>
    <row r="7490" spans="1:6" x14ac:dyDescent="0.25">
      <c r="A7490" s="204">
        <v>43881</v>
      </c>
      <c r="B7490" s="29" t="s">
        <v>5485</v>
      </c>
      <c r="C7490" s="29" t="s">
        <v>6195</v>
      </c>
      <c r="D7490" s="8">
        <v>700</v>
      </c>
      <c r="E7490" s="8"/>
      <c r="F7490" s="92">
        <f t="shared" si="147"/>
        <v>82356</v>
      </c>
    </row>
    <row r="7491" spans="1:6" x14ac:dyDescent="0.25">
      <c r="A7491" s="204">
        <v>43881</v>
      </c>
      <c r="B7491" s="26" t="s">
        <v>2597</v>
      </c>
      <c r="C7491" s="26" t="s">
        <v>6196</v>
      </c>
      <c r="D7491" s="8">
        <v>3000</v>
      </c>
      <c r="E7491" s="8"/>
      <c r="F7491" s="92">
        <f t="shared" si="147"/>
        <v>79356</v>
      </c>
    </row>
    <row r="7492" spans="1:6" x14ac:dyDescent="0.25">
      <c r="A7492" s="204">
        <v>43882</v>
      </c>
      <c r="B7492" s="29" t="s">
        <v>26</v>
      </c>
      <c r="C7492" s="29" t="s">
        <v>6197</v>
      </c>
      <c r="D7492" s="8">
        <v>16000</v>
      </c>
      <c r="E7492" s="8"/>
      <c r="F7492" s="92">
        <f t="shared" si="147"/>
        <v>63356</v>
      </c>
    </row>
    <row r="7493" spans="1:6" x14ac:dyDescent="0.25">
      <c r="A7493" s="204">
        <v>43882</v>
      </c>
      <c r="B7493" s="29" t="s">
        <v>85</v>
      </c>
      <c r="C7493" s="29" t="s">
        <v>6198</v>
      </c>
      <c r="D7493" s="8">
        <v>500</v>
      </c>
      <c r="E7493" s="8"/>
      <c r="F7493" s="92">
        <f t="shared" si="147"/>
        <v>62856</v>
      </c>
    </row>
    <row r="7494" spans="1:6" x14ac:dyDescent="0.25">
      <c r="A7494" s="204">
        <v>43882</v>
      </c>
      <c r="B7494" s="29" t="s">
        <v>0</v>
      </c>
      <c r="C7494" s="29" t="s">
        <v>6199</v>
      </c>
      <c r="D7494" s="8">
        <v>1000</v>
      </c>
      <c r="E7494" s="8"/>
      <c r="F7494" s="92">
        <f t="shared" si="147"/>
        <v>61856</v>
      </c>
    </row>
    <row r="7495" spans="1:6" x14ac:dyDescent="0.25">
      <c r="A7495" s="204">
        <v>43883</v>
      </c>
      <c r="B7495" s="29" t="s">
        <v>6200</v>
      </c>
      <c r="C7495" s="29" t="s">
        <v>6201</v>
      </c>
      <c r="D7495" s="8">
        <v>350</v>
      </c>
      <c r="E7495" s="8"/>
      <c r="F7495" s="92">
        <f t="shared" si="147"/>
        <v>61506</v>
      </c>
    </row>
    <row r="7496" spans="1:6" x14ac:dyDescent="0.25">
      <c r="A7496" s="204">
        <v>43883</v>
      </c>
      <c r="B7496" s="29" t="s">
        <v>26</v>
      </c>
      <c r="C7496" s="29" t="s">
        <v>6202</v>
      </c>
      <c r="D7496" s="8">
        <v>100</v>
      </c>
      <c r="E7496" s="8"/>
      <c r="F7496" s="92">
        <f t="shared" ref="F7496:F7547" si="148">F7495+E7496-D7496</f>
        <v>61406</v>
      </c>
    </row>
    <row r="7497" spans="1:6" x14ac:dyDescent="0.25">
      <c r="A7497" s="204">
        <v>43883</v>
      </c>
      <c r="B7497" s="29" t="s">
        <v>6000</v>
      </c>
      <c r="C7497" s="29" t="s">
        <v>6203</v>
      </c>
      <c r="D7497" s="8">
        <v>1000</v>
      </c>
      <c r="E7497" s="8"/>
      <c r="F7497" s="92">
        <f t="shared" si="148"/>
        <v>60406</v>
      </c>
    </row>
    <row r="7498" spans="1:6" x14ac:dyDescent="0.25">
      <c r="A7498" s="204">
        <v>43883</v>
      </c>
      <c r="B7498" s="452" t="s">
        <v>6163</v>
      </c>
      <c r="C7498" s="452"/>
      <c r="D7498" s="452"/>
      <c r="E7498" s="8">
        <v>82000</v>
      </c>
      <c r="F7498" s="92">
        <f t="shared" si="148"/>
        <v>142406</v>
      </c>
    </row>
    <row r="7499" spans="1:6" x14ac:dyDescent="0.25">
      <c r="A7499" s="204">
        <v>43883</v>
      </c>
      <c r="B7499" s="26" t="s">
        <v>0</v>
      </c>
      <c r="C7499" s="26" t="s">
        <v>6204</v>
      </c>
      <c r="D7499" s="8">
        <f>72000+7000+2000+3000</f>
        <v>84000</v>
      </c>
      <c r="E7499" s="8"/>
      <c r="F7499" s="92">
        <f t="shared" si="148"/>
        <v>58406</v>
      </c>
    </row>
    <row r="7500" spans="1:6" x14ac:dyDescent="0.25">
      <c r="A7500" s="204">
        <v>43883</v>
      </c>
      <c r="B7500" s="26" t="s">
        <v>19</v>
      </c>
      <c r="C7500" s="26" t="s">
        <v>295</v>
      </c>
      <c r="D7500" s="8">
        <v>2000</v>
      </c>
      <c r="E7500" s="8"/>
      <c r="F7500" s="92">
        <f t="shared" si="148"/>
        <v>56406</v>
      </c>
    </row>
    <row r="7501" spans="1:6" x14ac:dyDescent="0.25">
      <c r="A7501" s="204">
        <v>43885</v>
      </c>
      <c r="B7501" s="169" t="s">
        <v>2597</v>
      </c>
      <c r="C7501" s="169" t="s">
        <v>3146</v>
      </c>
      <c r="D7501" s="170">
        <v>20220</v>
      </c>
      <c r="E7501" s="8"/>
      <c r="F7501" s="92">
        <f t="shared" si="148"/>
        <v>36186</v>
      </c>
    </row>
    <row r="7502" spans="1:6" x14ac:dyDescent="0.25">
      <c r="A7502" s="204">
        <v>43885</v>
      </c>
      <c r="B7502" s="26" t="s">
        <v>5490</v>
      </c>
      <c r="C7502" s="26" t="s">
        <v>6206</v>
      </c>
      <c r="D7502" s="8">
        <v>500</v>
      </c>
      <c r="E7502" s="8"/>
      <c r="F7502" s="92">
        <f t="shared" si="148"/>
        <v>35686</v>
      </c>
    </row>
    <row r="7503" spans="1:6" x14ac:dyDescent="0.25">
      <c r="A7503" s="204">
        <v>43885</v>
      </c>
      <c r="B7503" s="26" t="s">
        <v>5490</v>
      </c>
      <c r="C7503" s="26" t="s">
        <v>6207</v>
      </c>
      <c r="D7503" s="8">
        <v>1000</v>
      </c>
      <c r="E7503" s="8"/>
      <c r="F7503" s="92">
        <f t="shared" si="148"/>
        <v>34686</v>
      </c>
    </row>
    <row r="7504" spans="1:6" x14ac:dyDescent="0.25">
      <c r="A7504" s="204">
        <v>43885</v>
      </c>
      <c r="B7504" s="26" t="s">
        <v>4778</v>
      </c>
      <c r="C7504" s="26" t="s">
        <v>295</v>
      </c>
      <c r="D7504" s="8">
        <v>20000</v>
      </c>
      <c r="E7504" s="8"/>
      <c r="F7504" s="92">
        <f t="shared" si="148"/>
        <v>14686</v>
      </c>
    </row>
    <row r="7505" spans="1:6" x14ac:dyDescent="0.25">
      <c r="A7505" s="204">
        <v>43885</v>
      </c>
      <c r="B7505" s="26" t="s">
        <v>26</v>
      </c>
      <c r="C7505" s="26" t="s">
        <v>6208</v>
      </c>
      <c r="D7505" s="8">
        <v>200</v>
      </c>
      <c r="E7505" s="8"/>
      <c r="F7505" s="92">
        <f t="shared" si="148"/>
        <v>14486</v>
      </c>
    </row>
    <row r="7506" spans="1:6" x14ac:dyDescent="0.25">
      <c r="A7506" s="204">
        <v>43885</v>
      </c>
      <c r="B7506" s="26" t="s">
        <v>26</v>
      </c>
      <c r="C7506" s="26" t="s">
        <v>6209</v>
      </c>
      <c r="D7506" s="8">
        <v>1500</v>
      </c>
      <c r="E7506" s="8"/>
      <c r="F7506" s="92">
        <f t="shared" si="148"/>
        <v>12986</v>
      </c>
    </row>
    <row r="7507" spans="1:6" x14ac:dyDescent="0.25">
      <c r="A7507" s="204">
        <v>43885</v>
      </c>
      <c r="B7507" s="26" t="s">
        <v>4776</v>
      </c>
      <c r="C7507" s="26" t="s">
        <v>6211</v>
      </c>
      <c r="D7507" s="8">
        <v>6000</v>
      </c>
      <c r="E7507" s="8"/>
      <c r="F7507" s="92">
        <f t="shared" si="148"/>
        <v>6986</v>
      </c>
    </row>
    <row r="7508" spans="1:6" x14ac:dyDescent="0.25">
      <c r="A7508" s="204">
        <v>43885</v>
      </c>
      <c r="B7508" s="452" t="s">
        <v>6163</v>
      </c>
      <c r="C7508" s="452"/>
      <c r="D7508" s="452"/>
      <c r="E7508" s="8">
        <v>50000</v>
      </c>
      <c r="F7508" s="92">
        <f t="shared" si="148"/>
        <v>56986</v>
      </c>
    </row>
    <row r="7509" spans="1:6" x14ac:dyDescent="0.25">
      <c r="A7509" s="204">
        <v>43885</v>
      </c>
      <c r="B7509" s="29" t="s">
        <v>85</v>
      </c>
      <c r="C7509" s="29" t="s">
        <v>6212</v>
      </c>
      <c r="D7509" s="8">
        <v>3000</v>
      </c>
      <c r="E7509" s="8"/>
      <c r="F7509" s="92">
        <f t="shared" si="148"/>
        <v>53986</v>
      </c>
    </row>
    <row r="7510" spans="1:6" x14ac:dyDescent="0.25">
      <c r="A7510" s="204">
        <v>43885</v>
      </c>
      <c r="B7510" s="26" t="s">
        <v>6000</v>
      </c>
      <c r="C7510" s="26" t="s">
        <v>6213</v>
      </c>
      <c r="D7510" s="8">
        <v>4000</v>
      </c>
      <c r="E7510" s="8"/>
      <c r="F7510" s="92">
        <f t="shared" si="148"/>
        <v>49986</v>
      </c>
    </row>
    <row r="7511" spans="1:6" x14ac:dyDescent="0.25">
      <c r="A7511" s="204">
        <v>43885</v>
      </c>
      <c r="B7511" s="26" t="s">
        <v>0</v>
      </c>
      <c r="C7511" s="26" t="s">
        <v>6214</v>
      </c>
      <c r="D7511" s="8">
        <v>1000</v>
      </c>
      <c r="E7511" s="8"/>
      <c r="F7511" s="92">
        <f t="shared" si="148"/>
        <v>48986</v>
      </c>
    </row>
    <row r="7512" spans="1:6" x14ac:dyDescent="0.25">
      <c r="A7512" s="204">
        <v>43885</v>
      </c>
      <c r="B7512" s="137" t="s">
        <v>2597</v>
      </c>
      <c r="C7512" s="137" t="s">
        <v>6215</v>
      </c>
      <c r="D7512" s="139">
        <v>5000</v>
      </c>
      <c r="E7512" s="8"/>
      <c r="F7512" s="92">
        <f t="shared" si="148"/>
        <v>43986</v>
      </c>
    </row>
    <row r="7513" spans="1:6" x14ac:dyDescent="0.25">
      <c r="A7513" s="204">
        <v>43885</v>
      </c>
      <c r="B7513" s="26" t="s">
        <v>4776</v>
      </c>
      <c r="C7513" s="26" t="s">
        <v>6167</v>
      </c>
      <c r="D7513" s="8">
        <v>10000</v>
      </c>
      <c r="E7513" s="8"/>
      <c r="F7513" s="92">
        <f t="shared" si="148"/>
        <v>33986</v>
      </c>
    </row>
    <row r="7514" spans="1:6" x14ac:dyDescent="0.25">
      <c r="A7514" s="204">
        <v>43886</v>
      </c>
      <c r="B7514" s="452" t="s">
        <v>6163</v>
      </c>
      <c r="C7514" s="452"/>
      <c r="D7514" s="452"/>
      <c r="E7514" s="8">
        <v>30000</v>
      </c>
      <c r="F7514" s="92">
        <f t="shared" si="148"/>
        <v>63986</v>
      </c>
    </row>
    <row r="7515" spans="1:6" x14ac:dyDescent="0.25">
      <c r="A7515" s="204">
        <v>43886</v>
      </c>
      <c r="B7515" s="137" t="s">
        <v>2597</v>
      </c>
      <c r="C7515" s="137"/>
      <c r="D7515" s="139">
        <v>6500</v>
      </c>
      <c r="E7515" s="8"/>
      <c r="F7515" s="92">
        <f t="shared" si="148"/>
        <v>57486</v>
      </c>
    </row>
    <row r="7516" spans="1:6" x14ac:dyDescent="0.25">
      <c r="A7516" s="204">
        <v>43886</v>
      </c>
      <c r="B7516" s="46" t="s">
        <v>14</v>
      </c>
      <c r="C7516" s="46" t="s">
        <v>5877</v>
      </c>
      <c r="D7516" s="140">
        <v>1630</v>
      </c>
      <c r="E7516" s="8"/>
      <c r="F7516" s="92">
        <f t="shared" si="148"/>
        <v>55856</v>
      </c>
    </row>
    <row r="7517" spans="1:6" x14ac:dyDescent="0.25">
      <c r="A7517" s="204">
        <v>43886</v>
      </c>
      <c r="B7517" s="138" t="s">
        <v>3563</v>
      </c>
      <c r="C7517" s="26" t="s">
        <v>6216</v>
      </c>
      <c r="D7517" s="8">
        <v>650</v>
      </c>
      <c r="E7517" s="8"/>
      <c r="F7517" s="92">
        <f t="shared" si="148"/>
        <v>55206</v>
      </c>
    </row>
    <row r="7518" spans="1:6" x14ac:dyDescent="0.25">
      <c r="A7518" s="204">
        <v>43886</v>
      </c>
      <c r="B7518" s="138" t="s">
        <v>0</v>
      </c>
      <c r="C7518" s="26" t="s">
        <v>6217</v>
      </c>
      <c r="D7518" s="8">
        <v>53000</v>
      </c>
      <c r="E7518" s="8"/>
      <c r="F7518" s="92">
        <f t="shared" si="148"/>
        <v>2206</v>
      </c>
    </row>
    <row r="7519" spans="1:6" x14ac:dyDescent="0.25">
      <c r="A7519" s="204">
        <v>43887</v>
      </c>
      <c r="B7519" s="452" t="s">
        <v>6163</v>
      </c>
      <c r="C7519" s="452"/>
      <c r="D7519" s="452"/>
      <c r="E7519" s="8">
        <v>200000</v>
      </c>
      <c r="F7519" s="92">
        <f t="shared" si="148"/>
        <v>202206</v>
      </c>
    </row>
    <row r="7520" spans="1:6" x14ac:dyDescent="0.25">
      <c r="A7520" s="204">
        <v>43887</v>
      </c>
      <c r="B7520" s="29" t="s">
        <v>85</v>
      </c>
      <c r="C7520" s="29" t="s">
        <v>6218</v>
      </c>
      <c r="D7520" s="8">
        <v>5000</v>
      </c>
      <c r="E7520" s="8"/>
      <c r="F7520" s="92">
        <f t="shared" si="148"/>
        <v>197206</v>
      </c>
    </row>
    <row r="7521" spans="1:6" x14ac:dyDescent="0.25">
      <c r="A7521" s="204">
        <v>43887</v>
      </c>
      <c r="B7521" s="138" t="s">
        <v>6219</v>
      </c>
      <c r="C7521" s="29" t="s">
        <v>6220</v>
      </c>
      <c r="D7521" s="8">
        <v>195000</v>
      </c>
      <c r="E7521" s="8"/>
      <c r="F7521" s="92">
        <f t="shared" si="148"/>
        <v>2206</v>
      </c>
    </row>
    <row r="7522" spans="1:6" x14ac:dyDescent="0.25">
      <c r="A7522" s="204">
        <v>43888</v>
      </c>
      <c r="B7522" s="26" t="s">
        <v>26</v>
      </c>
      <c r="C7522" s="26" t="s">
        <v>6221</v>
      </c>
      <c r="D7522" s="8">
        <v>1200</v>
      </c>
      <c r="E7522" s="8"/>
      <c r="F7522" s="92">
        <f t="shared" si="148"/>
        <v>1006</v>
      </c>
    </row>
    <row r="7523" spans="1:6" x14ac:dyDescent="0.25">
      <c r="A7523" s="204">
        <v>43888</v>
      </c>
      <c r="B7523" s="26" t="s">
        <v>2597</v>
      </c>
      <c r="C7523" s="26" t="s">
        <v>6222</v>
      </c>
      <c r="D7523" s="8">
        <v>534</v>
      </c>
      <c r="E7523" s="8"/>
      <c r="F7523" s="92">
        <f t="shared" si="148"/>
        <v>472</v>
      </c>
    </row>
    <row r="7524" spans="1:6" x14ac:dyDescent="0.25">
      <c r="A7524" s="204">
        <v>43888</v>
      </c>
      <c r="B7524" s="452" t="s">
        <v>6163</v>
      </c>
      <c r="C7524" s="452"/>
      <c r="D7524" s="452"/>
      <c r="E7524" s="8">
        <v>100000</v>
      </c>
      <c r="F7524" s="92">
        <f t="shared" si="148"/>
        <v>100472</v>
      </c>
    </row>
    <row r="7525" spans="1:6" x14ac:dyDescent="0.25">
      <c r="A7525" s="204">
        <v>43888</v>
      </c>
      <c r="B7525" s="29" t="s">
        <v>2597</v>
      </c>
      <c r="C7525" s="29" t="s">
        <v>6224</v>
      </c>
      <c r="D7525" s="8">
        <v>11100</v>
      </c>
      <c r="E7525" s="8"/>
      <c r="F7525" s="92">
        <f t="shared" si="148"/>
        <v>89372</v>
      </c>
    </row>
    <row r="7526" spans="1:6" x14ac:dyDescent="0.25">
      <c r="A7526" s="204">
        <v>43888</v>
      </c>
      <c r="B7526" s="29" t="s">
        <v>6000</v>
      </c>
      <c r="C7526" s="29" t="s">
        <v>4323</v>
      </c>
      <c r="D7526" s="8">
        <v>1000</v>
      </c>
      <c r="E7526" s="8"/>
      <c r="F7526" s="92">
        <f t="shared" si="148"/>
        <v>88372</v>
      </c>
    </row>
    <row r="7527" spans="1:6" x14ac:dyDescent="0.25">
      <c r="A7527" s="204">
        <v>43888</v>
      </c>
      <c r="B7527" s="26" t="s">
        <v>26</v>
      </c>
      <c r="C7527" s="26" t="s">
        <v>6241</v>
      </c>
      <c r="D7527" s="8">
        <f>120+250+250+150+300+250+470+250+220+220+440+40+10</f>
        <v>2970</v>
      </c>
      <c r="E7527" s="8"/>
      <c r="F7527" s="92">
        <f t="shared" si="148"/>
        <v>85402</v>
      </c>
    </row>
    <row r="7528" spans="1:6" x14ac:dyDescent="0.25">
      <c r="A7528" s="204">
        <v>43888</v>
      </c>
      <c r="B7528" s="26" t="s">
        <v>1790</v>
      </c>
      <c r="C7528" s="26" t="s">
        <v>6225</v>
      </c>
      <c r="D7528" s="8">
        <v>1000</v>
      </c>
      <c r="E7528" s="8"/>
      <c r="F7528" s="92">
        <f t="shared" si="148"/>
        <v>84402</v>
      </c>
    </row>
    <row r="7529" spans="1:6" x14ac:dyDescent="0.25">
      <c r="A7529" s="204">
        <v>43888</v>
      </c>
      <c r="B7529" s="26" t="s">
        <v>2597</v>
      </c>
      <c r="C7529" s="26" t="s">
        <v>3561</v>
      </c>
      <c r="D7529" s="8">
        <v>12600</v>
      </c>
      <c r="E7529" s="8"/>
      <c r="F7529" s="92">
        <f t="shared" si="148"/>
        <v>71802</v>
      </c>
    </row>
    <row r="7530" spans="1:6" x14ac:dyDescent="0.25">
      <c r="A7530" s="204">
        <v>43888</v>
      </c>
      <c r="B7530" s="29" t="s">
        <v>85</v>
      </c>
      <c r="C7530" s="29" t="s">
        <v>6240</v>
      </c>
      <c r="D7530" s="8">
        <v>1000</v>
      </c>
      <c r="E7530" s="8"/>
      <c r="F7530" s="92">
        <f t="shared" si="148"/>
        <v>70802</v>
      </c>
    </row>
    <row r="7531" spans="1:6" x14ac:dyDescent="0.25">
      <c r="A7531" s="204">
        <v>43888</v>
      </c>
      <c r="B7531" s="26" t="s">
        <v>14</v>
      </c>
      <c r="C7531" s="29" t="s">
        <v>6228</v>
      </c>
      <c r="D7531" s="8">
        <v>50000</v>
      </c>
      <c r="E7531" s="8"/>
      <c r="F7531" s="92">
        <f t="shared" si="148"/>
        <v>20802</v>
      </c>
    </row>
    <row r="7532" spans="1:6" x14ac:dyDescent="0.25">
      <c r="A7532" s="204">
        <v>43888</v>
      </c>
      <c r="B7532" s="137" t="s">
        <v>69</v>
      </c>
      <c r="C7532" s="137" t="s">
        <v>6229</v>
      </c>
      <c r="D7532" s="8">
        <v>10000</v>
      </c>
      <c r="E7532" s="8"/>
      <c r="F7532" s="92">
        <f t="shared" si="148"/>
        <v>10802</v>
      </c>
    </row>
    <row r="7533" spans="1:6" ht="15" customHeight="1" x14ac:dyDescent="0.25">
      <c r="A7533" s="204">
        <v>43888</v>
      </c>
      <c r="B7533" s="452" t="s">
        <v>6163</v>
      </c>
      <c r="C7533" s="452"/>
      <c r="D7533" s="452"/>
      <c r="E7533" s="8">
        <v>35000</v>
      </c>
      <c r="F7533" s="92">
        <f t="shared" si="148"/>
        <v>45802</v>
      </c>
    </row>
    <row r="7534" spans="1:6" ht="15" customHeight="1" x14ac:dyDescent="0.25">
      <c r="A7534" s="204">
        <v>43888</v>
      </c>
      <c r="B7534" s="452" t="s">
        <v>6163</v>
      </c>
      <c r="C7534" s="452"/>
      <c r="D7534" s="452"/>
      <c r="E7534" s="8">
        <v>25000</v>
      </c>
      <c r="F7534" s="92">
        <f t="shared" si="148"/>
        <v>70802</v>
      </c>
    </row>
    <row r="7535" spans="1:6" x14ac:dyDescent="0.25">
      <c r="A7535" s="204">
        <v>43888</v>
      </c>
      <c r="B7535" s="26" t="s">
        <v>1515</v>
      </c>
      <c r="C7535" s="26" t="s">
        <v>6231</v>
      </c>
      <c r="D7535" s="8">
        <v>16000</v>
      </c>
      <c r="E7535" s="8"/>
      <c r="F7535" s="92">
        <f t="shared" si="148"/>
        <v>54802</v>
      </c>
    </row>
    <row r="7536" spans="1:6" ht="15" customHeight="1" x14ac:dyDescent="0.25">
      <c r="A7536" s="204">
        <v>43888</v>
      </c>
      <c r="B7536" s="452" t="s">
        <v>6163</v>
      </c>
      <c r="C7536" s="452"/>
      <c r="D7536" s="452"/>
      <c r="E7536" s="8">
        <v>175000</v>
      </c>
      <c r="F7536" s="92">
        <f t="shared" si="148"/>
        <v>229802</v>
      </c>
    </row>
    <row r="7537" spans="1:10" x14ac:dyDescent="0.25">
      <c r="A7537" s="204">
        <v>43888</v>
      </c>
      <c r="B7537" s="26" t="s">
        <v>6232</v>
      </c>
      <c r="C7537" s="26" t="s">
        <v>6233</v>
      </c>
      <c r="D7537" s="8">
        <v>23000</v>
      </c>
      <c r="E7537" s="8"/>
      <c r="F7537" s="92">
        <f t="shared" si="148"/>
        <v>206802</v>
      </c>
    </row>
    <row r="7538" spans="1:10" x14ac:dyDescent="0.25">
      <c r="A7538" s="204">
        <v>43888</v>
      </c>
      <c r="B7538" s="29" t="s">
        <v>6019</v>
      </c>
      <c r="C7538" s="29" t="s">
        <v>6230</v>
      </c>
      <c r="D7538" s="8">
        <v>35600</v>
      </c>
      <c r="E7538" s="8"/>
      <c r="F7538" s="92">
        <f t="shared" si="148"/>
        <v>171202</v>
      </c>
    </row>
    <row r="7539" spans="1:10" x14ac:dyDescent="0.25">
      <c r="A7539" s="204">
        <v>43889</v>
      </c>
      <c r="B7539" s="26" t="s">
        <v>0</v>
      </c>
      <c r="C7539" s="26" t="s">
        <v>6235</v>
      </c>
      <c r="D7539" s="8">
        <v>80000</v>
      </c>
      <c r="E7539" s="8"/>
      <c r="F7539" s="92">
        <f t="shared" si="148"/>
        <v>91202</v>
      </c>
    </row>
    <row r="7540" spans="1:10" x14ac:dyDescent="0.25">
      <c r="A7540" s="204">
        <v>43889</v>
      </c>
      <c r="B7540" s="26" t="s">
        <v>5201</v>
      </c>
      <c r="C7540" s="87" t="s">
        <v>6236</v>
      </c>
      <c r="D7540" s="8">
        <v>15000</v>
      </c>
      <c r="E7540" s="8"/>
      <c r="F7540" s="92">
        <f t="shared" si="148"/>
        <v>76202</v>
      </c>
    </row>
    <row r="7541" spans="1:10" x14ac:dyDescent="0.25">
      <c r="A7541" s="204">
        <v>43889</v>
      </c>
      <c r="B7541" s="26" t="s">
        <v>6238</v>
      </c>
      <c r="C7541" s="26" t="s">
        <v>5984</v>
      </c>
      <c r="D7541" s="8">
        <v>50000</v>
      </c>
      <c r="E7541" s="8"/>
      <c r="F7541" s="92">
        <f t="shared" si="148"/>
        <v>26202</v>
      </c>
    </row>
    <row r="7542" spans="1:10" x14ac:dyDescent="0.25">
      <c r="A7542" s="204">
        <v>43889</v>
      </c>
      <c r="B7542" s="26" t="s">
        <v>26</v>
      </c>
      <c r="C7542" s="26" t="s">
        <v>6239</v>
      </c>
      <c r="D7542" s="8">
        <v>5000</v>
      </c>
      <c r="E7542" s="8"/>
      <c r="F7542" s="92">
        <f t="shared" si="148"/>
        <v>21202</v>
      </c>
    </row>
    <row r="7543" spans="1:10" x14ac:dyDescent="0.25">
      <c r="A7543" s="204">
        <v>43890</v>
      </c>
      <c r="B7543" s="26" t="s">
        <v>14</v>
      </c>
      <c r="C7543" s="26" t="s">
        <v>3914</v>
      </c>
      <c r="D7543" s="8">
        <v>5000</v>
      </c>
      <c r="E7543" s="8"/>
      <c r="F7543" s="92">
        <f t="shared" si="148"/>
        <v>16202</v>
      </c>
    </row>
    <row r="7544" spans="1:10" x14ac:dyDescent="0.25">
      <c r="A7544" s="204">
        <v>43890</v>
      </c>
      <c r="B7544" s="26" t="s">
        <v>26</v>
      </c>
      <c r="C7544" s="26" t="s">
        <v>6242</v>
      </c>
      <c r="D7544" s="8">
        <v>5568</v>
      </c>
      <c r="E7544" s="8"/>
      <c r="F7544" s="92">
        <f t="shared" si="148"/>
        <v>10634</v>
      </c>
    </row>
    <row r="7545" spans="1:10" x14ac:dyDescent="0.25">
      <c r="A7545" s="204">
        <v>43890</v>
      </c>
      <c r="B7545" s="26" t="s">
        <v>3563</v>
      </c>
      <c r="C7545" s="26" t="s">
        <v>6243</v>
      </c>
      <c r="D7545" s="8">
        <v>4000</v>
      </c>
      <c r="E7545" s="8"/>
      <c r="F7545" s="92">
        <f t="shared" si="148"/>
        <v>6634</v>
      </c>
      <c r="G7545" s="10"/>
      <c r="J7545" s="6"/>
    </row>
    <row r="7546" spans="1:10" x14ac:dyDescent="0.25">
      <c r="A7546" s="204">
        <v>43890</v>
      </c>
      <c r="B7546" s="26" t="s">
        <v>248</v>
      </c>
      <c r="C7546" s="26" t="s">
        <v>6244</v>
      </c>
      <c r="D7546" s="8">
        <v>100</v>
      </c>
      <c r="E7546" s="8"/>
      <c r="F7546" s="92">
        <f t="shared" si="148"/>
        <v>6534</v>
      </c>
    </row>
    <row r="7547" spans="1:10" x14ac:dyDescent="0.25">
      <c r="A7547" s="204">
        <v>43890</v>
      </c>
      <c r="B7547" s="137" t="s">
        <v>2597</v>
      </c>
      <c r="C7547" s="137" t="s">
        <v>6245</v>
      </c>
      <c r="D7547" s="139">
        <v>1000</v>
      </c>
      <c r="E7547" s="8"/>
      <c r="F7547" s="92">
        <f t="shared" si="148"/>
        <v>5534</v>
      </c>
    </row>
    <row r="7548" spans="1:10" ht="15" customHeight="1" x14ac:dyDescent="0.25">
      <c r="A7548" s="204">
        <v>43890</v>
      </c>
      <c r="B7548" s="452" t="s">
        <v>6260</v>
      </c>
      <c r="C7548" s="452"/>
      <c r="D7548" s="452"/>
      <c r="E7548" s="8">
        <v>500000</v>
      </c>
      <c r="F7548" s="92">
        <f t="shared" ref="F7548:F7576" si="149">F7547+E7548-D7548</f>
        <v>505534</v>
      </c>
    </row>
    <row r="7549" spans="1:10" x14ac:dyDescent="0.25">
      <c r="A7549" s="204">
        <v>43890</v>
      </c>
      <c r="B7549" s="26" t="s">
        <v>4776</v>
      </c>
      <c r="C7549" s="26" t="s">
        <v>6246</v>
      </c>
      <c r="D7549" s="8">
        <v>46000</v>
      </c>
      <c r="E7549" s="8"/>
      <c r="F7549" s="92">
        <f t="shared" si="149"/>
        <v>459534</v>
      </c>
    </row>
    <row r="7550" spans="1:10" x14ac:dyDescent="0.25">
      <c r="A7550" s="204">
        <v>43890</v>
      </c>
      <c r="B7550" s="26" t="s">
        <v>1790</v>
      </c>
      <c r="C7550" s="26" t="s">
        <v>6247</v>
      </c>
      <c r="D7550" s="8">
        <v>2000</v>
      </c>
      <c r="E7550" s="8"/>
      <c r="F7550" s="92">
        <f t="shared" si="149"/>
        <v>457534</v>
      </c>
    </row>
    <row r="7551" spans="1:10" x14ac:dyDescent="0.25">
      <c r="A7551" s="204">
        <v>43892</v>
      </c>
      <c r="B7551" s="26" t="s">
        <v>6000</v>
      </c>
      <c r="C7551" s="26" t="s">
        <v>6248</v>
      </c>
      <c r="D7551" s="8">
        <v>1500</v>
      </c>
      <c r="E7551" s="8"/>
      <c r="F7551" s="92">
        <f t="shared" si="149"/>
        <v>456034</v>
      </c>
    </row>
    <row r="7552" spans="1:10" x14ac:dyDescent="0.25">
      <c r="A7552" s="204">
        <v>43892</v>
      </c>
      <c r="B7552" s="26" t="s">
        <v>6118</v>
      </c>
      <c r="C7552" s="26" t="s">
        <v>4967</v>
      </c>
      <c r="D7552" s="8">
        <v>3000</v>
      </c>
      <c r="E7552" s="8"/>
      <c r="F7552" s="92">
        <f t="shared" si="149"/>
        <v>453034</v>
      </c>
    </row>
    <row r="7553" spans="1:7" x14ac:dyDescent="0.25">
      <c r="A7553" s="204">
        <v>43892</v>
      </c>
      <c r="B7553" s="26" t="s">
        <v>2597</v>
      </c>
      <c r="C7553" s="26" t="s">
        <v>6249</v>
      </c>
      <c r="D7553" s="8">
        <v>38554</v>
      </c>
      <c r="E7553" s="8"/>
      <c r="F7553" s="92">
        <f t="shared" si="149"/>
        <v>414480</v>
      </c>
    </row>
    <row r="7554" spans="1:7" x14ac:dyDescent="0.25">
      <c r="A7554" s="204">
        <v>43892</v>
      </c>
      <c r="B7554" s="26" t="s">
        <v>6000</v>
      </c>
      <c r="C7554" s="26" t="s">
        <v>3914</v>
      </c>
      <c r="D7554" s="8">
        <v>3000</v>
      </c>
      <c r="E7554" s="8"/>
      <c r="F7554" s="92">
        <f t="shared" si="149"/>
        <v>411480</v>
      </c>
    </row>
    <row r="7555" spans="1:7" x14ac:dyDescent="0.25">
      <c r="A7555" s="204">
        <v>43892</v>
      </c>
      <c r="B7555" s="26" t="s">
        <v>6250</v>
      </c>
      <c r="C7555" s="26" t="s">
        <v>6251</v>
      </c>
      <c r="D7555" s="8">
        <v>12000</v>
      </c>
      <c r="E7555" s="8"/>
      <c r="F7555" s="92">
        <f t="shared" si="149"/>
        <v>399480</v>
      </c>
    </row>
    <row r="7556" spans="1:7" x14ac:dyDescent="0.25">
      <c r="A7556" s="204">
        <v>43893</v>
      </c>
      <c r="B7556" s="26" t="s">
        <v>4776</v>
      </c>
      <c r="C7556" s="26" t="s">
        <v>3175</v>
      </c>
      <c r="D7556" s="8">
        <v>24000</v>
      </c>
      <c r="E7556" s="8"/>
      <c r="F7556" s="92">
        <f t="shared" si="149"/>
        <v>375480</v>
      </c>
    </row>
    <row r="7557" spans="1:7" x14ac:dyDescent="0.25">
      <c r="A7557" s="204">
        <v>43893</v>
      </c>
      <c r="B7557" s="162" t="s">
        <v>4776</v>
      </c>
      <c r="C7557" s="253" t="s">
        <v>4867</v>
      </c>
      <c r="D7557" s="163">
        <v>10000</v>
      </c>
      <c r="E7557" s="8"/>
      <c r="F7557" s="92">
        <f t="shared" si="149"/>
        <v>365480</v>
      </c>
    </row>
    <row r="7558" spans="1:7" x14ac:dyDescent="0.25">
      <c r="A7558" s="204">
        <v>43893</v>
      </c>
      <c r="B7558" s="26" t="s">
        <v>55</v>
      </c>
      <c r="C7558" s="26" t="s">
        <v>6252</v>
      </c>
      <c r="D7558" s="8">
        <v>5000</v>
      </c>
      <c r="E7558" s="8"/>
      <c r="F7558" s="92">
        <f t="shared" si="149"/>
        <v>360480</v>
      </c>
    </row>
    <row r="7559" spans="1:7" x14ac:dyDescent="0.25">
      <c r="A7559" s="204">
        <v>43893</v>
      </c>
      <c r="B7559" s="29" t="s">
        <v>5140</v>
      </c>
      <c r="C7559" s="29" t="s">
        <v>41</v>
      </c>
      <c r="D7559" s="8">
        <v>4200</v>
      </c>
      <c r="E7559" s="8"/>
      <c r="F7559" s="92">
        <f t="shared" si="149"/>
        <v>356280</v>
      </c>
    </row>
    <row r="7560" spans="1:7" x14ac:dyDescent="0.25">
      <c r="A7560" s="204">
        <v>43893</v>
      </c>
      <c r="B7560" s="29" t="s">
        <v>26</v>
      </c>
      <c r="C7560" s="29" t="s">
        <v>5424</v>
      </c>
      <c r="D7560" s="8">
        <v>1000</v>
      </c>
      <c r="E7560" s="8"/>
      <c r="F7560" s="92">
        <f t="shared" si="149"/>
        <v>355280</v>
      </c>
      <c r="G7560" s="25"/>
    </row>
    <row r="7561" spans="1:7" x14ac:dyDescent="0.25">
      <c r="A7561" s="204">
        <v>43893</v>
      </c>
      <c r="B7561" s="29" t="s">
        <v>26</v>
      </c>
      <c r="C7561" s="26" t="s">
        <v>6253</v>
      </c>
      <c r="D7561" s="8">
        <v>700</v>
      </c>
      <c r="E7561" s="8"/>
      <c r="F7561" s="92">
        <f t="shared" si="149"/>
        <v>354580</v>
      </c>
    </row>
    <row r="7562" spans="1:7" x14ac:dyDescent="0.25">
      <c r="A7562" s="204">
        <v>43893</v>
      </c>
      <c r="B7562" s="26" t="s">
        <v>248</v>
      </c>
      <c r="C7562" s="26" t="s">
        <v>2016</v>
      </c>
      <c r="D7562" s="8">
        <v>100</v>
      </c>
      <c r="E7562" s="8"/>
      <c r="F7562" s="92">
        <f t="shared" si="149"/>
        <v>354480</v>
      </c>
    </row>
    <row r="7563" spans="1:7" x14ac:dyDescent="0.25">
      <c r="A7563" s="204">
        <v>43893</v>
      </c>
      <c r="B7563" s="26" t="s">
        <v>2597</v>
      </c>
      <c r="C7563" s="26" t="s">
        <v>6254</v>
      </c>
      <c r="D7563" s="8">
        <v>21500</v>
      </c>
      <c r="E7563" s="8"/>
      <c r="F7563" s="92">
        <f t="shared" si="149"/>
        <v>332980</v>
      </c>
    </row>
    <row r="7564" spans="1:7" x14ac:dyDescent="0.25">
      <c r="A7564" s="204">
        <v>43893</v>
      </c>
      <c r="B7564" s="26" t="s">
        <v>14</v>
      </c>
      <c r="C7564" s="26" t="s">
        <v>6167</v>
      </c>
      <c r="D7564" s="8">
        <v>5000</v>
      </c>
      <c r="E7564" s="8"/>
      <c r="F7564" s="92">
        <f t="shared" si="149"/>
        <v>327980</v>
      </c>
    </row>
    <row r="7565" spans="1:7" x14ac:dyDescent="0.25">
      <c r="A7565" s="204">
        <v>43893</v>
      </c>
      <c r="B7565" s="29" t="s">
        <v>85</v>
      </c>
      <c r="C7565" s="29" t="s">
        <v>6255</v>
      </c>
      <c r="D7565" s="8">
        <v>500</v>
      </c>
      <c r="E7565" s="8"/>
      <c r="F7565" s="92">
        <f t="shared" si="149"/>
        <v>327480</v>
      </c>
    </row>
    <row r="7566" spans="1:7" ht="30" x14ac:dyDescent="0.25">
      <c r="A7566" s="204">
        <v>43893</v>
      </c>
      <c r="B7566" s="26" t="s">
        <v>0</v>
      </c>
      <c r="C7566" s="87" t="s">
        <v>6272</v>
      </c>
      <c r="D7566" s="8">
        <v>5000</v>
      </c>
      <c r="E7566" s="8"/>
      <c r="F7566" s="92">
        <f t="shared" si="149"/>
        <v>322480</v>
      </c>
    </row>
    <row r="7567" spans="1:7" x14ac:dyDescent="0.25">
      <c r="A7567" s="204">
        <v>43894</v>
      </c>
      <c r="B7567" s="26" t="s">
        <v>6256</v>
      </c>
      <c r="C7567" s="26" t="s">
        <v>5978</v>
      </c>
      <c r="D7567" s="8">
        <v>1500</v>
      </c>
      <c r="E7567" s="8"/>
      <c r="F7567" s="92">
        <f t="shared" si="149"/>
        <v>320980</v>
      </c>
    </row>
    <row r="7568" spans="1:7" x14ac:dyDescent="0.25">
      <c r="A7568" s="204">
        <v>43894</v>
      </c>
      <c r="B7568" s="26" t="s">
        <v>6063</v>
      </c>
      <c r="C7568" s="26" t="s">
        <v>6257</v>
      </c>
      <c r="D7568" s="8">
        <v>650</v>
      </c>
      <c r="E7568" s="8"/>
      <c r="F7568" s="92">
        <f t="shared" si="149"/>
        <v>320330</v>
      </c>
    </row>
    <row r="7569" spans="1:6" x14ac:dyDescent="0.25">
      <c r="A7569" s="204">
        <v>43894</v>
      </c>
      <c r="B7569" s="26" t="s">
        <v>6063</v>
      </c>
      <c r="C7569" s="26" t="s">
        <v>6258</v>
      </c>
      <c r="D7569" s="8">
        <v>200</v>
      </c>
      <c r="E7569" s="8"/>
      <c r="F7569" s="92">
        <f t="shared" si="149"/>
        <v>320130</v>
      </c>
    </row>
    <row r="7570" spans="1:6" x14ac:dyDescent="0.25">
      <c r="A7570" s="204">
        <v>43894</v>
      </c>
      <c r="B7570" s="162" t="s">
        <v>6063</v>
      </c>
      <c r="C7570" s="162" t="s">
        <v>5722</v>
      </c>
      <c r="D7570" s="163">
        <v>150</v>
      </c>
      <c r="E7570" s="8"/>
      <c r="F7570" s="92">
        <f t="shared" si="149"/>
        <v>319980</v>
      </c>
    </row>
    <row r="7571" spans="1:6" x14ac:dyDescent="0.25">
      <c r="A7571" s="204">
        <v>43894</v>
      </c>
      <c r="B7571" s="29" t="s">
        <v>0</v>
      </c>
      <c r="C7571" s="29" t="s">
        <v>295</v>
      </c>
      <c r="D7571" s="8">
        <v>5000</v>
      </c>
      <c r="E7571" s="8"/>
      <c r="F7571" s="92">
        <f t="shared" si="149"/>
        <v>314980</v>
      </c>
    </row>
    <row r="7572" spans="1:6" x14ac:dyDescent="0.25">
      <c r="A7572" s="204">
        <v>43894</v>
      </c>
      <c r="B7572" s="29" t="s">
        <v>26</v>
      </c>
      <c r="C7572" s="29" t="s">
        <v>6259</v>
      </c>
      <c r="D7572" s="8">
        <v>1572</v>
      </c>
      <c r="E7572" s="8"/>
      <c r="F7572" s="92">
        <f t="shared" si="149"/>
        <v>313408</v>
      </c>
    </row>
    <row r="7573" spans="1:6" x14ac:dyDescent="0.25">
      <c r="A7573" s="204">
        <v>43894</v>
      </c>
      <c r="B7573" s="26" t="s">
        <v>2597</v>
      </c>
      <c r="C7573" s="26" t="s">
        <v>3914</v>
      </c>
      <c r="D7573" s="8">
        <v>1280</v>
      </c>
      <c r="E7573" s="8"/>
      <c r="F7573" s="92">
        <f t="shared" si="149"/>
        <v>312128</v>
      </c>
    </row>
    <row r="7574" spans="1:6" x14ac:dyDescent="0.25">
      <c r="A7574" s="204">
        <v>43894</v>
      </c>
      <c r="B7574" s="26" t="s">
        <v>4778</v>
      </c>
      <c r="C7574" s="26" t="s">
        <v>6264</v>
      </c>
      <c r="D7574" s="8">
        <v>1000</v>
      </c>
      <c r="E7574" s="8"/>
      <c r="F7574" s="92">
        <f t="shared" si="149"/>
        <v>311128</v>
      </c>
    </row>
    <row r="7575" spans="1:6" x14ac:dyDescent="0.25">
      <c r="A7575" s="204">
        <v>43895</v>
      </c>
      <c r="B7575" s="26" t="s">
        <v>6095</v>
      </c>
      <c r="C7575" s="26" t="s">
        <v>6261</v>
      </c>
      <c r="D7575" s="8">
        <v>4600</v>
      </c>
      <c r="E7575" s="8"/>
      <c r="F7575" s="92">
        <f t="shared" si="149"/>
        <v>306528</v>
      </c>
    </row>
    <row r="7576" spans="1:6" x14ac:dyDescent="0.25">
      <c r="A7576" s="204">
        <v>43895</v>
      </c>
      <c r="B7576" s="26" t="s">
        <v>248</v>
      </c>
      <c r="C7576" s="26" t="s">
        <v>6262</v>
      </c>
      <c r="D7576" s="8">
        <v>50</v>
      </c>
      <c r="E7576" s="8"/>
      <c r="F7576" s="92">
        <f t="shared" si="149"/>
        <v>306478</v>
      </c>
    </row>
    <row r="7577" spans="1:6" x14ac:dyDescent="0.25">
      <c r="A7577" s="204">
        <v>43895</v>
      </c>
      <c r="B7577" s="29" t="s">
        <v>85</v>
      </c>
      <c r="C7577" s="29" t="s">
        <v>6263</v>
      </c>
      <c r="D7577" s="8">
        <v>1000</v>
      </c>
      <c r="E7577" s="8"/>
      <c r="F7577" s="92">
        <f t="shared" ref="F7577:F7614" si="150">F7576+E7577-D7577</f>
        <v>305478</v>
      </c>
    </row>
    <row r="7578" spans="1:6" x14ac:dyDescent="0.25">
      <c r="A7578" s="204">
        <v>43895</v>
      </c>
      <c r="B7578" s="148" t="s">
        <v>0</v>
      </c>
      <c r="C7578" s="148" t="s">
        <v>6235</v>
      </c>
      <c r="D7578" s="149">
        <v>42000</v>
      </c>
      <c r="E7578" s="8"/>
      <c r="F7578" s="92">
        <f t="shared" si="150"/>
        <v>263478</v>
      </c>
    </row>
    <row r="7579" spans="1:6" x14ac:dyDescent="0.25">
      <c r="A7579" s="204">
        <v>43895</v>
      </c>
      <c r="B7579" s="26" t="s">
        <v>2597</v>
      </c>
      <c r="C7579" s="26" t="s">
        <v>5722</v>
      </c>
      <c r="D7579" s="8">
        <v>2500</v>
      </c>
      <c r="E7579" s="8"/>
      <c r="F7579" s="92">
        <f t="shared" si="150"/>
        <v>260978</v>
      </c>
    </row>
    <row r="7580" spans="1:6" x14ac:dyDescent="0.25">
      <c r="A7580" s="204">
        <v>43895</v>
      </c>
      <c r="B7580" s="26" t="s">
        <v>2351</v>
      </c>
      <c r="C7580" s="26" t="s">
        <v>5864</v>
      </c>
      <c r="D7580" s="8">
        <v>10000</v>
      </c>
      <c r="E7580" s="8"/>
      <c r="F7580" s="92">
        <f t="shared" si="150"/>
        <v>250978</v>
      </c>
    </row>
    <row r="7581" spans="1:6" x14ac:dyDescent="0.25">
      <c r="A7581" s="204">
        <v>43896</v>
      </c>
      <c r="B7581" s="30" t="s">
        <v>55</v>
      </c>
      <c r="C7581" s="30" t="s">
        <v>6266</v>
      </c>
      <c r="D7581" s="11">
        <v>120506</v>
      </c>
      <c r="E7581" s="8"/>
      <c r="F7581" s="92">
        <f t="shared" si="150"/>
        <v>130472</v>
      </c>
    </row>
    <row r="7582" spans="1:6" x14ac:dyDescent="0.25">
      <c r="A7582" s="204">
        <v>43896</v>
      </c>
      <c r="B7582" s="30" t="s">
        <v>55</v>
      </c>
      <c r="C7582" s="30" t="s">
        <v>6267</v>
      </c>
      <c r="D7582" s="11">
        <v>93331</v>
      </c>
      <c r="E7582" s="8"/>
      <c r="F7582" s="92">
        <f t="shared" si="150"/>
        <v>37141</v>
      </c>
    </row>
    <row r="7583" spans="1:6" x14ac:dyDescent="0.25">
      <c r="A7583" s="204">
        <v>43896</v>
      </c>
      <c r="B7583" s="26" t="s">
        <v>26</v>
      </c>
      <c r="C7583" s="26" t="s">
        <v>6268</v>
      </c>
      <c r="D7583" s="8">
        <v>200</v>
      </c>
      <c r="E7583" s="8"/>
      <c r="F7583" s="92">
        <f t="shared" si="150"/>
        <v>36941</v>
      </c>
    </row>
    <row r="7584" spans="1:6" x14ac:dyDescent="0.25">
      <c r="A7584" s="204">
        <v>43896</v>
      </c>
      <c r="B7584" s="29" t="s">
        <v>6269</v>
      </c>
      <c r="C7584" s="29" t="s">
        <v>6270</v>
      </c>
      <c r="D7584" s="8">
        <v>2000</v>
      </c>
      <c r="E7584" s="8"/>
      <c r="F7584" s="92">
        <f t="shared" si="150"/>
        <v>34941</v>
      </c>
    </row>
    <row r="7585" spans="1:10" x14ac:dyDescent="0.25">
      <c r="A7585" s="204">
        <v>43896</v>
      </c>
      <c r="B7585" s="29" t="s">
        <v>4778</v>
      </c>
      <c r="C7585" s="29" t="s">
        <v>295</v>
      </c>
      <c r="D7585" s="8">
        <v>1000</v>
      </c>
      <c r="E7585" s="8"/>
      <c r="F7585" s="92">
        <f t="shared" si="150"/>
        <v>33941</v>
      </c>
    </row>
    <row r="7586" spans="1:10" x14ac:dyDescent="0.25">
      <c r="A7586" s="204">
        <v>43896</v>
      </c>
      <c r="B7586" s="26" t="s">
        <v>6000</v>
      </c>
      <c r="C7586" s="26" t="s">
        <v>6271</v>
      </c>
      <c r="D7586" s="8">
        <v>230</v>
      </c>
      <c r="E7586" s="8"/>
      <c r="F7586" s="92">
        <f t="shared" si="150"/>
        <v>33711</v>
      </c>
    </row>
    <row r="7587" spans="1:10" x14ac:dyDescent="0.25">
      <c r="A7587" s="204">
        <v>43896</v>
      </c>
      <c r="B7587" s="26" t="s">
        <v>26</v>
      </c>
      <c r="C7587" s="26" t="s">
        <v>5711</v>
      </c>
      <c r="D7587" s="8">
        <v>600</v>
      </c>
      <c r="E7587" s="8"/>
      <c r="F7587" s="92">
        <f t="shared" si="150"/>
        <v>33111</v>
      </c>
    </row>
    <row r="7588" spans="1:10" x14ac:dyDescent="0.25">
      <c r="A7588" s="204">
        <v>43896</v>
      </c>
      <c r="B7588" s="26"/>
      <c r="C7588" s="26" t="s">
        <v>1461</v>
      </c>
      <c r="D7588" s="8">
        <v>400</v>
      </c>
      <c r="E7588" s="8"/>
      <c r="F7588" s="92">
        <f t="shared" si="150"/>
        <v>32711</v>
      </c>
    </row>
    <row r="7589" spans="1:10" x14ac:dyDescent="0.25">
      <c r="A7589" s="204">
        <v>43896</v>
      </c>
      <c r="B7589" s="26" t="s">
        <v>14</v>
      </c>
      <c r="C7589" s="26" t="s">
        <v>3914</v>
      </c>
      <c r="D7589" s="8">
        <v>10000</v>
      </c>
      <c r="E7589" s="8"/>
      <c r="F7589" s="92">
        <f t="shared" si="150"/>
        <v>22711</v>
      </c>
    </row>
    <row r="7590" spans="1:10" x14ac:dyDescent="0.25">
      <c r="A7590" s="204">
        <v>43897</v>
      </c>
      <c r="B7590" s="254" t="s">
        <v>85</v>
      </c>
      <c r="C7590" s="254" t="s">
        <v>6284</v>
      </c>
      <c r="D7590" s="163">
        <v>1000</v>
      </c>
      <c r="E7590" s="8"/>
      <c r="F7590" s="92">
        <f t="shared" si="150"/>
        <v>21711</v>
      </c>
    </row>
    <row r="7591" spans="1:10" x14ac:dyDescent="0.25">
      <c r="A7591" s="204">
        <v>43897</v>
      </c>
      <c r="B7591" s="26" t="s">
        <v>19</v>
      </c>
      <c r="C7591" s="26" t="s">
        <v>6275</v>
      </c>
      <c r="D7591" s="8">
        <v>2500</v>
      </c>
      <c r="E7591" s="8"/>
      <c r="F7591" s="92">
        <f t="shared" si="150"/>
        <v>19211</v>
      </c>
    </row>
    <row r="7592" spans="1:10" x14ac:dyDescent="0.25">
      <c r="A7592" s="204">
        <v>43897</v>
      </c>
      <c r="B7592" s="26" t="s">
        <v>6000</v>
      </c>
      <c r="C7592" s="26" t="s">
        <v>6274</v>
      </c>
      <c r="D7592" s="8">
        <v>350</v>
      </c>
      <c r="E7592" s="8"/>
      <c r="F7592" s="92">
        <f t="shared" si="150"/>
        <v>18861</v>
      </c>
    </row>
    <row r="7593" spans="1:10" x14ac:dyDescent="0.25">
      <c r="A7593" s="204">
        <v>43897</v>
      </c>
      <c r="B7593" s="29" t="s">
        <v>85</v>
      </c>
      <c r="C7593" s="29" t="s">
        <v>6273</v>
      </c>
      <c r="D7593" s="8">
        <v>15000</v>
      </c>
      <c r="E7593" s="8"/>
      <c r="F7593" s="92">
        <f t="shared" si="150"/>
        <v>3861</v>
      </c>
    </row>
    <row r="7594" spans="1:10" x14ac:dyDescent="0.25">
      <c r="A7594" s="204">
        <v>43897</v>
      </c>
      <c r="B7594" s="26" t="s">
        <v>1790</v>
      </c>
      <c r="C7594" s="26" t="s">
        <v>6225</v>
      </c>
      <c r="D7594" s="8">
        <v>1400</v>
      </c>
      <c r="E7594" s="8"/>
      <c r="F7594" s="92">
        <f t="shared" si="150"/>
        <v>2461</v>
      </c>
    </row>
    <row r="7595" spans="1:10" ht="15" customHeight="1" x14ac:dyDescent="0.25">
      <c r="A7595" s="204">
        <v>43897</v>
      </c>
      <c r="B7595" s="452" t="s">
        <v>6276</v>
      </c>
      <c r="C7595" s="452"/>
      <c r="D7595" s="452"/>
      <c r="E7595" s="8">
        <v>50000</v>
      </c>
      <c r="F7595" s="92">
        <f t="shared" si="150"/>
        <v>52461</v>
      </c>
    </row>
    <row r="7596" spans="1:10" x14ac:dyDescent="0.25">
      <c r="A7596" s="204">
        <v>43897</v>
      </c>
      <c r="B7596" s="29" t="s">
        <v>6277</v>
      </c>
      <c r="C7596" s="29" t="s">
        <v>5423</v>
      </c>
      <c r="D7596" s="8">
        <v>25000</v>
      </c>
      <c r="E7596" s="8"/>
      <c r="F7596" s="92">
        <f t="shared" si="150"/>
        <v>27461</v>
      </c>
    </row>
    <row r="7597" spans="1:10" x14ac:dyDescent="0.25">
      <c r="A7597" s="204">
        <v>43897</v>
      </c>
      <c r="B7597" s="26" t="s">
        <v>6278</v>
      </c>
      <c r="C7597" s="26" t="s">
        <v>6279</v>
      </c>
      <c r="D7597" s="8">
        <v>1000</v>
      </c>
      <c r="E7597" s="8"/>
      <c r="F7597" s="92">
        <f t="shared" si="150"/>
        <v>26461</v>
      </c>
    </row>
    <row r="7598" spans="1:10" x14ac:dyDescent="0.25">
      <c r="A7598" s="204">
        <v>43899</v>
      </c>
      <c r="B7598" s="162" t="s">
        <v>55</v>
      </c>
      <c r="C7598" s="162" t="s">
        <v>6280</v>
      </c>
      <c r="D7598" s="163">
        <v>21581</v>
      </c>
      <c r="E7598" s="8"/>
      <c r="F7598" s="92">
        <f t="shared" si="150"/>
        <v>4880</v>
      </c>
    </row>
    <row r="7599" spans="1:10" ht="15" customHeight="1" x14ac:dyDescent="0.25">
      <c r="A7599" s="204">
        <v>43899</v>
      </c>
      <c r="B7599" s="452" t="s">
        <v>6281</v>
      </c>
      <c r="C7599" s="452"/>
      <c r="D7599" s="452"/>
      <c r="E7599" s="8">
        <v>1500000</v>
      </c>
      <c r="F7599" s="92">
        <f t="shared" si="150"/>
        <v>1504880</v>
      </c>
      <c r="G7599" s="10"/>
      <c r="J7599" s="6"/>
    </row>
    <row r="7600" spans="1:10" x14ac:dyDescent="0.25">
      <c r="A7600" s="241">
        <v>43899</v>
      </c>
      <c r="B7600" s="33" t="s">
        <v>0</v>
      </c>
      <c r="C7600" s="33" t="s">
        <v>4819</v>
      </c>
      <c r="D7600" s="27">
        <v>50</v>
      </c>
      <c r="E7600" s="27"/>
      <c r="F7600" s="92">
        <f t="shared" si="150"/>
        <v>1504830</v>
      </c>
      <c r="G7600" s="10"/>
      <c r="J7600" s="6"/>
    </row>
    <row r="7601" spans="1:10" x14ac:dyDescent="0.25">
      <c r="A7601" s="204">
        <v>43899</v>
      </c>
      <c r="B7601" s="26" t="s">
        <v>2349</v>
      </c>
      <c r="C7601" s="26" t="s">
        <v>6282</v>
      </c>
      <c r="D7601" s="8">
        <v>1000</v>
      </c>
      <c r="E7601" s="8"/>
      <c r="F7601" s="92">
        <f t="shared" si="150"/>
        <v>1503830</v>
      </c>
      <c r="G7601" s="10"/>
      <c r="J7601" s="6"/>
    </row>
    <row r="7602" spans="1:10" x14ac:dyDescent="0.25">
      <c r="A7602" s="204">
        <v>43899</v>
      </c>
      <c r="B7602" s="29" t="s">
        <v>6277</v>
      </c>
      <c r="C7602" s="29" t="s">
        <v>5423</v>
      </c>
      <c r="D7602" s="8">
        <v>17500</v>
      </c>
      <c r="E7602" s="8"/>
      <c r="F7602" s="92">
        <f t="shared" si="150"/>
        <v>1486330</v>
      </c>
      <c r="G7602" s="10"/>
      <c r="J7602" s="6"/>
    </row>
    <row r="7603" spans="1:10" x14ac:dyDescent="0.25">
      <c r="A7603" s="204">
        <v>43899</v>
      </c>
      <c r="B7603" s="26" t="s">
        <v>2845</v>
      </c>
      <c r="C7603" s="26" t="s">
        <v>6283</v>
      </c>
      <c r="D7603" s="8">
        <v>50000</v>
      </c>
      <c r="E7603" s="8"/>
      <c r="F7603" s="92">
        <f t="shared" si="150"/>
        <v>1436330</v>
      </c>
      <c r="G7603" s="10"/>
      <c r="J7603" s="6"/>
    </row>
    <row r="7604" spans="1:10" x14ac:dyDescent="0.25">
      <c r="A7604" s="204">
        <v>43899</v>
      </c>
      <c r="B7604" s="162" t="s">
        <v>55</v>
      </c>
      <c r="C7604" s="255" t="s">
        <v>6589</v>
      </c>
      <c r="D7604" s="163">
        <v>1229513</v>
      </c>
      <c r="E7604" s="8"/>
      <c r="F7604" s="92">
        <f t="shared" si="150"/>
        <v>206817</v>
      </c>
      <c r="G7604" s="10"/>
      <c r="J7604" s="6"/>
    </row>
    <row r="7605" spans="1:10" x14ac:dyDescent="0.25">
      <c r="A7605" s="204">
        <v>43899</v>
      </c>
      <c r="B7605" s="29" t="s">
        <v>85</v>
      </c>
      <c r="C7605" s="29" t="s">
        <v>6255</v>
      </c>
      <c r="D7605" s="8">
        <v>1000</v>
      </c>
      <c r="E7605" s="8"/>
      <c r="F7605" s="92">
        <f t="shared" si="150"/>
        <v>205817</v>
      </c>
      <c r="G7605" s="10"/>
      <c r="J7605" s="6"/>
    </row>
    <row r="7606" spans="1:10" x14ac:dyDescent="0.25">
      <c r="A7606" s="204">
        <v>43899</v>
      </c>
      <c r="B7606" s="26" t="s">
        <v>6296</v>
      </c>
      <c r="C7606" s="26" t="s">
        <v>6297</v>
      </c>
      <c r="D7606" s="8">
        <v>7000</v>
      </c>
      <c r="E7606" s="8"/>
      <c r="F7606" s="92">
        <f t="shared" si="150"/>
        <v>198817</v>
      </c>
      <c r="G7606" s="10"/>
      <c r="J7606" s="6"/>
    </row>
    <row r="7607" spans="1:10" x14ac:dyDescent="0.25">
      <c r="A7607" s="204">
        <v>43899</v>
      </c>
      <c r="B7607" s="26" t="s">
        <v>2987</v>
      </c>
      <c r="C7607" s="26" t="s">
        <v>6298</v>
      </c>
      <c r="D7607" s="8">
        <v>8000</v>
      </c>
      <c r="E7607" s="8"/>
      <c r="F7607" s="92">
        <f t="shared" si="150"/>
        <v>190817</v>
      </c>
      <c r="G7607" s="10"/>
      <c r="J7607" s="6"/>
    </row>
    <row r="7608" spans="1:10" x14ac:dyDescent="0.25">
      <c r="A7608" s="204">
        <v>43900</v>
      </c>
      <c r="B7608" s="26" t="s">
        <v>26</v>
      </c>
      <c r="C7608" s="29" t="s">
        <v>6299</v>
      </c>
      <c r="D7608" s="8">
        <f>130+150+130+250+200+164+120+50+40+33</f>
        <v>1267</v>
      </c>
      <c r="E7608" s="8"/>
      <c r="F7608" s="92">
        <f t="shared" si="150"/>
        <v>189550</v>
      </c>
      <c r="G7608" s="10"/>
      <c r="J7608" s="6"/>
    </row>
    <row r="7609" spans="1:10" x14ac:dyDescent="0.25">
      <c r="A7609" s="204">
        <v>43900</v>
      </c>
      <c r="B7609" s="26" t="s">
        <v>6269</v>
      </c>
      <c r="C7609" s="26" t="s">
        <v>6300</v>
      </c>
      <c r="D7609" s="8">
        <v>100</v>
      </c>
      <c r="E7609" s="8"/>
      <c r="F7609" s="92">
        <f t="shared" si="150"/>
        <v>189450</v>
      </c>
      <c r="G7609" s="10"/>
      <c r="J7609" s="6"/>
    </row>
    <row r="7610" spans="1:10" x14ac:dyDescent="0.25">
      <c r="A7610" s="204">
        <v>43900</v>
      </c>
      <c r="B7610" s="26" t="s">
        <v>65</v>
      </c>
      <c r="C7610" s="26" t="s">
        <v>2951</v>
      </c>
      <c r="D7610" s="8">
        <f>400+880</f>
        <v>1280</v>
      </c>
      <c r="E7610" s="8"/>
      <c r="F7610" s="92">
        <f t="shared" si="150"/>
        <v>188170</v>
      </c>
      <c r="G7610" s="10"/>
      <c r="J7610" s="6"/>
    </row>
    <row r="7611" spans="1:10" x14ac:dyDescent="0.25">
      <c r="A7611" s="204">
        <v>43900</v>
      </c>
      <c r="B7611" s="26" t="s">
        <v>65</v>
      </c>
      <c r="C7611" s="26" t="s">
        <v>26</v>
      </c>
      <c r="D7611" s="8">
        <f>560+700</f>
        <v>1260</v>
      </c>
      <c r="E7611" s="8"/>
      <c r="F7611" s="92">
        <f t="shared" si="150"/>
        <v>186910</v>
      </c>
      <c r="G7611" s="10"/>
      <c r="J7611" s="6"/>
    </row>
    <row r="7612" spans="1:10" x14ac:dyDescent="0.25">
      <c r="A7612" s="204">
        <v>43900</v>
      </c>
      <c r="B7612" s="162" t="s">
        <v>6285</v>
      </c>
      <c r="C7612" s="162" t="s">
        <v>6287</v>
      </c>
      <c r="D7612" s="163">
        <v>30160</v>
      </c>
      <c r="E7612" s="8"/>
      <c r="F7612" s="92">
        <f t="shared" si="150"/>
        <v>156750</v>
      </c>
      <c r="G7612" s="10"/>
      <c r="J7612" s="6"/>
    </row>
    <row r="7613" spans="1:10" x14ac:dyDescent="0.25">
      <c r="A7613" s="204">
        <v>43900</v>
      </c>
      <c r="B7613" s="162" t="s">
        <v>6285</v>
      </c>
      <c r="C7613" s="254" t="s">
        <v>6286</v>
      </c>
      <c r="D7613" s="163">
        <v>32760</v>
      </c>
      <c r="E7613" s="8"/>
      <c r="F7613" s="92">
        <f t="shared" si="150"/>
        <v>123990</v>
      </c>
      <c r="G7613" s="10"/>
      <c r="J7613" s="6"/>
    </row>
    <row r="7614" spans="1:10" x14ac:dyDescent="0.25">
      <c r="A7614" s="204">
        <v>43900</v>
      </c>
      <c r="B7614" s="162" t="s">
        <v>6285</v>
      </c>
      <c r="C7614" s="254" t="s">
        <v>6288</v>
      </c>
      <c r="D7614" s="163">
        <v>12960</v>
      </c>
      <c r="E7614" s="8"/>
      <c r="F7614" s="92">
        <f t="shared" si="150"/>
        <v>111030</v>
      </c>
      <c r="G7614" s="10"/>
      <c r="J7614" s="6"/>
    </row>
    <row r="7615" spans="1:10" x14ac:dyDescent="0.25">
      <c r="A7615" s="204">
        <v>43900</v>
      </c>
      <c r="B7615" s="162" t="s">
        <v>6285</v>
      </c>
      <c r="C7615" s="254" t="s">
        <v>5525</v>
      </c>
      <c r="D7615" s="163">
        <v>60743</v>
      </c>
      <c r="E7615" s="8"/>
      <c r="F7615" s="92">
        <f t="shared" ref="F7615:F7678" si="151">F7614+E7615-D7615</f>
        <v>50287</v>
      </c>
      <c r="G7615" s="10"/>
      <c r="J7615" s="6"/>
    </row>
    <row r="7616" spans="1:10" x14ac:dyDescent="0.25">
      <c r="A7616" s="204">
        <v>43900</v>
      </c>
      <c r="B7616" s="256" t="s">
        <v>1544</v>
      </c>
      <c r="C7616" s="256" t="s">
        <v>6289</v>
      </c>
      <c r="D7616" s="165">
        <v>5000</v>
      </c>
      <c r="E7616" s="8"/>
      <c r="F7616" s="92">
        <f t="shared" si="151"/>
        <v>45287</v>
      </c>
      <c r="G7616" s="10"/>
      <c r="J7616" s="6"/>
    </row>
    <row r="7617" spans="1:10" x14ac:dyDescent="0.25">
      <c r="A7617" s="204">
        <v>43900</v>
      </c>
      <c r="B7617" s="26" t="s">
        <v>26</v>
      </c>
      <c r="C7617" s="26" t="s">
        <v>6290</v>
      </c>
      <c r="D7617" s="8">
        <v>177</v>
      </c>
      <c r="E7617" s="8"/>
      <c r="F7617" s="92">
        <f t="shared" si="151"/>
        <v>45110</v>
      </c>
      <c r="G7617" s="10"/>
      <c r="J7617" s="6"/>
    </row>
    <row r="7618" spans="1:10" x14ac:dyDescent="0.25">
      <c r="A7618" s="204">
        <v>43900</v>
      </c>
      <c r="B7618" s="26" t="s">
        <v>6291</v>
      </c>
      <c r="C7618" s="26" t="s">
        <v>6295</v>
      </c>
      <c r="D7618" s="8">
        <v>13200</v>
      </c>
      <c r="E7618" s="8"/>
      <c r="F7618" s="92">
        <f t="shared" si="151"/>
        <v>31910</v>
      </c>
      <c r="G7618" s="10"/>
      <c r="J7618" s="6"/>
    </row>
    <row r="7619" spans="1:10" x14ac:dyDescent="0.25">
      <c r="A7619" s="204">
        <v>43900</v>
      </c>
      <c r="B7619" s="256" t="s">
        <v>6146</v>
      </c>
      <c r="C7619" s="256" t="s">
        <v>6301</v>
      </c>
      <c r="D7619" s="165">
        <v>8000</v>
      </c>
      <c r="E7619" s="8"/>
      <c r="F7619" s="92">
        <f t="shared" si="151"/>
        <v>23910</v>
      </c>
      <c r="G7619" s="10"/>
      <c r="J7619" s="6"/>
    </row>
    <row r="7620" spans="1:10" x14ac:dyDescent="0.25">
      <c r="A7620" s="204">
        <v>43900</v>
      </c>
      <c r="B7620" s="26" t="s">
        <v>26</v>
      </c>
      <c r="C7620" s="26" t="s">
        <v>6302</v>
      </c>
      <c r="D7620" s="8">
        <v>3000</v>
      </c>
      <c r="E7620" s="8"/>
      <c r="F7620" s="92">
        <f t="shared" si="151"/>
        <v>20910</v>
      </c>
      <c r="G7620" s="10"/>
      <c r="J7620" s="6"/>
    </row>
    <row r="7621" spans="1:10" x14ac:dyDescent="0.25">
      <c r="A7621" s="204">
        <v>43901</v>
      </c>
      <c r="B7621" s="29" t="s">
        <v>6200</v>
      </c>
      <c r="C7621" s="29" t="s">
        <v>6292</v>
      </c>
      <c r="D7621" s="8">
        <v>500</v>
      </c>
      <c r="E7621" s="8"/>
      <c r="F7621" s="92">
        <f t="shared" si="151"/>
        <v>20410</v>
      </c>
    </row>
    <row r="7622" spans="1:10" x14ac:dyDescent="0.25">
      <c r="A7622" s="204">
        <v>43901</v>
      </c>
      <c r="B7622" s="26" t="s">
        <v>6293</v>
      </c>
      <c r="C7622" s="26" t="s">
        <v>6294</v>
      </c>
      <c r="D7622" s="8">
        <v>20000</v>
      </c>
      <c r="E7622" s="8"/>
      <c r="F7622" s="92">
        <f t="shared" si="151"/>
        <v>410</v>
      </c>
    </row>
    <row r="7623" spans="1:10" x14ac:dyDescent="0.25">
      <c r="A7623" s="204">
        <v>43901</v>
      </c>
      <c r="B7623" s="26" t="s">
        <v>77</v>
      </c>
      <c r="C7623" s="29" t="s">
        <v>6305</v>
      </c>
      <c r="D7623" s="8">
        <v>400</v>
      </c>
      <c r="E7623" s="8"/>
      <c r="F7623" s="92">
        <f t="shared" si="151"/>
        <v>10</v>
      </c>
    </row>
    <row r="7624" spans="1:10" ht="15" customHeight="1" x14ac:dyDescent="0.25">
      <c r="A7624" s="204">
        <v>43902</v>
      </c>
      <c r="B7624" s="452" t="s">
        <v>6307</v>
      </c>
      <c r="C7624" s="452"/>
      <c r="D7624" s="452"/>
      <c r="E7624" s="8">
        <v>150000</v>
      </c>
      <c r="F7624" s="92">
        <f t="shared" si="151"/>
        <v>150010</v>
      </c>
      <c r="G7624" s="10"/>
      <c r="J7624" s="6"/>
    </row>
    <row r="7625" spans="1:10" x14ac:dyDescent="0.25">
      <c r="A7625" s="204">
        <v>43903</v>
      </c>
      <c r="B7625" s="26" t="s">
        <v>6000</v>
      </c>
      <c r="C7625" s="26" t="s">
        <v>4191</v>
      </c>
      <c r="D7625" s="8">
        <v>5000</v>
      </c>
      <c r="E7625" s="8"/>
      <c r="F7625" s="92">
        <f t="shared" si="151"/>
        <v>145010</v>
      </c>
    </row>
    <row r="7626" spans="1:10" x14ac:dyDescent="0.25">
      <c r="A7626" s="204">
        <v>43903</v>
      </c>
      <c r="B7626" s="26" t="s">
        <v>26</v>
      </c>
      <c r="C7626" s="26" t="s">
        <v>6309</v>
      </c>
      <c r="D7626" s="8">
        <v>1000</v>
      </c>
      <c r="E7626" s="8"/>
      <c r="F7626" s="92">
        <f t="shared" si="151"/>
        <v>144010</v>
      </c>
    </row>
    <row r="7627" spans="1:10" x14ac:dyDescent="0.25">
      <c r="A7627" s="204">
        <v>43903</v>
      </c>
      <c r="B7627" s="26" t="s">
        <v>19</v>
      </c>
      <c r="C7627" s="26" t="s">
        <v>6310</v>
      </c>
      <c r="D7627" s="8">
        <v>10000</v>
      </c>
      <c r="E7627" s="8"/>
      <c r="F7627" s="92">
        <f t="shared" si="151"/>
        <v>134010</v>
      </c>
    </row>
    <row r="7628" spans="1:10" x14ac:dyDescent="0.25">
      <c r="A7628" s="204">
        <v>43904</v>
      </c>
      <c r="B7628" s="26" t="s">
        <v>26</v>
      </c>
      <c r="C7628" s="26" t="s">
        <v>6311</v>
      </c>
      <c r="D7628" s="8">
        <f>300+55+170</f>
        <v>525</v>
      </c>
      <c r="E7628" s="8"/>
      <c r="F7628" s="92">
        <f t="shared" si="151"/>
        <v>133485</v>
      </c>
    </row>
    <row r="7629" spans="1:10" x14ac:dyDescent="0.25">
      <c r="A7629" s="204">
        <v>43904</v>
      </c>
      <c r="B7629" s="26" t="s">
        <v>26</v>
      </c>
      <c r="C7629" s="26" t="s">
        <v>6312</v>
      </c>
      <c r="D7629" s="8">
        <f>200+370+250</f>
        <v>820</v>
      </c>
      <c r="E7629" s="8"/>
      <c r="F7629" s="92">
        <f t="shared" si="151"/>
        <v>132665</v>
      </c>
    </row>
    <row r="7630" spans="1:10" x14ac:dyDescent="0.25">
      <c r="A7630" s="204">
        <v>43904</v>
      </c>
      <c r="B7630" s="26" t="s">
        <v>5479</v>
      </c>
      <c r="C7630" s="26" t="s">
        <v>6308</v>
      </c>
      <c r="D7630" s="8">
        <v>600</v>
      </c>
      <c r="E7630" s="8"/>
      <c r="F7630" s="92">
        <f t="shared" si="151"/>
        <v>132065</v>
      </c>
    </row>
    <row r="7631" spans="1:10" x14ac:dyDescent="0.25">
      <c r="A7631" s="204">
        <v>43904</v>
      </c>
      <c r="B7631" s="26" t="s">
        <v>5479</v>
      </c>
      <c r="C7631" s="29" t="s">
        <v>694</v>
      </c>
      <c r="D7631" s="8">
        <v>490</v>
      </c>
      <c r="E7631" s="8"/>
      <c r="F7631" s="92">
        <f t="shared" si="151"/>
        <v>131575</v>
      </c>
    </row>
    <row r="7632" spans="1:10" x14ac:dyDescent="0.25">
      <c r="A7632" s="204">
        <v>43904</v>
      </c>
      <c r="B7632" s="26" t="s">
        <v>14</v>
      </c>
      <c r="C7632" s="257" t="s">
        <v>3914</v>
      </c>
      <c r="D7632" s="258">
        <v>50000</v>
      </c>
      <c r="E7632" s="8"/>
      <c r="F7632" s="92">
        <f t="shared" si="151"/>
        <v>81575</v>
      </c>
    </row>
    <row r="7633" spans="1:10" x14ac:dyDescent="0.25">
      <c r="A7633" s="204">
        <v>43904</v>
      </c>
      <c r="B7633" s="26" t="s">
        <v>6313</v>
      </c>
      <c r="C7633" s="26" t="s">
        <v>6314</v>
      </c>
      <c r="D7633" s="8">
        <v>3500</v>
      </c>
      <c r="E7633" s="8"/>
      <c r="F7633" s="92">
        <f t="shared" si="151"/>
        <v>78075</v>
      </c>
    </row>
    <row r="7634" spans="1:10" x14ac:dyDescent="0.25">
      <c r="A7634" s="204">
        <v>43904</v>
      </c>
      <c r="B7634" s="26" t="s">
        <v>6000</v>
      </c>
      <c r="C7634" s="26" t="s">
        <v>6318</v>
      </c>
      <c r="D7634" s="8">
        <v>9525</v>
      </c>
      <c r="E7634" s="8"/>
      <c r="F7634" s="92">
        <f t="shared" si="151"/>
        <v>68550</v>
      </c>
    </row>
    <row r="7635" spans="1:10" x14ac:dyDescent="0.25">
      <c r="A7635" s="204">
        <v>43904</v>
      </c>
      <c r="B7635" s="26" t="s">
        <v>6000</v>
      </c>
      <c r="C7635" s="26" t="s">
        <v>6319</v>
      </c>
      <c r="D7635" s="8">
        <v>300</v>
      </c>
      <c r="E7635" s="8"/>
      <c r="F7635" s="92">
        <f t="shared" si="151"/>
        <v>68250</v>
      </c>
    </row>
    <row r="7636" spans="1:10" ht="30" x14ac:dyDescent="0.25">
      <c r="A7636" s="204">
        <v>43904</v>
      </c>
      <c r="B7636" s="26" t="s">
        <v>6315</v>
      </c>
      <c r="C7636" s="87" t="s">
        <v>6316</v>
      </c>
      <c r="D7636" s="8">
        <v>3000</v>
      </c>
      <c r="E7636" s="8"/>
      <c r="F7636" s="92">
        <f t="shared" si="151"/>
        <v>65250</v>
      </c>
    </row>
    <row r="7637" spans="1:10" x14ac:dyDescent="0.25">
      <c r="A7637" s="204">
        <v>43904</v>
      </c>
      <c r="B7637" s="26" t="s">
        <v>6118</v>
      </c>
      <c r="C7637" s="26" t="s">
        <v>6317</v>
      </c>
      <c r="D7637" s="8">
        <v>5000</v>
      </c>
      <c r="E7637" s="8"/>
      <c r="F7637" s="92">
        <f t="shared" si="151"/>
        <v>60250</v>
      </c>
    </row>
    <row r="7638" spans="1:10" x14ac:dyDescent="0.25">
      <c r="A7638" s="204">
        <v>43906</v>
      </c>
      <c r="B7638" s="26" t="s">
        <v>6118</v>
      </c>
      <c r="C7638" s="26" t="s">
        <v>6321</v>
      </c>
      <c r="D7638" s="8">
        <v>1450</v>
      </c>
      <c r="E7638" s="8"/>
      <c r="F7638" s="92">
        <f t="shared" si="151"/>
        <v>58800</v>
      </c>
    </row>
    <row r="7639" spans="1:10" x14ac:dyDescent="0.25">
      <c r="A7639" s="204">
        <v>43906</v>
      </c>
      <c r="B7639" s="26" t="s">
        <v>6118</v>
      </c>
      <c r="C7639" s="26" t="s">
        <v>6320</v>
      </c>
      <c r="D7639" s="8"/>
      <c r="E7639" s="8">
        <f>2900-650</f>
        <v>2250</v>
      </c>
      <c r="F7639" s="92">
        <f t="shared" si="151"/>
        <v>61050</v>
      </c>
    </row>
    <row r="7640" spans="1:10" x14ac:dyDescent="0.25">
      <c r="A7640" s="204">
        <v>43904</v>
      </c>
      <c r="B7640" s="26" t="s">
        <v>6118</v>
      </c>
      <c r="C7640" s="26" t="s">
        <v>6322</v>
      </c>
      <c r="D7640" s="8">
        <v>650</v>
      </c>
      <c r="E7640" s="8"/>
      <c r="F7640" s="92">
        <f t="shared" si="151"/>
        <v>60400</v>
      </c>
    </row>
    <row r="7641" spans="1:10" x14ac:dyDescent="0.25">
      <c r="A7641" s="204">
        <v>43906</v>
      </c>
      <c r="B7641" s="26" t="s">
        <v>0</v>
      </c>
      <c r="C7641" s="26" t="s">
        <v>6323</v>
      </c>
      <c r="D7641" s="8">
        <v>60000</v>
      </c>
      <c r="E7641" s="8"/>
      <c r="F7641" s="92">
        <f t="shared" si="151"/>
        <v>400</v>
      </c>
    </row>
    <row r="7642" spans="1:10" x14ac:dyDescent="0.25">
      <c r="A7642" s="204">
        <v>43907</v>
      </c>
      <c r="B7642" s="452" t="s">
        <v>6335</v>
      </c>
      <c r="C7642" s="452"/>
      <c r="D7642" s="452"/>
      <c r="E7642" s="8">
        <v>333025</v>
      </c>
      <c r="F7642" s="92">
        <f t="shared" si="151"/>
        <v>333425</v>
      </c>
      <c r="G7642" s="10"/>
      <c r="J7642" s="6"/>
    </row>
    <row r="7643" spans="1:10" x14ac:dyDescent="0.25">
      <c r="A7643" s="204">
        <v>43906</v>
      </c>
      <c r="B7643" s="26" t="s">
        <v>542</v>
      </c>
      <c r="C7643" s="26" t="s">
        <v>641</v>
      </c>
      <c r="D7643" s="8">
        <v>5000</v>
      </c>
      <c r="E7643" s="8"/>
      <c r="F7643" s="92">
        <f t="shared" si="151"/>
        <v>328425</v>
      </c>
    </row>
    <row r="7644" spans="1:10" x14ac:dyDescent="0.25">
      <c r="A7644" s="204">
        <v>43906</v>
      </c>
      <c r="B7644" s="26" t="s">
        <v>6324</v>
      </c>
      <c r="C7644" s="26" t="s">
        <v>6336</v>
      </c>
      <c r="D7644" s="8">
        <v>240</v>
      </c>
      <c r="E7644" s="8"/>
      <c r="F7644" s="92">
        <f t="shared" si="151"/>
        <v>328185</v>
      </c>
    </row>
    <row r="7645" spans="1:10" x14ac:dyDescent="0.25">
      <c r="A7645" s="204">
        <v>43906</v>
      </c>
      <c r="B7645" s="26" t="s">
        <v>6315</v>
      </c>
      <c r="C7645" s="137" t="s">
        <v>6325</v>
      </c>
      <c r="D7645" s="8">
        <v>1500</v>
      </c>
      <c r="E7645" s="8"/>
      <c r="F7645" s="92">
        <f t="shared" si="151"/>
        <v>326685</v>
      </c>
    </row>
    <row r="7646" spans="1:10" x14ac:dyDescent="0.25">
      <c r="A7646" s="204">
        <v>43907</v>
      </c>
      <c r="B7646" s="26" t="s">
        <v>26</v>
      </c>
      <c r="C7646" s="26" t="s">
        <v>6015</v>
      </c>
      <c r="D7646" s="8">
        <v>600</v>
      </c>
      <c r="E7646" s="8"/>
      <c r="F7646" s="92">
        <f t="shared" si="151"/>
        <v>326085</v>
      </c>
    </row>
    <row r="7647" spans="1:10" x14ac:dyDescent="0.25">
      <c r="A7647" s="204">
        <v>43907</v>
      </c>
      <c r="B7647" s="26" t="s">
        <v>1840</v>
      </c>
      <c r="C7647" s="137" t="s">
        <v>6328</v>
      </c>
      <c r="D7647" s="8">
        <v>2000</v>
      </c>
      <c r="E7647" s="8"/>
      <c r="F7647" s="92">
        <f t="shared" si="151"/>
        <v>324085</v>
      </c>
    </row>
    <row r="7648" spans="1:10" x14ac:dyDescent="0.25">
      <c r="A7648" s="204">
        <v>43907</v>
      </c>
      <c r="B7648" s="26" t="s">
        <v>1682</v>
      </c>
      <c r="C7648" s="26" t="s">
        <v>6329</v>
      </c>
      <c r="D7648" s="8">
        <v>42250</v>
      </c>
      <c r="E7648" s="8"/>
      <c r="F7648" s="92">
        <f t="shared" si="151"/>
        <v>281835</v>
      </c>
    </row>
    <row r="7649" spans="1:10" x14ac:dyDescent="0.25">
      <c r="A7649" s="204">
        <v>43907</v>
      </c>
      <c r="B7649" s="26" t="s">
        <v>2351</v>
      </c>
      <c r="C7649" s="26" t="s">
        <v>6330</v>
      </c>
      <c r="D7649" s="8">
        <v>55000</v>
      </c>
      <c r="E7649" s="8"/>
      <c r="F7649" s="92">
        <f t="shared" si="151"/>
        <v>226835</v>
      </c>
    </row>
    <row r="7650" spans="1:10" x14ac:dyDescent="0.25">
      <c r="A7650" s="204">
        <v>43907</v>
      </c>
      <c r="B7650" s="26" t="s">
        <v>0</v>
      </c>
      <c r="C7650" s="26" t="s">
        <v>6173</v>
      </c>
      <c r="D7650" s="8">
        <v>35000</v>
      </c>
      <c r="E7650" s="8"/>
      <c r="F7650" s="92">
        <f t="shared" si="151"/>
        <v>191835</v>
      </c>
    </row>
    <row r="7651" spans="1:10" x14ac:dyDescent="0.25">
      <c r="A7651" s="204">
        <v>43907</v>
      </c>
      <c r="B7651" s="26" t="s">
        <v>6333</v>
      </c>
      <c r="C7651" s="26" t="s">
        <v>6331</v>
      </c>
      <c r="D7651" s="8">
        <v>71000</v>
      </c>
      <c r="E7651" s="8"/>
      <c r="F7651" s="92">
        <f t="shared" si="151"/>
        <v>120835</v>
      </c>
    </row>
    <row r="7652" spans="1:10" x14ac:dyDescent="0.25">
      <c r="A7652" s="204">
        <v>43907</v>
      </c>
      <c r="B7652" s="26" t="s">
        <v>6334</v>
      </c>
      <c r="C7652" s="26" t="s">
        <v>6332</v>
      </c>
      <c r="D7652" s="8">
        <v>25000</v>
      </c>
      <c r="E7652" s="8"/>
      <c r="F7652" s="92">
        <f t="shared" si="151"/>
        <v>95835</v>
      </c>
    </row>
    <row r="7653" spans="1:10" x14ac:dyDescent="0.25">
      <c r="A7653" s="204">
        <v>43907</v>
      </c>
      <c r="B7653" s="26" t="s">
        <v>1077</v>
      </c>
      <c r="C7653" s="180" t="s">
        <v>6341</v>
      </c>
      <c r="D7653" s="8">
        <f>26626-1285</f>
        <v>25341</v>
      </c>
      <c r="E7653" s="8"/>
      <c r="F7653" s="92">
        <f t="shared" si="151"/>
        <v>70494</v>
      </c>
    </row>
    <row r="7654" spans="1:10" x14ac:dyDescent="0.25">
      <c r="A7654" s="204">
        <v>43908</v>
      </c>
      <c r="B7654" s="26" t="s">
        <v>19</v>
      </c>
      <c r="C7654" s="26" t="s">
        <v>6337</v>
      </c>
      <c r="D7654" s="8">
        <v>2000</v>
      </c>
      <c r="E7654" s="8"/>
      <c r="F7654" s="92">
        <f t="shared" si="151"/>
        <v>68494</v>
      </c>
    </row>
    <row r="7655" spans="1:10" x14ac:dyDescent="0.25">
      <c r="A7655" s="204">
        <v>43908</v>
      </c>
      <c r="B7655" s="26" t="s">
        <v>6095</v>
      </c>
      <c r="C7655" s="26" t="s">
        <v>6340</v>
      </c>
      <c r="D7655" s="8">
        <v>23600</v>
      </c>
      <c r="E7655" s="8"/>
      <c r="F7655" s="92">
        <f t="shared" si="151"/>
        <v>44894</v>
      </c>
    </row>
    <row r="7656" spans="1:10" x14ac:dyDescent="0.25">
      <c r="A7656" s="204">
        <v>43908</v>
      </c>
      <c r="B7656" s="26" t="s">
        <v>55</v>
      </c>
      <c r="C7656" s="137" t="s">
        <v>4870</v>
      </c>
      <c r="D7656" s="8">
        <v>9570</v>
      </c>
      <c r="E7656" s="8"/>
      <c r="F7656" s="92">
        <f t="shared" si="151"/>
        <v>35324</v>
      </c>
    </row>
    <row r="7657" spans="1:10" x14ac:dyDescent="0.25">
      <c r="A7657" s="204">
        <v>43908</v>
      </c>
      <c r="B7657" s="26" t="s">
        <v>6186</v>
      </c>
      <c r="C7657" s="26" t="s">
        <v>4526</v>
      </c>
      <c r="D7657" s="8">
        <v>29200</v>
      </c>
      <c r="E7657" s="8"/>
      <c r="F7657" s="92">
        <f t="shared" si="151"/>
        <v>6124</v>
      </c>
    </row>
    <row r="7658" spans="1:10" x14ac:dyDescent="0.25">
      <c r="A7658" s="204">
        <v>43908</v>
      </c>
      <c r="B7658" s="452" t="s">
        <v>6345</v>
      </c>
      <c r="C7658" s="452"/>
      <c r="D7658" s="452"/>
      <c r="E7658" s="8">
        <v>10000</v>
      </c>
      <c r="F7658" s="92">
        <f t="shared" si="151"/>
        <v>16124</v>
      </c>
      <c r="G7658" s="10"/>
      <c r="J7658" s="6"/>
    </row>
    <row r="7659" spans="1:10" x14ac:dyDescent="0.25">
      <c r="A7659" s="204">
        <v>43908</v>
      </c>
      <c r="B7659" s="26" t="s">
        <v>26</v>
      </c>
      <c r="C7659" s="26" t="s">
        <v>6344</v>
      </c>
      <c r="D7659" s="8">
        <v>1000</v>
      </c>
      <c r="E7659" s="8"/>
      <c r="F7659" s="92">
        <f t="shared" si="151"/>
        <v>15124</v>
      </c>
    </row>
    <row r="7660" spans="1:10" x14ac:dyDescent="0.25">
      <c r="A7660" s="204">
        <v>43909</v>
      </c>
      <c r="B7660" s="26" t="s">
        <v>14</v>
      </c>
      <c r="C7660" s="26" t="s">
        <v>295</v>
      </c>
      <c r="D7660" s="8">
        <v>10000</v>
      </c>
      <c r="E7660" s="8"/>
      <c r="F7660" s="92">
        <f t="shared" si="151"/>
        <v>5124</v>
      </c>
    </row>
    <row r="7661" spans="1:10" x14ac:dyDescent="0.25">
      <c r="A7661" s="204">
        <v>43909</v>
      </c>
      <c r="B7661" s="452" t="s">
        <v>2963</v>
      </c>
      <c r="C7661" s="452"/>
      <c r="D7661" s="452"/>
      <c r="E7661" s="8">
        <v>85000</v>
      </c>
      <c r="F7661" s="92">
        <f t="shared" si="151"/>
        <v>90124</v>
      </c>
      <c r="G7661" s="10"/>
      <c r="J7661" s="6"/>
    </row>
    <row r="7662" spans="1:10" x14ac:dyDescent="0.25">
      <c r="A7662" s="204">
        <v>43909</v>
      </c>
      <c r="B7662" s="26" t="s">
        <v>6118</v>
      </c>
      <c r="C7662" s="26" t="s">
        <v>6356</v>
      </c>
      <c r="D7662" s="8">
        <v>30000</v>
      </c>
      <c r="E7662" s="8"/>
      <c r="F7662" s="92">
        <f t="shared" si="151"/>
        <v>60124</v>
      </c>
    </row>
    <row r="7663" spans="1:10" x14ac:dyDescent="0.25">
      <c r="A7663" s="204">
        <v>43910</v>
      </c>
      <c r="B7663" s="26" t="s">
        <v>26</v>
      </c>
      <c r="C7663" s="26" t="s">
        <v>6348</v>
      </c>
      <c r="D7663" s="8">
        <f>50+130+10</f>
        <v>190</v>
      </c>
      <c r="E7663" s="8"/>
      <c r="F7663" s="92">
        <f t="shared" si="151"/>
        <v>59934</v>
      </c>
    </row>
    <row r="7664" spans="1:10" x14ac:dyDescent="0.25">
      <c r="A7664" s="204">
        <v>43923</v>
      </c>
      <c r="B7664" s="452" t="s">
        <v>3448</v>
      </c>
      <c r="C7664" s="452"/>
      <c r="D7664" s="452"/>
      <c r="E7664" s="8">
        <v>500000</v>
      </c>
      <c r="F7664" s="92">
        <f t="shared" si="151"/>
        <v>559934</v>
      </c>
      <c r="G7664" s="10"/>
      <c r="J7664" s="6"/>
    </row>
    <row r="7665" spans="1:10" x14ac:dyDescent="0.25">
      <c r="A7665" s="204">
        <v>43923</v>
      </c>
      <c r="B7665" s="26" t="s">
        <v>26</v>
      </c>
      <c r="C7665" s="26" t="s">
        <v>6346</v>
      </c>
      <c r="D7665" s="8">
        <f>250+250+70+160</f>
        <v>730</v>
      </c>
      <c r="E7665" s="8"/>
      <c r="F7665" s="92">
        <f t="shared" si="151"/>
        <v>559204</v>
      </c>
      <c r="G7665" s="25"/>
    </row>
    <row r="7666" spans="1:10" x14ac:dyDescent="0.25">
      <c r="A7666" s="204">
        <v>43923</v>
      </c>
      <c r="B7666" s="26" t="s">
        <v>26</v>
      </c>
      <c r="C7666" s="26" t="s">
        <v>6347</v>
      </c>
      <c r="D7666" s="8">
        <f>320+130+50</f>
        <v>500</v>
      </c>
      <c r="E7666" s="8"/>
      <c r="F7666" s="92">
        <f t="shared" si="151"/>
        <v>558704</v>
      </c>
    </row>
    <row r="7667" spans="1:10" x14ac:dyDescent="0.25">
      <c r="A7667" s="204">
        <v>43923</v>
      </c>
      <c r="B7667" s="452" t="s">
        <v>2963</v>
      </c>
      <c r="C7667" s="452"/>
      <c r="D7667" s="452"/>
      <c r="E7667" s="8">
        <v>15000</v>
      </c>
      <c r="F7667" s="92">
        <f t="shared" si="151"/>
        <v>573704</v>
      </c>
      <c r="G7667" s="10"/>
      <c r="J7667" s="6"/>
    </row>
    <row r="7668" spans="1:10" x14ac:dyDescent="0.25">
      <c r="A7668" s="204">
        <v>43923</v>
      </c>
      <c r="B7668" s="26" t="s">
        <v>26</v>
      </c>
      <c r="C7668" s="26" t="s">
        <v>5424</v>
      </c>
      <c r="D7668" s="8">
        <v>1000</v>
      </c>
      <c r="E7668" s="8"/>
      <c r="F7668" s="92">
        <f t="shared" si="151"/>
        <v>572704</v>
      </c>
    </row>
    <row r="7669" spans="1:10" x14ac:dyDescent="0.25">
      <c r="A7669" s="204">
        <v>43927</v>
      </c>
      <c r="B7669" s="26" t="s">
        <v>14</v>
      </c>
      <c r="C7669" s="26" t="s">
        <v>6353</v>
      </c>
      <c r="D7669" s="8">
        <v>20000</v>
      </c>
      <c r="E7669" s="8"/>
      <c r="F7669" s="92">
        <f t="shared" si="151"/>
        <v>552704</v>
      </c>
    </row>
    <row r="7670" spans="1:10" x14ac:dyDescent="0.25">
      <c r="A7670" s="204">
        <v>43927</v>
      </c>
      <c r="B7670" s="26" t="s">
        <v>19</v>
      </c>
      <c r="C7670" s="26" t="s">
        <v>6354</v>
      </c>
      <c r="D7670" s="8">
        <v>1000</v>
      </c>
      <c r="E7670" s="8"/>
      <c r="F7670" s="92">
        <f t="shared" si="151"/>
        <v>551704</v>
      </c>
    </row>
    <row r="7671" spans="1:10" x14ac:dyDescent="0.25">
      <c r="A7671" s="204">
        <v>43930</v>
      </c>
      <c r="B7671" s="452" t="s">
        <v>2963</v>
      </c>
      <c r="C7671" s="452"/>
      <c r="D7671" s="452"/>
      <c r="E7671" s="8">
        <v>200000</v>
      </c>
      <c r="F7671" s="92">
        <f t="shared" si="151"/>
        <v>751704</v>
      </c>
      <c r="G7671" s="10"/>
      <c r="J7671" s="6"/>
    </row>
    <row r="7672" spans="1:10" x14ac:dyDescent="0.25">
      <c r="A7672" s="204">
        <v>43930</v>
      </c>
      <c r="B7672" s="26" t="s">
        <v>109</v>
      </c>
      <c r="C7672" s="26" t="s">
        <v>6355</v>
      </c>
      <c r="D7672" s="8">
        <v>100</v>
      </c>
      <c r="E7672" s="8"/>
      <c r="F7672" s="92">
        <f t="shared" si="151"/>
        <v>751604</v>
      </c>
    </row>
    <row r="7673" spans="1:10" x14ac:dyDescent="0.25">
      <c r="A7673" s="204">
        <v>43930</v>
      </c>
      <c r="B7673" s="26" t="s">
        <v>109</v>
      </c>
      <c r="C7673" s="26" t="s">
        <v>1627</v>
      </c>
      <c r="D7673" s="8">
        <v>100</v>
      </c>
      <c r="E7673" s="8"/>
      <c r="F7673" s="92">
        <f t="shared" si="151"/>
        <v>751504</v>
      </c>
    </row>
    <row r="7674" spans="1:10" x14ac:dyDescent="0.25">
      <c r="A7674" s="204">
        <v>43930</v>
      </c>
      <c r="B7674" s="26" t="s">
        <v>2351</v>
      </c>
      <c r="C7674" s="26" t="s">
        <v>6358</v>
      </c>
      <c r="D7674" s="8">
        <v>5000</v>
      </c>
      <c r="E7674" s="8"/>
      <c r="F7674" s="92">
        <f t="shared" si="151"/>
        <v>746504</v>
      </c>
    </row>
    <row r="7675" spans="1:10" x14ac:dyDescent="0.25">
      <c r="A7675" s="204">
        <v>43934</v>
      </c>
      <c r="B7675" s="26" t="s">
        <v>26</v>
      </c>
      <c r="C7675" s="26" t="s">
        <v>6360</v>
      </c>
      <c r="D7675" s="8">
        <f>85+130+240+328+50+340+115+85+250+130+200+650</f>
        <v>2603</v>
      </c>
      <c r="E7675" s="8"/>
      <c r="F7675" s="92">
        <f t="shared" si="151"/>
        <v>743901</v>
      </c>
    </row>
    <row r="7676" spans="1:10" x14ac:dyDescent="0.25">
      <c r="A7676" s="204">
        <v>43934</v>
      </c>
      <c r="B7676" s="26" t="s">
        <v>1461</v>
      </c>
      <c r="C7676" s="26" t="s">
        <v>6361</v>
      </c>
      <c r="D7676" s="8">
        <v>15000</v>
      </c>
      <c r="E7676" s="8"/>
      <c r="F7676" s="92">
        <f t="shared" si="151"/>
        <v>728901</v>
      </c>
    </row>
    <row r="7677" spans="1:10" x14ac:dyDescent="0.25">
      <c r="A7677" s="204">
        <v>43934</v>
      </c>
      <c r="B7677" s="26" t="s">
        <v>6277</v>
      </c>
      <c r="C7677" s="26" t="s">
        <v>6362</v>
      </c>
      <c r="D7677" s="8">
        <v>20000</v>
      </c>
      <c r="E7677" s="8"/>
      <c r="F7677" s="92">
        <f t="shared" si="151"/>
        <v>708901</v>
      </c>
    </row>
    <row r="7678" spans="1:10" x14ac:dyDescent="0.25">
      <c r="A7678" s="204">
        <v>43934</v>
      </c>
      <c r="B7678" s="452" t="s">
        <v>2963</v>
      </c>
      <c r="C7678" s="452"/>
      <c r="D7678" s="452"/>
      <c r="E7678" s="8">
        <v>200000</v>
      </c>
      <c r="F7678" s="92">
        <f t="shared" si="151"/>
        <v>908901</v>
      </c>
      <c r="G7678" s="10"/>
      <c r="J7678" s="6"/>
    </row>
    <row r="7679" spans="1:10" x14ac:dyDescent="0.25">
      <c r="A7679" s="204">
        <v>43934</v>
      </c>
      <c r="B7679" s="26" t="s">
        <v>6146</v>
      </c>
      <c r="C7679" s="26" t="s">
        <v>295</v>
      </c>
      <c r="D7679" s="8">
        <v>300</v>
      </c>
      <c r="E7679" s="8"/>
      <c r="F7679" s="92">
        <f t="shared" ref="F7679:F7742" si="152">F7678+E7679-D7679</f>
        <v>908601</v>
      </c>
    </row>
    <row r="7680" spans="1:10" x14ac:dyDescent="0.25">
      <c r="A7680" s="204">
        <v>43934</v>
      </c>
      <c r="B7680" s="26" t="s">
        <v>6363</v>
      </c>
      <c r="C7680" s="26" t="s">
        <v>6123</v>
      </c>
      <c r="D7680" s="8">
        <v>18000</v>
      </c>
      <c r="E7680" s="8"/>
      <c r="F7680" s="92">
        <f t="shared" si="152"/>
        <v>890601</v>
      </c>
    </row>
    <row r="7681" spans="1:10" x14ac:dyDescent="0.25">
      <c r="A7681" s="204">
        <v>43934</v>
      </c>
      <c r="B7681" s="26" t="s">
        <v>2351</v>
      </c>
      <c r="C7681" s="26" t="s">
        <v>6330</v>
      </c>
      <c r="D7681" s="8">
        <v>20000</v>
      </c>
      <c r="E7681" s="8"/>
      <c r="F7681" s="92">
        <f t="shared" si="152"/>
        <v>870601</v>
      </c>
    </row>
    <row r="7682" spans="1:10" x14ac:dyDescent="0.25">
      <c r="A7682" s="204">
        <v>43935</v>
      </c>
      <c r="B7682" s="452" t="s">
        <v>6364</v>
      </c>
      <c r="C7682" s="452"/>
      <c r="D7682" s="452"/>
      <c r="E7682" s="8">
        <v>1000</v>
      </c>
      <c r="F7682" s="92">
        <f t="shared" si="152"/>
        <v>871601</v>
      </c>
      <c r="G7682" s="10"/>
      <c r="J7682" s="6"/>
    </row>
    <row r="7683" spans="1:10" x14ac:dyDescent="0.25">
      <c r="A7683" s="204">
        <v>43930</v>
      </c>
      <c r="B7683" s="162" t="s">
        <v>55</v>
      </c>
      <c r="C7683" s="162" t="s">
        <v>6359</v>
      </c>
      <c r="D7683" s="163">
        <v>847169</v>
      </c>
      <c r="E7683" s="8"/>
      <c r="F7683" s="92">
        <f t="shared" si="152"/>
        <v>24432</v>
      </c>
    </row>
    <row r="7684" spans="1:10" x14ac:dyDescent="0.25">
      <c r="A7684" s="204">
        <v>43934</v>
      </c>
      <c r="B7684" s="452" t="s">
        <v>2963</v>
      </c>
      <c r="C7684" s="452"/>
      <c r="D7684" s="452"/>
      <c r="E7684" s="8">
        <v>100000</v>
      </c>
      <c r="F7684" s="92">
        <f t="shared" si="152"/>
        <v>124432</v>
      </c>
      <c r="G7684" s="10"/>
      <c r="J7684" s="6"/>
    </row>
    <row r="7685" spans="1:10" x14ac:dyDescent="0.25">
      <c r="A7685" s="204">
        <v>43936</v>
      </c>
      <c r="B7685" s="26" t="s">
        <v>6285</v>
      </c>
      <c r="C7685" s="26" t="s">
        <v>41</v>
      </c>
      <c r="D7685" s="8">
        <v>85759</v>
      </c>
      <c r="E7685" s="8"/>
      <c r="F7685" s="92">
        <f t="shared" si="152"/>
        <v>38673</v>
      </c>
    </row>
    <row r="7686" spans="1:10" x14ac:dyDescent="0.25">
      <c r="A7686" s="204">
        <v>43936</v>
      </c>
      <c r="B7686" s="26" t="s">
        <v>3550</v>
      </c>
      <c r="C7686" s="26" t="s">
        <v>6366</v>
      </c>
      <c r="D7686" s="8">
        <v>30000</v>
      </c>
      <c r="E7686" s="8"/>
      <c r="F7686" s="92">
        <f t="shared" si="152"/>
        <v>8673</v>
      </c>
    </row>
    <row r="7687" spans="1:10" x14ac:dyDescent="0.25">
      <c r="A7687" s="204">
        <v>43936</v>
      </c>
      <c r="B7687" s="26" t="s">
        <v>85</v>
      </c>
      <c r="C7687" s="26" t="s">
        <v>6370</v>
      </c>
      <c r="D7687" s="8">
        <v>1500</v>
      </c>
      <c r="E7687" s="8"/>
      <c r="F7687" s="92">
        <f t="shared" si="152"/>
        <v>7173</v>
      </c>
    </row>
    <row r="7688" spans="1:10" x14ac:dyDescent="0.25">
      <c r="A7688" s="204">
        <v>43936</v>
      </c>
      <c r="B7688" s="452" t="s">
        <v>2963</v>
      </c>
      <c r="C7688" s="452"/>
      <c r="D7688" s="452"/>
      <c r="E7688" s="8">
        <v>450000</v>
      </c>
      <c r="F7688" s="92">
        <f t="shared" si="152"/>
        <v>457173</v>
      </c>
      <c r="G7688" s="10"/>
      <c r="J7688" s="6"/>
    </row>
    <row r="7689" spans="1:10" x14ac:dyDescent="0.25">
      <c r="A7689" s="204">
        <v>43937</v>
      </c>
      <c r="B7689" s="26" t="s">
        <v>6293</v>
      </c>
      <c r="C7689" s="26" t="s">
        <v>41</v>
      </c>
      <c r="D7689" s="8">
        <v>20000</v>
      </c>
      <c r="E7689" s="8"/>
      <c r="F7689" s="92">
        <f t="shared" si="152"/>
        <v>437173</v>
      </c>
    </row>
    <row r="7690" spans="1:10" x14ac:dyDescent="0.25">
      <c r="A7690" s="204">
        <v>43937</v>
      </c>
      <c r="B7690" s="26" t="s">
        <v>248</v>
      </c>
      <c r="C7690" s="26" t="s">
        <v>6367</v>
      </c>
      <c r="D7690" s="8">
        <v>100</v>
      </c>
      <c r="E7690" s="8"/>
      <c r="F7690" s="92">
        <f t="shared" si="152"/>
        <v>437073</v>
      </c>
    </row>
    <row r="7691" spans="1:10" x14ac:dyDescent="0.25">
      <c r="A7691" s="204">
        <v>43938</v>
      </c>
      <c r="B7691" s="452" t="s">
        <v>2963</v>
      </c>
      <c r="C7691" s="452"/>
      <c r="D7691" s="452"/>
      <c r="E7691" s="8">
        <v>200000</v>
      </c>
      <c r="F7691" s="92">
        <f t="shared" si="152"/>
        <v>637073</v>
      </c>
      <c r="G7691" s="10"/>
      <c r="J7691" s="6"/>
    </row>
    <row r="7692" spans="1:10" x14ac:dyDescent="0.25">
      <c r="A7692" s="204">
        <v>43941</v>
      </c>
      <c r="B7692" s="26" t="s">
        <v>4160</v>
      </c>
      <c r="C7692" s="26" t="s">
        <v>3492</v>
      </c>
      <c r="D7692" s="57">
        <v>83850</v>
      </c>
      <c r="E7692" s="8"/>
      <c r="F7692" s="92">
        <f t="shared" si="152"/>
        <v>553223</v>
      </c>
    </row>
    <row r="7693" spans="1:10" x14ac:dyDescent="0.25">
      <c r="A7693" s="204">
        <v>43941</v>
      </c>
      <c r="B7693" s="26" t="s">
        <v>55</v>
      </c>
      <c r="C7693" s="26" t="s">
        <v>6384</v>
      </c>
      <c r="D7693" s="57">
        <v>443617</v>
      </c>
      <c r="E7693" s="8"/>
      <c r="F7693" s="92">
        <f t="shared" si="152"/>
        <v>109606</v>
      </c>
    </row>
    <row r="7694" spans="1:10" x14ac:dyDescent="0.25">
      <c r="A7694" s="204">
        <v>43941</v>
      </c>
      <c r="B7694" s="26" t="s">
        <v>26</v>
      </c>
      <c r="C7694" s="26" t="s">
        <v>6371</v>
      </c>
      <c r="D7694" s="8">
        <v>1130</v>
      </c>
      <c r="E7694" s="8"/>
      <c r="F7694" s="92">
        <f t="shared" si="152"/>
        <v>108476</v>
      </c>
    </row>
    <row r="7695" spans="1:10" x14ac:dyDescent="0.25">
      <c r="A7695" s="204">
        <v>43942</v>
      </c>
      <c r="B7695" s="26" t="s">
        <v>1077</v>
      </c>
      <c r="C7695" s="26" t="s">
        <v>6372</v>
      </c>
      <c r="D7695" s="8">
        <f>1730+2400</f>
        <v>4130</v>
      </c>
      <c r="E7695" s="8"/>
      <c r="F7695" s="92">
        <f t="shared" si="152"/>
        <v>104346</v>
      </c>
    </row>
    <row r="7696" spans="1:10" x14ac:dyDescent="0.25">
      <c r="A7696" s="204">
        <v>43942</v>
      </c>
      <c r="B7696" s="26" t="s">
        <v>1077</v>
      </c>
      <c r="C7696" s="26" t="s">
        <v>6373</v>
      </c>
      <c r="D7696" s="8">
        <f>3950+1380</f>
        <v>5330</v>
      </c>
      <c r="E7696" s="8"/>
      <c r="F7696" s="92">
        <f t="shared" si="152"/>
        <v>99016</v>
      </c>
    </row>
    <row r="7697" spans="1:10" x14ac:dyDescent="0.25">
      <c r="A7697" s="204">
        <v>43942</v>
      </c>
      <c r="B7697" s="26" t="s">
        <v>2349</v>
      </c>
      <c r="C7697" s="26" t="s">
        <v>6374</v>
      </c>
      <c r="D7697" s="8">
        <v>1000</v>
      </c>
      <c r="E7697" s="8"/>
      <c r="F7697" s="92">
        <f t="shared" si="152"/>
        <v>98016</v>
      </c>
    </row>
    <row r="7698" spans="1:10" x14ac:dyDescent="0.25">
      <c r="A7698" s="204">
        <v>43942</v>
      </c>
      <c r="B7698" s="26" t="s">
        <v>3696</v>
      </c>
      <c r="C7698" s="26" t="s">
        <v>295</v>
      </c>
      <c r="D7698" s="57">
        <v>50000</v>
      </c>
      <c r="E7698" s="8"/>
      <c r="F7698" s="92">
        <f t="shared" si="152"/>
        <v>48016</v>
      </c>
    </row>
    <row r="7699" spans="1:10" x14ac:dyDescent="0.25">
      <c r="A7699" s="204">
        <v>43942</v>
      </c>
      <c r="B7699" s="26" t="s">
        <v>1790</v>
      </c>
      <c r="C7699" s="26" t="s">
        <v>6380</v>
      </c>
      <c r="D7699" s="8">
        <v>1300</v>
      </c>
      <c r="E7699" s="8"/>
      <c r="F7699" s="92">
        <f t="shared" si="152"/>
        <v>46716</v>
      </c>
    </row>
    <row r="7700" spans="1:10" x14ac:dyDescent="0.25">
      <c r="A7700" s="204">
        <v>43942</v>
      </c>
      <c r="B7700" s="26" t="s">
        <v>6375</v>
      </c>
      <c r="C7700" s="26" t="s">
        <v>295</v>
      </c>
      <c r="D7700" s="57">
        <v>50000</v>
      </c>
      <c r="E7700" s="8"/>
      <c r="F7700" s="92">
        <f t="shared" si="152"/>
        <v>-3284</v>
      </c>
    </row>
    <row r="7701" spans="1:10" x14ac:dyDescent="0.25">
      <c r="A7701" s="204">
        <v>43944</v>
      </c>
      <c r="B7701" s="452" t="s">
        <v>2963</v>
      </c>
      <c r="C7701" s="452"/>
      <c r="D7701" s="452"/>
      <c r="E7701" s="8">
        <v>50000</v>
      </c>
      <c r="F7701" s="92">
        <f t="shared" si="152"/>
        <v>46716</v>
      </c>
      <c r="G7701" s="10"/>
      <c r="J7701" s="6"/>
    </row>
    <row r="7702" spans="1:10" x14ac:dyDescent="0.25">
      <c r="A7702" s="204">
        <v>43944</v>
      </c>
      <c r="B7702" s="26" t="s">
        <v>14</v>
      </c>
      <c r="C7702" s="26" t="s">
        <v>295</v>
      </c>
      <c r="D7702" s="8">
        <v>5000</v>
      </c>
      <c r="E7702" s="8"/>
      <c r="F7702" s="92">
        <f t="shared" si="152"/>
        <v>41716</v>
      </c>
    </row>
    <row r="7703" spans="1:10" x14ac:dyDescent="0.25">
      <c r="A7703" s="204">
        <v>43944</v>
      </c>
      <c r="B7703" s="26" t="s">
        <v>26</v>
      </c>
      <c r="C7703" s="26" t="s">
        <v>6394</v>
      </c>
      <c r="D7703" s="8">
        <v>500</v>
      </c>
      <c r="E7703" s="8"/>
      <c r="F7703" s="92">
        <f t="shared" si="152"/>
        <v>41216</v>
      </c>
    </row>
    <row r="7704" spans="1:10" x14ac:dyDescent="0.25">
      <c r="A7704" s="204">
        <v>43944</v>
      </c>
      <c r="B7704" s="26" t="s">
        <v>1077</v>
      </c>
      <c r="C7704" s="26" t="s">
        <v>6385</v>
      </c>
      <c r="D7704" s="8">
        <f>8553+9765</f>
        <v>18318</v>
      </c>
      <c r="E7704" s="8"/>
      <c r="F7704" s="92">
        <f t="shared" si="152"/>
        <v>22898</v>
      </c>
    </row>
    <row r="7705" spans="1:10" x14ac:dyDescent="0.25">
      <c r="A7705" s="204">
        <v>43944</v>
      </c>
      <c r="B7705" s="26" t="s">
        <v>1077</v>
      </c>
      <c r="C7705" s="26" t="s">
        <v>6386</v>
      </c>
      <c r="D7705" s="8">
        <v>2378</v>
      </c>
      <c r="E7705" s="8"/>
      <c r="F7705" s="92">
        <f t="shared" si="152"/>
        <v>20520</v>
      </c>
    </row>
    <row r="7706" spans="1:10" x14ac:dyDescent="0.25">
      <c r="A7706" s="204">
        <v>43949</v>
      </c>
      <c r="B7706" s="26" t="s">
        <v>14</v>
      </c>
      <c r="C7706" s="26" t="s">
        <v>6395</v>
      </c>
      <c r="D7706" s="8">
        <v>3549</v>
      </c>
      <c r="E7706" s="8"/>
      <c r="F7706" s="92">
        <f t="shared" si="152"/>
        <v>16971</v>
      </c>
    </row>
    <row r="7707" spans="1:10" x14ac:dyDescent="0.25">
      <c r="A7707" s="204">
        <v>43949</v>
      </c>
      <c r="B7707" s="26" t="s">
        <v>2573</v>
      </c>
      <c r="C7707" s="26" t="s">
        <v>6396</v>
      </c>
      <c r="D7707" s="8">
        <v>720</v>
      </c>
      <c r="E7707" s="8"/>
      <c r="F7707" s="92">
        <f t="shared" si="152"/>
        <v>16251</v>
      </c>
    </row>
    <row r="7708" spans="1:10" x14ac:dyDescent="0.25">
      <c r="A7708" s="204">
        <v>43949</v>
      </c>
      <c r="B7708" s="26" t="s">
        <v>5140</v>
      </c>
      <c r="C7708" s="26" t="s">
        <v>6397</v>
      </c>
      <c r="D7708" s="8">
        <v>4161</v>
      </c>
      <c r="E7708" s="8"/>
      <c r="F7708" s="92">
        <f t="shared" si="152"/>
        <v>12090</v>
      </c>
    </row>
    <row r="7709" spans="1:10" ht="30" x14ac:dyDescent="0.25">
      <c r="A7709" s="204">
        <v>43950</v>
      </c>
      <c r="B7709" s="26" t="s">
        <v>14</v>
      </c>
      <c r="C7709" s="87" t="s">
        <v>6398</v>
      </c>
      <c r="D7709" s="8">
        <v>10300</v>
      </c>
      <c r="E7709" s="8"/>
      <c r="F7709" s="92">
        <f t="shared" si="152"/>
        <v>1790</v>
      </c>
    </row>
    <row r="7710" spans="1:10" x14ac:dyDescent="0.25">
      <c r="A7710" s="204">
        <v>43950</v>
      </c>
      <c r="B7710" s="26" t="s">
        <v>26</v>
      </c>
      <c r="C7710" s="26" t="s">
        <v>6388</v>
      </c>
      <c r="D7710" s="8">
        <v>1500</v>
      </c>
      <c r="E7710" s="8"/>
      <c r="F7710" s="92">
        <f t="shared" si="152"/>
        <v>290</v>
      </c>
    </row>
    <row r="7711" spans="1:10" x14ac:dyDescent="0.25">
      <c r="A7711" s="204">
        <v>43950</v>
      </c>
      <c r="B7711" s="26" t="s">
        <v>14</v>
      </c>
      <c r="C7711" s="87" t="s">
        <v>439</v>
      </c>
      <c r="D7711" s="8">
        <v>3500</v>
      </c>
      <c r="E7711" s="8"/>
      <c r="F7711" s="92">
        <f t="shared" si="152"/>
        <v>-3210</v>
      </c>
    </row>
    <row r="7712" spans="1:10" x14ac:dyDescent="0.25">
      <c r="A7712" s="204">
        <v>43950</v>
      </c>
      <c r="B7712" s="452" t="s">
        <v>2963</v>
      </c>
      <c r="C7712" s="452"/>
      <c r="D7712" s="452"/>
      <c r="E7712" s="8">
        <v>60000</v>
      </c>
      <c r="F7712" s="92">
        <f t="shared" si="152"/>
        <v>56790</v>
      </c>
      <c r="G7712" s="10"/>
      <c r="J7712" s="6"/>
    </row>
    <row r="7713" spans="1:10" x14ac:dyDescent="0.25">
      <c r="A7713" s="204">
        <v>43950</v>
      </c>
      <c r="B7713" s="26" t="s">
        <v>3989</v>
      </c>
      <c r="C7713" s="26" t="s">
        <v>6389</v>
      </c>
      <c r="D7713" s="8">
        <v>15000</v>
      </c>
      <c r="E7713" s="8"/>
      <c r="F7713" s="92">
        <f t="shared" si="152"/>
        <v>41790</v>
      </c>
    </row>
    <row r="7714" spans="1:10" ht="30" x14ac:dyDescent="0.25">
      <c r="A7714" s="204">
        <v>43950</v>
      </c>
      <c r="B7714" s="137" t="s">
        <v>4776</v>
      </c>
      <c r="C7714" s="259" t="s">
        <v>6393</v>
      </c>
      <c r="D7714" s="139">
        <v>21000</v>
      </c>
      <c r="E7714" s="8"/>
      <c r="F7714" s="92">
        <f t="shared" si="152"/>
        <v>20790</v>
      </c>
    </row>
    <row r="7715" spans="1:10" x14ac:dyDescent="0.25">
      <c r="A7715" s="204">
        <v>43950</v>
      </c>
      <c r="B7715" s="26" t="s">
        <v>26</v>
      </c>
      <c r="C7715" s="26" t="s">
        <v>3199</v>
      </c>
      <c r="D7715" s="8">
        <v>3000</v>
      </c>
      <c r="E7715" s="8"/>
      <c r="F7715" s="92">
        <f t="shared" si="152"/>
        <v>17790</v>
      </c>
    </row>
    <row r="7716" spans="1:10" x14ac:dyDescent="0.25">
      <c r="A7716" s="204">
        <v>43955</v>
      </c>
      <c r="B7716" s="26" t="s">
        <v>0</v>
      </c>
      <c r="C7716" s="26" t="s">
        <v>6399</v>
      </c>
      <c r="D7716" s="8">
        <v>18000</v>
      </c>
      <c r="E7716" s="8"/>
      <c r="F7716" s="92">
        <f t="shared" si="152"/>
        <v>-210</v>
      </c>
    </row>
    <row r="7717" spans="1:10" x14ac:dyDescent="0.25">
      <c r="A7717" s="204">
        <v>43955</v>
      </c>
      <c r="B7717" s="452" t="s">
        <v>2963</v>
      </c>
      <c r="C7717" s="452"/>
      <c r="D7717" s="452"/>
      <c r="E7717" s="8">
        <v>50000</v>
      </c>
      <c r="F7717" s="92">
        <f t="shared" si="152"/>
        <v>49790</v>
      </c>
      <c r="G7717" s="10"/>
      <c r="J7717" s="6"/>
    </row>
    <row r="7718" spans="1:10" x14ac:dyDescent="0.25">
      <c r="A7718" s="204">
        <v>43955</v>
      </c>
      <c r="B7718" s="26" t="s">
        <v>1790</v>
      </c>
      <c r="C7718" s="26" t="s">
        <v>6408</v>
      </c>
      <c r="D7718" s="8">
        <v>1300</v>
      </c>
      <c r="E7718" s="8"/>
      <c r="F7718" s="92">
        <f t="shared" si="152"/>
        <v>48490</v>
      </c>
    </row>
    <row r="7719" spans="1:10" x14ac:dyDescent="0.25">
      <c r="A7719" s="204">
        <v>43956</v>
      </c>
      <c r="B7719" s="26" t="s">
        <v>55</v>
      </c>
      <c r="C7719" s="26" t="s">
        <v>6401</v>
      </c>
      <c r="D7719" s="8">
        <v>5500</v>
      </c>
      <c r="E7719" s="8"/>
      <c r="F7719" s="92">
        <f t="shared" si="152"/>
        <v>42990</v>
      </c>
    </row>
    <row r="7720" spans="1:10" x14ac:dyDescent="0.25">
      <c r="A7720" s="204">
        <v>43956</v>
      </c>
      <c r="B7720" s="452" t="s">
        <v>2963</v>
      </c>
      <c r="C7720" s="452"/>
      <c r="D7720" s="452"/>
      <c r="E7720" s="8">
        <v>100000</v>
      </c>
      <c r="F7720" s="92">
        <f t="shared" si="152"/>
        <v>142990</v>
      </c>
      <c r="G7720" s="10"/>
      <c r="J7720" s="6"/>
    </row>
    <row r="7721" spans="1:10" x14ac:dyDescent="0.25">
      <c r="A7721" s="204">
        <v>43956</v>
      </c>
      <c r="B7721" s="26" t="s">
        <v>6402</v>
      </c>
      <c r="C7721" s="26" t="s">
        <v>6403</v>
      </c>
      <c r="D7721" s="8">
        <v>55000</v>
      </c>
      <c r="E7721" s="8"/>
      <c r="F7721" s="92">
        <f t="shared" si="152"/>
        <v>87990</v>
      </c>
    </row>
    <row r="7722" spans="1:10" x14ac:dyDescent="0.25">
      <c r="A7722" s="204">
        <v>43956</v>
      </c>
      <c r="B7722" s="26" t="s">
        <v>6146</v>
      </c>
      <c r="C7722" s="255" t="s">
        <v>6404</v>
      </c>
      <c r="D7722" s="260">
        <v>54000</v>
      </c>
      <c r="E7722" s="8"/>
      <c r="F7722" s="92">
        <f t="shared" si="152"/>
        <v>33990</v>
      </c>
    </row>
    <row r="7723" spans="1:10" x14ac:dyDescent="0.25">
      <c r="A7723" s="204">
        <v>43957</v>
      </c>
      <c r="B7723" s="26" t="s">
        <v>1840</v>
      </c>
      <c r="C7723" s="26" t="s">
        <v>6405</v>
      </c>
      <c r="D7723" s="8">
        <v>1000</v>
      </c>
      <c r="E7723" s="8"/>
      <c r="F7723" s="92">
        <f t="shared" si="152"/>
        <v>32990</v>
      </c>
    </row>
    <row r="7724" spans="1:10" x14ac:dyDescent="0.25">
      <c r="A7724" s="204">
        <v>43957</v>
      </c>
      <c r="B7724" s="26" t="s">
        <v>85</v>
      </c>
      <c r="C7724" s="26" t="s">
        <v>6406</v>
      </c>
      <c r="D7724" s="8">
        <v>1000</v>
      </c>
      <c r="E7724" s="8"/>
      <c r="F7724" s="92">
        <f t="shared" si="152"/>
        <v>31990</v>
      </c>
    </row>
    <row r="7725" spans="1:10" x14ac:dyDescent="0.25">
      <c r="A7725" s="204">
        <v>43957</v>
      </c>
      <c r="B7725" s="26" t="s">
        <v>19</v>
      </c>
      <c r="C7725" s="26" t="s">
        <v>6410</v>
      </c>
      <c r="D7725" s="8">
        <v>20300</v>
      </c>
      <c r="E7725" s="8"/>
      <c r="F7725" s="92">
        <f t="shared" si="152"/>
        <v>11690</v>
      </c>
    </row>
    <row r="7726" spans="1:10" x14ac:dyDescent="0.25">
      <c r="A7726" s="204">
        <v>43957</v>
      </c>
      <c r="B7726" s="26" t="s">
        <v>1790</v>
      </c>
      <c r="C7726" s="26" t="s">
        <v>6407</v>
      </c>
      <c r="D7726" s="8">
        <v>1500</v>
      </c>
      <c r="E7726" s="8"/>
      <c r="F7726" s="92">
        <f t="shared" si="152"/>
        <v>10190</v>
      </c>
    </row>
    <row r="7727" spans="1:10" x14ac:dyDescent="0.25">
      <c r="A7727" s="204">
        <v>43960</v>
      </c>
      <c r="B7727" s="26" t="s">
        <v>55</v>
      </c>
      <c r="C7727" s="26" t="s">
        <v>6409</v>
      </c>
      <c r="D7727" s="8">
        <v>10000</v>
      </c>
      <c r="E7727" s="8"/>
      <c r="F7727" s="92">
        <f t="shared" si="152"/>
        <v>190</v>
      </c>
    </row>
    <row r="7728" spans="1:10" x14ac:dyDescent="0.25">
      <c r="A7728" s="204">
        <v>43962</v>
      </c>
      <c r="B7728" s="26" t="s">
        <v>94</v>
      </c>
      <c r="C7728" s="26" t="s">
        <v>6412</v>
      </c>
      <c r="D7728" s="8">
        <v>1000</v>
      </c>
      <c r="E7728" s="8"/>
      <c r="F7728" s="92">
        <f t="shared" si="152"/>
        <v>-810</v>
      </c>
    </row>
    <row r="7729" spans="1:10" x14ac:dyDescent="0.25">
      <c r="A7729" s="204">
        <v>43962</v>
      </c>
      <c r="B7729" s="137" t="s">
        <v>94</v>
      </c>
      <c r="C7729" s="137" t="s">
        <v>6432</v>
      </c>
      <c r="D7729" s="139">
        <v>2000</v>
      </c>
      <c r="E7729" s="8"/>
      <c r="F7729" s="92">
        <f t="shared" si="152"/>
        <v>-2810</v>
      </c>
    </row>
    <row r="7730" spans="1:10" x14ac:dyDescent="0.25">
      <c r="A7730" s="204">
        <v>43962</v>
      </c>
      <c r="B7730" s="452" t="s">
        <v>6420</v>
      </c>
      <c r="C7730" s="452"/>
      <c r="D7730" s="452"/>
      <c r="E7730" s="8">
        <v>1000000</v>
      </c>
      <c r="F7730" s="92">
        <f t="shared" si="152"/>
        <v>997190</v>
      </c>
      <c r="G7730" s="10"/>
      <c r="J7730" s="6"/>
    </row>
    <row r="7731" spans="1:10" ht="30" x14ac:dyDescent="0.25">
      <c r="A7731" s="204">
        <v>43962</v>
      </c>
      <c r="B7731" s="26" t="s">
        <v>55</v>
      </c>
      <c r="C7731" s="87" t="s">
        <v>6426</v>
      </c>
      <c r="D7731" s="8">
        <v>3500</v>
      </c>
      <c r="E7731" s="8"/>
      <c r="F7731" s="92">
        <f t="shared" si="152"/>
        <v>993690</v>
      </c>
    </row>
    <row r="7732" spans="1:10" x14ac:dyDescent="0.25">
      <c r="A7732" s="204">
        <v>43962</v>
      </c>
      <c r="B7732" s="26" t="s">
        <v>5485</v>
      </c>
      <c r="C7732" s="26" t="s">
        <v>6417</v>
      </c>
      <c r="D7732" s="8">
        <v>1200</v>
      </c>
      <c r="E7732" s="8"/>
      <c r="F7732" s="92">
        <f t="shared" si="152"/>
        <v>992490</v>
      </c>
    </row>
    <row r="7733" spans="1:10" x14ac:dyDescent="0.25">
      <c r="A7733" s="204">
        <v>43962</v>
      </c>
      <c r="B7733" s="26" t="s">
        <v>111</v>
      </c>
      <c r="C7733" s="26" t="s">
        <v>6433</v>
      </c>
      <c r="D7733" s="8">
        <v>15000</v>
      </c>
      <c r="E7733" s="8"/>
      <c r="F7733" s="92">
        <f t="shared" si="152"/>
        <v>977490</v>
      </c>
    </row>
    <row r="7734" spans="1:10" x14ac:dyDescent="0.25">
      <c r="A7734" s="204">
        <v>43963</v>
      </c>
      <c r="B7734" s="26" t="s">
        <v>6422</v>
      </c>
      <c r="C7734" s="26" t="s">
        <v>6434</v>
      </c>
      <c r="D7734" s="8">
        <v>20000</v>
      </c>
      <c r="E7734" s="8"/>
      <c r="F7734" s="92">
        <f t="shared" si="152"/>
        <v>957490</v>
      </c>
    </row>
    <row r="7735" spans="1:10" x14ac:dyDescent="0.25">
      <c r="A7735" s="204">
        <v>43963</v>
      </c>
      <c r="B7735" s="26" t="s">
        <v>6423</v>
      </c>
      <c r="C7735" s="26" t="s">
        <v>6424</v>
      </c>
      <c r="D7735" s="8">
        <v>25000</v>
      </c>
      <c r="E7735" s="8"/>
      <c r="F7735" s="92">
        <f t="shared" si="152"/>
        <v>932490</v>
      </c>
    </row>
    <row r="7736" spans="1:10" x14ac:dyDescent="0.25">
      <c r="A7736" s="204">
        <v>43963</v>
      </c>
      <c r="B7736" s="26" t="s">
        <v>6425</v>
      </c>
      <c r="C7736" s="26" t="s">
        <v>6429</v>
      </c>
      <c r="D7736" s="8">
        <v>20000</v>
      </c>
      <c r="E7736" s="8"/>
      <c r="F7736" s="92">
        <f t="shared" si="152"/>
        <v>912490</v>
      </c>
    </row>
    <row r="7737" spans="1:10" x14ac:dyDescent="0.25">
      <c r="A7737" s="204">
        <v>43963</v>
      </c>
      <c r="B7737" s="137" t="s">
        <v>1840</v>
      </c>
      <c r="C7737" s="137" t="s">
        <v>6427</v>
      </c>
      <c r="D7737" s="139">
        <v>5000</v>
      </c>
      <c r="E7737" s="8"/>
      <c r="F7737" s="92">
        <f t="shared" si="152"/>
        <v>907490</v>
      </c>
    </row>
    <row r="7738" spans="1:10" x14ac:dyDescent="0.25">
      <c r="A7738" s="204">
        <v>43963</v>
      </c>
      <c r="B7738" s="26" t="s">
        <v>26</v>
      </c>
      <c r="C7738" s="26" t="s">
        <v>6428</v>
      </c>
      <c r="D7738" s="8">
        <v>600</v>
      </c>
      <c r="E7738" s="8"/>
      <c r="F7738" s="92">
        <f t="shared" si="152"/>
        <v>906890</v>
      </c>
    </row>
    <row r="7739" spans="1:10" x14ac:dyDescent="0.25">
      <c r="A7739" s="204">
        <v>43963</v>
      </c>
      <c r="B7739" s="26" t="s">
        <v>2351</v>
      </c>
      <c r="C7739" s="26" t="s">
        <v>295</v>
      </c>
      <c r="D7739" s="8">
        <v>5000</v>
      </c>
      <c r="E7739" s="8"/>
      <c r="F7739" s="92">
        <f t="shared" si="152"/>
        <v>901890</v>
      </c>
    </row>
    <row r="7740" spans="1:10" x14ac:dyDescent="0.25">
      <c r="A7740" s="204">
        <v>43963</v>
      </c>
      <c r="B7740" s="26" t="s">
        <v>2351</v>
      </c>
      <c r="C7740" s="26" t="s">
        <v>295</v>
      </c>
      <c r="D7740" s="8">
        <v>15000</v>
      </c>
      <c r="E7740" s="8"/>
      <c r="F7740" s="92">
        <f t="shared" si="152"/>
        <v>886890</v>
      </c>
    </row>
    <row r="7741" spans="1:10" x14ac:dyDescent="0.25">
      <c r="A7741" s="204">
        <v>43964</v>
      </c>
      <c r="B7741" s="452" t="s">
        <v>6364</v>
      </c>
      <c r="C7741" s="452"/>
      <c r="D7741" s="452"/>
      <c r="E7741" s="8">
        <v>18000</v>
      </c>
      <c r="F7741" s="92">
        <f t="shared" si="152"/>
        <v>904890</v>
      </c>
      <c r="G7741" s="10"/>
      <c r="J7741" s="6"/>
    </row>
    <row r="7742" spans="1:10" x14ac:dyDescent="0.25">
      <c r="A7742" s="204">
        <v>43964</v>
      </c>
      <c r="B7742" s="26" t="s">
        <v>26</v>
      </c>
      <c r="C7742" s="26" t="s">
        <v>6430</v>
      </c>
      <c r="D7742" s="8">
        <v>100</v>
      </c>
      <c r="E7742" s="8"/>
      <c r="F7742" s="92">
        <f t="shared" si="152"/>
        <v>904790</v>
      </c>
    </row>
    <row r="7743" spans="1:10" x14ac:dyDescent="0.25">
      <c r="A7743" s="204">
        <v>43964</v>
      </c>
      <c r="B7743" s="26" t="s">
        <v>26</v>
      </c>
      <c r="C7743" s="26" t="s">
        <v>6431</v>
      </c>
      <c r="D7743" s="8">
        <v>200</v>
      </c>
      <c r="E7743" s="8"/>
      <c r="F7743" s="92">
        <f t="shared" ref="F7743:F7808" si="153">F7742+E7743-D7743</f>
        <v>904590</v>
      </c>
    </row>
    <row r="7744" spans="1:10" x14ac:dyDescent="0.25">
      <c r="A7744" s="204">
        <v>43964</v>
      </c>
      <c r="B7744" s="180" t="s">
        <v>55</v>
      </c>
      <c r="C7744" s="180" t="s">
        <v>6421</v>
      </c>
      <c r="D7744" s="57">
        <v>907595</v>
      </c>
      <c r="E7744" s="8"/>
      <c r="F7744" s="92">
        <f t="shared" si="153"/>
        <v>-3005</v>
      </c>
    </row>
    <row r="7745" spans="1:10" x14ac:dyDescent="0.25">
      <c r="A7745" s="204">
        <v>43964</v>
      </c>
      <c r="B7745" s="452" t="s">
        <v>6438</v>
      </c>
      <c r="C7745" s="452"/>
      <c r="D7745" s="452"/>
      <c r="E7745" s="8">
        <v>50000</v>
      </c>
      <c r="F7745" s="92">
        <f t="shared" si="153"/>
        <v>46995</v>
      </c>
      <c r="G7745" s="10"/>
      <c r="J7745" s="6"/>
    </row>
    <row r="7746" spans="1:10" x14ac:dyDescent="0.25">
      <c r="A7746" s="204">
        <v>43965</v>
      </c>
      <c r="B7746" s="26" t="s">
        <v>6437</v>
      </c>
      <c r="C7746" s="26" t="s">
        <v>3336</v>
      </c>
      <c r="D7746" s="8">
        <v>5000</v>
      </c>
      <c r="E7746" s="8"/>
      <c r="F7746" s="92">
        <f t="shared" si="153"/>
        <v>41995</v>
      </c>
    </row>
    <row r="7747" spans="1:10" x14ac:dyDescent="0.25">
      <c r="A7747" s="204">
        <v>43967</v>
      </c>
      <c r="B7747" s="26" t="s">
        <v>14</v>
      </c>
      <c r="C7747" s="26" t="s">
        <v>6440</v>
      </c>
      <c r="D7747" s="8">
        <v>18000</v>
      </c>
      <c r="E7747" s="8"/>
      <c r="F7747" s="92">
        <f t="shared" si="153"/>
        <v>23995</v>
      </c>
    </row>
    <row r="7748" spans="1:10" x14ac:dyDescent="0.25">
      <c r="A7748" s="204">
        <v>43967</v>
      </c>
      <c r="B7748" s="26" t="s">
        <v>2349</v>
      </c>
      <c r="C7748" s="26" t="s">
        <v>6441</v>
      </c>
      <c r="D7748" s="8">
        <v>2500</v>
      </c>
      <c r="E7748" s="8"/>
      <c r="F7748" s="92">
        <f t="shared" si="153"/>
        <v>21495</v>
      </c>
    </row>
    <row r="7749" spans="1:10" x14ac:dyDescent="0.25">
      <c r="A7749" s="204">
        <v>43967</v>
      </c>
      <c r="B7749" s="26" t="s">
        <v>55</v>
      </c>
      <c r="C7749" s="26" t="s">
        <v>6442</v>
      </c>
      <c r="D7749" s="8">
        <v>10000</v>
      </c>
      <c r="E7749" s="8"/>
      <c r="F7749" s="92">
        <f t="shared" si="153"/>
        <v>11495</v>
      </c>
    </row>
    <row r="7750" spans="1:10" x14ac:dyDescent="0.25">
      <c r="A7750" s="204">
        <v>43967</v>
      </c>
      <c r="B7750" s="26" t="s">
        <v>55</v>
      </c>
      <c r="C7750" s="26" t="s">
        <v>6443</v>
      </c>
      <c r="D7750" s="8">
        <v>5000</v>
      </c>
      <c r="E7750" s="8"/>
      <c r="F7750" s="92">
        <f t="shared" si="153"/>
        <v>6495</v>
      </c>
    </row>
    <row r="7751" spans="1:10" x14ac:dyDescent="0.25">
      <c r="A7751" s="204">
        <v>43967</v>
      </c>
      <c r="B7751" s="26" t="s">
        <v>55</v>
      </c>
      <c r="C7751" s="26" t="s">
        <v>6444</v>
      </c>
      <c r="D7751" s="8">
        <v>2000</v>
      </c>
      <c r="E7751" s="8"/>
      <c r="F7751" s="92">
        <f t="shared" si="153"/>
        <v>4495</v>
      </c>
    </row>
    <row r="7752" spans="1:10" x14ac:dyDescent="0.25">
      <c r="A7752" s="204">
        <v>43967</v>
      </c>
      <c r="B7752" s="26" t="s">
        <v>55</v>
      </c>
      <c r="C7752" s="26" t="s">
        <v>6445</v>
      </c>
      <c r="D7752" s="8">
        <v>4625</v>
      </c>
      <c r="E7752" s="8"/>
      <c r="F7752" s="92">
        <f t="shared" si="153"/>
        <v>-130</v>
      </c>
    </row>
    <row r="7753" spans="1:10" x14ac:dyDescent="0.25">
      <c r="A7753" s="204">
        <v>43967</v>
      </c>
      <c r="B7753" s="26" t="s">
        <v>55</v>
      </c>
      <c r="C7753" s="26" t="s">
        <v>6446</v>
      </c>
      <c r="D7753" s="8">
        <v>2500</v>
      </c>
      <c r="E7753" s="8"/>
      <c r="F7753" s="92">
        <f t="shared" si="153"/>
        <v>-2630</v>
      </c>
    </row>
    <row r="7754" spans="1:10" x14ac:dyDescent="0.25">
      <c r="A7754" s="204">
        <v>43964</v>
      </c>
      <c r="B7754" s="452" t="s">
        <v>6364</v>
      </c>
      <c r="C7754" s="452"/>
      <c r="D7754" s="452"/>
      <c r="E7754" s="8">
        <v>22500</v>
      </c>
      <c r="F7754" s="92">
        <f t="shared" si="153"/>
        <v>19870</v>
      </c>
      <c r="G7754" s="10"/>
      <c r="J7754" s="6"/>
    </row>
    <row r="7755" spans="1:10" x14ac:dyDescent="0.25">
      <c r="A7755" s="204">
        <v>43967</v>
      </c>
      <c r="B7755" s="26" t="s">
        <v>6457</v>
      </c>
      <c r="C7755" s="26" t="s">
        <v>6458</v>
      </c>
      <c r="D7755" s="8">
        <v>3000</v>
      </c>
      <c r="E7755" s="8"/>
      <c r="F7755" s="92">
        <f t="shared" si="153"/>
        <v>16870</v>
      </c>
    </row>
    <row r="7756" spans="1:10" x14ac:dyDescent="0.25">
      <c r="A7756" s="204">
        <v>43970</v>
      </c>
      <c r="B7756" s="26" t="s">
        <v>1077</v>
      </c>
      <c r="C7756" s="26" t="s">
        <v>6448</v>
      </c>
      <c r="D7756" s="8">
        <f>4090+1290</f>
        <v>5380</v>
      </c>
      <c r="E7756" s="8"/>
      <c r="F7756" s="92">
        <f t="shared" si="153"/>
        <v>11490</v>
      </c>
    </row>
    <row r="7757" spans="1:10" x14ac:dyDescent="0.25">
      <c r="A7757" s="204">
        <v>43970</v>
      </c>
      <c r="B7757" s="26" t="s">
        <v>1077</v>
      </c>
      <c r="C7757" s="26" t="s">
        <v>6447</v>
      </c>
      <c r="D7757" s="8">
        <f>690+2150</f>
        <v>2840</v>
      </c>
      <c r="E7757" s="8"/>
      <c r="F7757" s="92">
        <f t="shared" si="153"/>
        <v>8650</v>
      </c>
    </row>
    <row r="7758" spans="1:10" x14ac:dyDescent="0.25">
      <c r="A7758" s="204">
        <v>43970</v>
      </c>
      <c r="B7758" s="26" t="s">
        <v>5140</v>
      </c>
      <c r="C7758" s="26" t="s">
        <v>41</v>
      </c>
      <c r="D7758" s="8">
        <v>4161</v>
      </c>
      <c r="E7758" s="8"/>
      <c r="F7758" s="92">
        <f t="shared" si="153"/>
        <v>4489</v>
      </c>
    </row>
    <row r="7759" spans="1:10" x14ac:dyDescent="0.25">
      <c r="A7759" s="204">
        <v>43970</v>
      </c>
      <c r="B7759" s="452" t="s">
        <v>6438</v>
      </c>
      <c r="C7759" s="452"/>
      <c r="D7759" s="452"/>
      <c r="E7759" s="8">
        <v>400000</v>
      </c>
      <c r="F7759" s="92">
        <f t="shared" si="153"/>
        <v>404489</v>
      </c>
      <c r="G7759" s="10"/>
      <c r="J7759" s="6"/>
    </row>
    <row r="7760" spans="1:10" x14ac:dyDescent="0.25">
      <c r="A7760" s="204">
        <v>43970</v>
      </c>
      <c r="B7760" s="26" t="s">
        <v>2351</v>
      </c>
      <c r="C7760" s="26" t="s">
        <v>6450</v>
      </c>
      <c r="D7760" s="8">
        <v>104000</v>
      </c>
      <c r="E7760" s="8"/>
      <c r="F7760" s="92">
        <f t="shared" si="153"/>
        <v>300489</v>
      </c>
    </row>
    <row r="7761" spans="1:10" x14ac:dyDescent="0.25">
      <c r="A7761" s="204">
        <v>43970</v>
      </c>
      <c r="B7761" s="26" t="s">
        <v>89</v>
      </c>
      <c r="C7761" s="26" t="s">
        <v>6460</v>
      </c>
      <c r="D7761" s="8">
        <v>1000</v>
      </c>
      <c r="E7761" s="8"/>
      <c r="F7761" s="92">
        <f t="shared" si="153"/>
        <v>299489</v>
      </c>
    </row>
    <row r="7762" spans="1:10" x14ac:dyDescent="0.25">
      <c r="A7762" s="204">
        <v>43970</v>
      </c>
      <c r="B7762" s="26" t="s">
        <v>1515</v>
      </c>
      <c r="C7762" s="26" t="s">
        <v>6444</v>
      </c>
      <c r="D7762" s="8">
        <v>3000</v>
      </c>
      <c r="E7762" s="8"/>
      <c r="F7762" s="92">
        <f t="shared" si="153"/>
        <v>296489</v>
      </c>
    </row>
    <row r="7763" spans="1:10" x14ac:dyDescent="0.25">
      <c r="A7763" s="204">
        <v>43970</v>
      </c>
      <c r="B7763" s="26" t="s">
        <v>6451</v>
      </c>
      <c r="C7763" s="26" t="s">
        <v>41</v>
      </c>
      <c r="D7763" s="8">
        <v>40000</v>
      </c>
      <c r="E7763" s="8"/>
      <c r="F7763" s="92">
        <f t="shared" si="153"/>
        <v>256489</v>
      </c>
    </row>
    <row r="7764" spans="1:10" x14ac:dyDescent="0.25">
      <c r="A7764" s="204">
        <v>43970</v>
      </c>
      <c r="B7764" s="26" t="s">
        <v>4776</v>
      </c>
      <c r="C7764" s="26" t="s">
        <v>5041</v>
      </c>
      <c r="D7764" s="8">
        <v>18000</v>
      </c>
      <c r="E7764" s="8"/>
      <c r="F7764" s="92">
        <f t="shared" si="153"/>
        <v>238489</v>
      </c>
    </row>
    <row r="7765" spans="1:10" x14ac:dyDescent="0.25">
      <c r="A7765" s="204">
        <v>43970</v>
      </c>
      <c r="B7765" s="26" t="s">
        <v>4776</v>
      </c>
      <c r="C7765" s="26" t="s">
        <v>5041</v>
      </c>
      <c r="D7765" s="8">
        <v>4000</v>
      </c>
      <c r="E7765" s="8"/>
      <c r="F7765" s="92">
        <f t="shared" si="153"/>
        <v>234489</v>
      </c>
    </row>
    <row r="7766" spans="1:10" x14ac:dyDescent="0.25">
      <c r="A7766" s="204">
        <v>43970</v>
      </c>
      <c r="B7766" s="452" t="s">
        <v>6452</v>
      </c>
      <c r="C7766" s="452"/>
      <c r="D7766" s="452"/>
      <c r="E7766" s="8">
        <v>80000</v>
      </c>
      <c r="F7766" s="92">
        <f t="shared" si="153"/>
        <v>314489</v>
      </c>
    </row>
    <row r="7767" spans="1:10" x14ac:dyDescent="0.25">
      <c r="A7767" s="204">
        <v>43970</v>
      </c>
      <c r="B7767" s="26" t="s">
        <v>0</v>
      </c>
      <c r="C7767" s="26" t="s">
        <v>4191</v>
      </c>
      <c r="D7767" s="8">
        <v>6000</v>
      </c>
      <c r="E7767" s="8"/>
      <c r="F7767" s="92">
        <f t="shared" si="153"/>
        <v>308489</v>
      </c>
    </row>
    <row r="7768" spans="1:10" x14ac:dyDescent="0.25">
      <c r="A7768" s="204">
        <v>43970</v>
      </c>
      <c r="B7768" s="26" t="s">
        <v>6277</v>
      </c>
      <c r="C7768" s="26" t="s">
        <v>6461</v>
      </c>
      <c r="D7768" s="8">
        <v>9500</v>
      </c>
      <c r="E7768" s="8"/>
      <c r="F7768" s="92">
        <f t="shared" si="153"/>
        <v>298989</v>
      </c>
    </row>
    <row r="7769" spans="1:10" x14ac:dyDescent="0.25">
      <c r="A7769" s="204">
        <v>43971</v>
      </c>
      <c r="B7769" s="26" t="s">
        <v>6019</v>
      </c>
      <c r="C7769" s="26" t="s">
        <v>6463</v>
      </c>
      <c r="D7769" s="8">
        <v>20500</v>
      </c>
      <c r="E7769" s="8"/>
      <c r="F7769" s="92">
        <f t="shared" si="153"/>
        <v>278489</v>
      </c>
    </row>
    <row r="7770" spans="1:10" x14ac:dyDescent="0.25">
      <c r="A7770" s="204">
        <v>43971</v>
      </c>
      <c r="B7770" s="26" t="s">
        <v>1840</v>
      </c>
      <c r="C7770" s="26" t="s">
        <v>6459</v>
      </c>
      <c r="D7770" s="8">
        <v>2500</v>
      </c>
      <c r="E7770" s="8"/>
      <c r="F7770" s="92">
        <f t="shared" si="153"/>
        <v>275989</v>
      </c>
    </row>
    <row r="7771" spans="1:10" x14ac:dyDescent="0.25">
      <c r="A7771" s="204">
        <v>43971</v>
      </c>
      <c r="B7771" s="26" t="s">
        <v>26</v>
      </c>
      <c r="C7771" s="26" t="s">
        <v>6464</v>
      </c>
      <c r="D7771" s="8">
        <v>120</v>
      </c>
      <c r="E7771" s="8"/>
      <c r="F7771" s="92">
        <f t="shared" si="153"/>
        <v>275869</v>
      </c>
    </row>
    <row r="7772" spans="1:10" x14ac:dyDescent="0.25">
      <c r="A7772" s="204">
        <v>43971</v>
      </c>
      <c r="B7772" s="452" t="s">
        <v>6462</v>
      </c>
      <c r="C7772" s="452"/>
      <c r="D7772" s="452"/>
      <c r="E7772" s="8">
        <v>98334</v>
      </c>
      <c r="F7772" s="92">
        <f t="shared" si="153"/>
        <v>374203</v>
      </c>
    </row>
    <row r="7773" spans="1:10" x14ac:dyDescent="0.25">
      <c r="A7773" s="204">
        <v>43971</v>
      </c>
      <c r="B7773" s="26" t="s">
        <v>6285</v>
      </c>
      <c r="C7773" s="26" t="s">
        <v>3336</v>
      </c>
      <c r="D7773" s="8">
        <v>88784</v>
      </c>
      <c r="E7773" s="8"/>
      <c r="F7773" s="92">
        <f t="shared" si="153"/>
        <v>285419</v>
      </c>
    </row>
    <row r="7774" spans="1:10" x14ac:dyDescent="0.25">
      <c r="A7774" s="204">
        <v>43971</v>
      </c>
      <c r="B7774" s="452" t="s">
        <v>6438</v>
      </c>
      <c r="C7774" s="452"/>
      <c r="D7774" s="452"/>
      <c r="E7774" s="8">
        <v>150000</v>
      </c>
      <c r="F7774" s="92">
        <f t="shared" si="153"/>
        <v>435419</v>
      </c>
      <c r="G7774" s="10"/>
      <c r="J7774" s="6"/>
    </row>
    <row r="7775" spans="1:10" x14ac:dyDescent="0.25">
      <c r="A7775" s="204">
        <v>43971</v>
      </c>
      <c r="B7775" s="26" t="s">
        <v>26</v>
      </c>
      <c r="C7775" s="26" t="s">
        <v>6471</v>
      </c>
      <c r="D7775" s="8">
        <v>500</v>
      </c>
      <c r="E7775" s="8"/>
      <c r="F7775" s="92">
        <f t="shared" si="153"/>
        <v>434919</v>
      </c>
    </row>
    <row r="7776" spans="1:10" x14ac:dyDescent="0.25">
      <c r="A7776" s="204">
        <v>43972</v>
      </c>
      <c r="B7776" s="452" t="s">
        <v>6364</v>
      </c>
      <c r="C7776" s="452"/>
      <c r="D7776" s="452"/>
      <c r="E7776" s="8">
        <v>50000</v>
      </c>
      <c r="F7776" s="92">
        <f t="shared" si="153"/>
        <v>484919</v>
      </c>
      <c r="G7776" s="10"/>
      <c r="J7776" s="6"/>
    </row>
    <row r="7777" spans="1:10" ht="90" x14ac:dyDescent="0.25">
      <c r="A7777" s="204">
        <v>43972</v>
      </c>
      <c r="B7777" s="199" t="s">
        <v>6467</v>
      </c>
      <c r="C7777" s="87" t="s">
        <v>6469</v>
      </c>
      <c r="D7777" s="91">
        <v>465000</v>
      </c>
      <c r="E7777" s="8"/>
      <c r="F7777" s="92">
        <f t="shared" si="153"/>
        <v>19919</v>
      </c>
    </row>
    <row r="7778" spans="1:10" x14ac:dyDescent="0.25">
      <c r="A7778" s="204">
        <v>43972</v>
      </c>
      <c r="B7778" s="26" t="s">
        <v>26</v>
      </c>
      <c r="C7778" s="26" t="s">
        <v>6466</v>
      </c>
      <c r="D7778" s="8">
        <v>200</v>
      </c>
      <c r="E7778" s="8"/>
      <c r="F7778" s="92">
        <f t="shared" si="153"/>
        <v>19719</v>
      </c>
    </row>
    <row r="7779" spans="1:10" x14ac:dyDescent="0.25">
      <c r="A7779" s="204">
        <v>43972</v>
      </c>
      <c r="B7779" s="26" t="s">
        <v>248</v>
      </c>
      <c r="C7779" s="26" t="s">
        <v>2016</v>
      </c>
      <c r="D7779" s="8">
        <v>100</v>
      </c>
      <c r="E7779" s="8"/>
      <c r="F7779" s="92">
        <f t="shared" si="153"/>
        <v>19619</v>
      </c>
    </row>
    <row r="7780" spans="1:10" x14ac:dyDescent="0.25">
      <c r="A7780" s="204">
        <v>43979</v>
      </c>
      <c r="B7780" s="452" t="s">
        <v>6476</v>
      </c>
      <c r="C7780" s="452"/>
      <c r="D7780" s="452"/>
      <c r="E7780" s="8">
        <v>14000</v>
      </c>
      <c r="F7780" s="92">
        <f t="shared" si="153"/>
        <v>33619</v>
      </c>
      <c r="G7780" s="10"/>
      <c r="J7780" s="6"/>
    </row>
    <row r="7781" spans="1:10" x14ac:dyDescent="0.25">
      <c r="A7781" s="204">
        <v>43972</v>
      </c>
      <c r="B7781" s="26" t="s">
        <v>6468</v>
      </c>
      <c r="C7781" s="26" t="s">
        <v>6470</v>
      </c>
      <c r="D7781" s="8">
        <v>20500</v>
      </c>
      <c r="E7781" s="8"/>
      <c r="F7781" s="92">
        <f t="shared" si="153"/>
        <v>13119</v>
      </c>
    </row>
    <row r="7782" spans="1:10" x14ac:dyDescent="0.25">
      <c r="A7782" s="204">
        <v>43979</v>
      </c>
      <c r="B7782" s="29" t="s">
        <v>6477</v>
      </c>
      <c r="C7782" s="29" t="s">
        <v>6478</v>
      </c>
      <c r="D7782" s="8">
        <v>770</v>
      </c>
      <c r="E7782" s="8"/>
      <c r="F7782" s="92">
        <f t="shared" si="153"/>
        <v>12349</v>
      </c>
    </row>
    <row r="7783" spans="1:10" x14ac:dyDescent="0.25">
      <c r="A7783" s="204">
        <v>43980</v>
      </c>
      <c r="B7783" s="26" t="s">
        <v>4776</v>
      </c>
      <c r="C7783" s="26" t="s">
        <v>6479</v>
      </c>
      <c r="D7783" s="8">
        <v>10000</v>
      </c>
      <c r="E7783" s="8"/>
      <c r="F7783" s="92">
        <f t="shared" si="153"/>
        <v>2349</v>
      </c>
    </row>
    <row r="7784" spans="1:10" x14ac:dyDescent="0.25">
      <c r="A7784" s="204">
        <v>43980</v>
      </c>
      <c r="B7784" s="452" t="s">
        <v>6481</v>
      </c>
      <c r="C7784" s="452"/>
      <c r="D7784" s="452"/>
      <c r="E7784" s="8">
        <v>60000</v>
      </c>
      <c r="F7784" s="92">
        <f t="shared" si="153"/>
        <v>62349</v>
      </c>
      <c r="G7784" s="10"/>
      <c r="J7784" s="6"/>
    </row>
    <row r="7785" spans="1:10" x14ac:dyDescent="0.25">
      <c r="A7785" s="204">
        <v>43980</v>
      </c>
      <c r="B7785" s="26" t="s">
        <v>85</v>
      </c>
      <c r="C7785" s="26" t="s">
        <v>6472</v>
      </c>
      <c r="D7785" s="8">
        <v>3000</v>
      </c>
      <c r="E7785" s="8"/>
      <c r="F7785" s="92">
        <f t="shared" si="153"/>
        <v>59349</v>
      </c>
    </row>
    <row r="7786" spans="1:10" x14ac:dyDescent="0.25">
      <c r="A7786" s="204">
        <v>43980</v>
      </c>
      <c r="B7786" s="26" t="s">
        <v>26</v>
      </c>
      <c r="C7786" s="26" t="s">
        <v>6483</v>
      </c>
      <c r="D7786" s="8">
        <v>300</v>
      </c>
      <c r="E7786" s="8"/>
      <c r="F7786" s="92">
        <f t="shared" si="153"/>
        <v>59049</v>
      </c>
    </row>
    <row r="7787" spans="1:10" x14ac:dyDescent="0.25">
      <c r="A7787" s="204">
        <v>43980</v>
      </c>
      <c r="B7787" s="26" t="s">
        <v>26</v>
      </c>
      <c r="C7787" s="26" t="s">
        <v>6480</v>
      </c>
      <c r="D7787" s="8">
        <v>100</v>
      </c>
      <c r="E7787" s="8"/>
      <c r="F7787" s="92">
        <f t="shared" si="153"/>
        <v>58949</v>
      </c>
    </row>
    <row r="7788" spans="1:10" x14ac:dyDescent="0.25">
      <c r="A7788" s="204">
        <v>43980</v>
      </c>
      <c r="B7788" s="26" t="s">
        <v>1077</v>
      </c>
      <c r="C7788" s="26" t="s">
        <v>6482</v>
      </c>
      <c r="D7788" s="8">
        <v>49371</v>
      </c>
      <c r="E7788" s="8"/>
      <c r="F7788" s="92">
        <f t="shared" si="153"/>
        <v>9578</v>
      </c>
    </row>
    <row r="7789" spans="1:10" x14ac:dyDescent="0.25">
      <c r="A7789" s="204">
        <v>43980</v>
      </c>
      <c r="B7789" s="452" t="s">
        <v>6484</v>
      </c>
      <c r="C7789" s="452"/>
      <c r="D7789" s="452"/>
      <c r="E7789" s="8">
        <v>200000</v>
      </c>
      <c r="F7789" s="92">
        <f t="shared" si="153"/>
        <v>209578</v>
      </c>
      <c r="G7789" s="10"/>
      <c r="J7789" s="6"/>
    </row>
    <row r="7790" spans="1:10" x14ac:dyDescent="0.25">
      <c r="A7790" s="204">
        <v>43980</v>
      </c>
      <c r="B7790" s="26" t="s">
        <v>6485</v>
      </c>
      <c r="C7790" s="26" t="s">
        <v>5041</v>
      </c>
      <c r="D7790" s="8">
        <v>30000</v>
      </c>
      <c r="E7790" s="8"/>
      <c r="F7790" s="92">
        <f t="shared" si="153"/>
        <v>179578</v>
      </c>
    </row>
    <row r="7791" spans="1:10" x14ac:dyDescent="0.25">
      <c r="A7791" s="204">
        <v>43980</v>
      </c>
      <c r="B7791" s="26" t="s">
        <v>6486</v>
      </c>
      <c r="C7791" s="26" t="s">
        <v>41</v>
      </c>
      <c r="D7791" s="8">
        <v>40000</v>
      </c>
      <c r="E7791" s="8"/>
      <c r="F7791" s="92">
        <f t="shared" si="153"/>
        <v>139578</v>
      </c>
    </row>
    <row r="7792" spans="1:10" x14ac:dyDescent="0.25">
      <c r="A7792" s="204">
        <v>43980</v>
      </c>
      <c r="B7792" s="26" t="s">
        <v>2351</v>
      </c>
      <c r="C7792" s="26" t="s">
        <v>439</v>
      </c>
      <c r="D7792" s="8">
        <v>1000</v>
      </c>
      <c r="E7792" s="8"/>
      <c r="F7792" s="92">
        <f t="shared" si="153"/>
        <v>138578</v>
      </c>
    </row>
    <row r="7793" spans="1:10" x14ac:dyDescent="0.25">
      <c r="A7793" s="204">
        <v>43980</v>
      </c>
      <c r="B7793" s="26" t="s">
        <v>14</v>
      </c>
      <c r="C7793" s="26" t="s">
        <v>6487</v>
      </c>
      <c r="D7793" s="8">
        <v>2000</v>
      </c>
      <c r="E7793" s="8"/>
      <c r="F7793" s="92">
        <f t="shared" si="153"/>
        <v>136578</v>
      </c>
    </row>
    <row r="7794" spans="1:10" x14ac:dyDescent="0.25">
      <c r="A7794" s="204">
        <v>43980</v>
      </c>
      <c r="B7794" s="26" t="s">
        <v>6250</v>
      </c>
      <c r="C7794" s="26" t="s">
        <v>6488</v>
      </c>
      <c r="D7794" s="8">
        <v>2000</v>
      </c>
      <c r="E7794" s="8"/>
      <c r="F7794" s="92">
        <f t="shared" si="153"/>
        <v>134578</v>
      </c>
    </row>
    <row r="7795" spans="1:10" ht="30" x14ac:dyDescent="0.25">
      <c r="A7795" s="204">
        <v>43981</v>
      </c>
      <c r="B7795" s="26" t="s">
        <v>6200</v>
      </c>
      <c r="C7795" s="87" t="s">
        <v>6489</v>
      </c>
      <c r="D7795" s="8">
        <v>500</v>
      </c>
      <c r="E7795" s="8"/>
      <c r="F7795" s="92">
        <f t="shared" si="153"/>
        <v>134078</v>
      </c>
    </row>
    <row r="7796" spans="1:10" x14ac:dyDescent="0.25">
      <c r="A7796" s="204">
        <v>43983</v>
      </c>
      <c r="B7796" s="26" t="s">
        <v>6492</v>
      </c>
      <c r="C7796" s="87" t="s">
        <v>6493</v>
      </c>
      <c r="D7796" s="8">
        <v>73200</v>
      </c>
      <c r="E7796" s="8"/>
      <c r="F7796" s="92">
        <f t="shared" si="153"/>
        <v>60878</v>
      </c>
      <c r="G7796" s="25"/>
    </row>
    <row r="7797" spans="1:10" x14ac:dyDescent="0.25">
      <c r="A7797" s="204">
        <v>43983</v>
      </c>
      <c r="B7797" s="26" t="s">
        <v>542</v>
      </c>
      <c r="C7797" s="87" t="s">
        <v>5041</v>
      </c>
      <c r="D7797" s="8">
        <v>23750</v>
      </c>
      <c r="E7797" s="8"/>
      <c r="F7797" s="92">
        <f t="shared" si="153"/>
        <v>37128</v>
      </c>
    </row>
    <row r="7798" spans="1:10" x14ac:dyDescent="0.25">
      <c r="A7798" s="204">
        <v>43984</v>
      </c>
      <c r="B7798" s="26" t="s">
        <v>85</v>
      </c>
      <c r="C7798" s="87" t="s">
        <v>4613</v>
      </c>
      <c r="D7798" s="8">
        <v>5000</v>
      </c>
      <c r="E7798" s="8"/>
      <c r="F7798" s="92">
        <f t="shared" si="153"/>
        <v>32128</v>
      </c>
    </row>
    <row r="7799" spans="1:10" x14ac:dyDescent="0.25">
      <c r="A7799" s="204">
        <v>43984</v>
      </c>
      <c r="B7799" s="26" t="s">
        <v>26</v>
      </c>
      <c r="C7799" s="87" t="s">
        <v>6494</v>
      </c>
      <c r="D7799" s="8">
        <v>5000</v>
      </c>
      <c r="E7799" s="8"/>
      <c r="F7799" s="92">
        <f t="shared" si="153"/>
        <v>27128</v>
      </c>
    </row>
    <row r="7800" spans="1:10" x14ac:dyDescent="0.25">
      <c r="A7800" s="204">
        <v>43984</v>
      </c>
      <c r="B7800" s="26" t="s">
        <v>58</v>
      </c>
      <c r="C7800" s="87" t="s">
        <v>6495</v>
      </c>
      <c r="D7800" s="8">
        <v>5000</v>
      </c>
      <c r="E7800" s="8"/>
      <c r="F7800" s="92">
        <f t="shared" si="153"/>
        <v>22128</v>
      </c>
    </row>
    <row r="7801" spans="1:10" x14ac:dyDescent="0.25">
      <c r="A7801" s="204">
        <v>43985</v>
      </c>
      <c r="B7801" s="26" t="s">
        <v>19</v>
      </c>
      <c r="C7801" s="26" t="s">
        <v>6496</v>
      </c>
      <c r="D7801" s="8">
        <v>1000</v>
      </c>
      <c r="E7801" s="8"/>
      <c r="F7801" s="92">
        <f t="shared" si="153"/>
        <v>21128</v>
      </c>
    </row>
    <row r="7802" spans="1:10" x14ac:dyDescent="0.25">
      <c r="A7802" s="204">
        <v>43985</v>
      </c>
      <c r="B7802" s="26" t="s">
        <v>26</v>
      </c>
      <c r="C7802" s="26" t="s">
        <v>5995</v>
      </c>
      <c r="D7802" s="8">
        <v>600</v>
      </c>
      <c r="E7802" s="8"/>
      <c r="F7802" s="92">
        <f t="shared" si="153"/>
        <v>20528</v>
      </c>
    </row>
    <row r="7803" spans="1:10" x14ac:dyDescent="0.25">
      <c r="A7803" s="204">
        <v>43985</v>
      </c>
      <c r="B7803" s="26" t="s">
        <v>26</v>
      </c>
      <c r="C7803" s="26" t="s">
        <v>65</v>
      </c>
      <c r="D7803" s="8">
        <v>1800</v>
      </c>
      <c r="E7803" s="8"/>
      <c r="F7803" s="92">
        <f t="shared" si="153"/>
        <v>18728</v>
      </c>
    </row>
    <row r="7804" spans="1:10" x14ac:dyDescent="0.25">
      <c r="A7804" s="204">
        <v>43985</v>
      </c>
      <c r="B7804" s="452" t="s">
        <v>6438</v>
      </c>
      <c r="C7804" s="452"/>
      <c r="D7804" s="452"/>
      <c r="E7804" s="8">
        <v>100000</v>
      </c>
      <c r="F7804" s="92">
        <f t="shared" si="153"/>
        <v>118728</v>
      </c>
      <c r="G7804" s="10"/>
      <c r="J7804" s="6"/>
    </row>
    <row r="7805" spans="1:10" x14ac:dyDescent="0.25">
      <c r="A7805" s="204">
        <v>43985</v>
      </c>
      <c r="B7805" s="26" t="s">
        <v>1973</v>
      </c>
      <c r="C7805" s="26" t="s">
        <v>6497</v>
      </c>
      <c r="D7805" s="8">
        <v>93000</v>
      </c>
      <c r="E7805" s="8"/>
      <c r="F7805" s="92">
        <f t="shared" si="153"/>
        <v>25728</v>
      </c>
    </row>
    <row r="7806" spans="1:10" x14ac:dyDescent="0.25">
      <c r="A7806" s="204">
        <v>43987</v>
      </c>
      <c r="B7806" s="26" t="s">
        <v>26</v>
      </c>
      <c r="C7806" s="26" t="s">
        <v>6499</v>
      </c>
      <c r="D7806" s="8">
        <v>2075</v>
      </c>
      <c r="E7806" s="8"/>
      <c r="F7806" s="92">
        <f t="shared" si="153"/>
        <v>23653</v>
      </c>
    </row>
    <row r="7807" spans="1:10" x14ac:dyDescent="0.25">
      <c r="A7807" s="204">
        <v>43987</v>
      </c>
      <c r="B7807" s="26" t="s">
        <v>14</v>
      </c>
      <c r="C7807" s="26" t="s">
        <v>6500</v>
      </c>
      <c r="D7807" s="8">
        <v>9426</v>
      </c>
      <c r="E7807" s="8"/>
      <c r="F7807" s="92">
        <f t="shared" si="153"/>
        <v>14227</v>
      </c>
    </row>
    <row r="7808" spans="1:10" x14ac:dyDescent="0.25">
      <c r="A7808" s="204">
        <v>43987</v>
      </c>
      <c r="B7808" s="26" t="s">
        <v>14</v>
      </c>
      <c r="C7808" s="26" t="s">
        <v>6516</v>
      </c>
      <c r="D7808" s="8">
        <v>6500</v>
      </c>
      <c r="E7808" s="8"/>
      <c r="F7808" s="92">
        <f t="shared" si="153"/>
        <v>7727</v>
      </c>
    </row>
    <row r="7809" spans="1:10" x14ac:dyDescent="0.25">
      <c r="A7809" s="204">
        <v>43988</v>
      </c>
      <c r="B7809" s="452" t="s">
        <v>6438</v>
      </c>
      <c r="C7809" s="452"/>
      <c r="D7809" s="452"/>
      <c r="E7809" s="8">
        <v>100000</v>
      </c>
      <c r="F7809" s="92">
        <f t="shared" ref="F7809:F7873" si="154">F7808+E7809-D7809</f>
        <v>107727</v>
      </c>
      <c r="G7809" s="10"/>
      <c r="J7809" s="6"/>
    </row>
    <row r="7810" spans="1:10" x14ac:dyDescent="0.25">
      <c r="A7810" s="204">
        <v>43988</v>
      </c>
      <c r="B7810" s="26" t="s">
        <v>6063</v>
      </c>
      <c r="C7810" s="26" t="s">
        <v>6506</v>
      </c>
      <c r="D7810" s="8">
        <v>2000</v>
      </c>
      <c r="E7810" s="8"/>
      <c r="F7810" s="92">
        <f t="shared" si="154"/>
        <v>105727</v>
      </c>
    </row>
    <row r="7811" spans="1:10" x14ac:dyDescent="0.25">
      <c r="A7811" s="204">
        <v>43988</v>
      </c>
      <c r="B7811" s="26" t="s">
        <v>85</v>
      </c>
      <c r="C7811" s="26" t="s">
        <v>6507</v>
      </c>
      <c r="D7811" s="8">
        <v>1000</v>
      </c>
      <c r="E7811" s="8"/>
      <c r="F7811" s="92">
        <f t="shared" si="154"/>
        <v>104727</v>
      </c>
    </row>
    <row r="7812" spans="1:10" x14ac:dyDescent="0.25">
      <c r="A7812" s="204">
        <v>43988</v>
      </c>
      <c r="B7812" s="26" t="s">
        <v>6508</v>
      </c>
      <c r="C7812" s="26" t="s">
        <v>6509</v>
      </c>
      <c r="D7812" s="8">
        <v>20000</v>
      </c>
      <c r="E7812" s="8"/>
      <c r="F7812" s="92">
        <f t="shared" si="154"/>
        <v>84727</v>
      </c>
    </row>
    <row r="7813" spans="1:10" x14ac:dyDescent="0.25">
      <c r="A7813" s="204">
        <v>43988</v>
      </c>
      <c r="B7813" s="26" t="s">
        <v>58</v>
      </c>
      <c r="C7813" s="26" t="s">
        <v>6511</v>
      </c>
      <c r="D7813" s="8">
        <v>2500</v>
      </c>
      <c r="E7813" s="8"/>
      <c r="F7813" s="92">
        <f t="shared" si="154"/>
        <v>82227</v>
      </c>
    </row>
    <row r="7814" spans="1:10" x14ac:dyDescent="0.25">
      <c r="A7814" s="204">
        <v>43990</v>
      </c>
      <c r="B7814" s="26" t="s">
        <v>19</v>
      </c>
      <c r="C7814" s="26" t="s">
        <v>6512</v>
      </c>
      <c r="D7814" s="8">
        <v>6000</v>
      </c>
      <c r="E7814" s="8"/>
      <c r="F7814" s="92">
        <f t="shared" si="154"/>
        <v>76227</v>
      </c>
    </row>
    <row r="7815" spans="1:10" x14ac:dyDescent="0.25">
      <c r="A7815" s="204">
        <v>43990</v>
      </c>
      <c r="B7815" s="26" t="s">
        <v>14</v>
      </c>
      <c r="C7815" s="26" t="s">
        <v>6513</v>
      </c>
      <c r="D7815" s="8">
        <f>56510/2</f>
        <v>28255</v>
      </c>
      <c r="E7815" s="8"/>
      <c r="F7815" s="92">
        <f t="shared" si="154"/>
        <v>47972</v>
      </c>
    </row>
    <row r="7816" spans="1:10" x14ac:dyDescent="0.25">
      <c r="A7816" s="204">
        <v>43990</v>
      </c>
      <c r="B7816" s="26" t="s">
        <v>14</v>
      </c>
      <c r="C7816" s="26" t="s">
        <v>6514</v>
      </c>
      <c r="D7816" s="8">
        <f>56510/2</f>
        <v>28255</v>
      </c>
      <c r="E7816" s="8"/>
      <c r="F7816" s="92">
        <f t="shared" si="154"/>
        <v>19717</v>
      </c>
    </row>
    <row r="7817" spans="1:10" x14ac:dyDescent="0.25">
      <c r="A7817" s="204">
        <v>43990</v>
      </c>
      <c r="B7817" s="26" t="s">
        <v>5140</v>
      </c>
      <c r="C7817" s="26" t="s">
        <v>6515</v>
      </c>
      <c r="D7817" s="8">
        <v>4300</v>
      </c>
      <c r="E7817" s="8"/>
      <c r="F7817" s="92">
        <f t="shared" si="154"/>
        <v>15417</v>
      </c>
    </row>
    <row r="7818" spans="1:10" x14ac:dyDescent="0.25">
      <c r="A7818" s="204">
        <v>43990</v>
      </c>
      <c r="B7818" s="26" t="s">
        <v>85</v>
      </c>
      <c r="C7818" s="26" t="s">
        <v>6548</v>
      </c>
      <c r="D7818" s="8">
        <v>10000</v>
      </c>
      <c r="E7818" s="8"/>
      <c r="F7818" s="92">
        <f t="shared" si="154"/>
        <v>5417</v>
      </c>
    </row>
    <row r="7819" spans="1:10" x14ac:dyDescent="0.25">
      <c r="A7819" s="204">
        <v>43991</v>
      </c>
      <c r="B7819" s="26" t="s">
        <v>26</v>
      </c>
      <c r="C7819" s="26" t="s">
        <v>1627</v>
      </c>
      <c r="D7819" s="8">
        <v>10</v>
      </c>
      <c r="E7819" s="8"/>
      <c r="F7819" s="92">
        <f t="shared" si="154"/>
        <v>5407</v>
      </c>
    </row>
    <row r="7820" spans="1:10" x14ac:dyDescent="0.25">
      <c r="A7820" s="204">
        <v>43991</v>
      </c>
      <c r="B7820" s="452" t="s">
        <v>6558</v>
      </c>
      <c r="C7820" s="452"/>
      <c r="D7820" s="452"/>
      <c r="E7820" s="8">
        <v>7500</v>
      </c>
      <c r="F7820" s="92">
        <f t="shared" si="154"/>
        <v>12907</v>
      </c>
      <c r="G7820" s="10"/>
      <c r="J7820" s="6"/>
    </row>
    <row r="7821" spans="1:10" x14ac:dyDescent="0.25">
      <c r="A7821" s="204">
        <v>43991</v>
      </c>
      <c r="B7821" s="26" t="s">
        <v>85</v>
      </c>
      <c r="C7821" s="26" t="s">
        <v>6547</v>
      </c>
      <c r="D7821" s="8">
        <v>5000</v>
      </c>
      <c r="E7821" s="8"/>
      <c r="F7821" s="92">
        <f t="shared" si="154"/>
        <v>7907</v>
      </c>
    </row>
    <row r="7822" spans="1:10" x14ac:dyDescent="0.25">
      <c r="A7822" s="204">
        <v>43991</v>
      </c>
      <c r="B7822" s="26" t="s">
        <v>6250</v>
      </c>
      <c r="C7822" s="26" t="s">
        <v>6520</v>
      </c>
      <c r="D7822" s="8">
        <v>4000</v>
      </c>
      <c r="E7822" s="8"/>
      <c r="F7822" s="92">
        <f t="shared" si="154"/>
        <v>3907</v>
      </c>
    </row>
    <row r="7823" spans="1:10" x14ac:dyDescent="0.25">
      <c r="A7823" s="204">
        <v>43991</v>
      </c>
      <c r="B7823" s="452" t="s">
        <v>6438</v>
      </c>
      <c r="C7823" s="452"/>
      <c r="D7823" s="452"/>
      <c r="E7823" s="8">
        <v>385000</v>
      </c>
      <c r="F7823" s="92">
        <f t="shared" si="154"/>
        <v>388907</v>
      </c>
      <c r="G7823" s="10"/>
      <c r="J7823" s="6"/>
    </row>
    <row r="7824" spans="1:10" x14ac:dyDescent="0.25">
      <c r="A7824" s="204">
        <v>43991</v>
      </c>
      <c r="B7824" s="26" t="s">
        <v>6522</v>
      </c>
      <c r="C7824" s="26" t="s">
        <v>5711</v>
      </c>
      <c r="D7824" s="8">
        <v>600</v>
      </c>
      <c r="E7824" s="8"/>
      <c r="F7824" s="92">
        <f t="shared" si="154"/>
        <v>388307</v>
      </c>
    </row>
    <row r="7825" spans="1:10" x14ac:dyDescent="0.25">
      <c r="A7825" s="204">
        <v>43991</v>
      </c>
      <c r="B7825" s="26" t="s">
        <v>6315</v>
      </c>
      <c r="C7825" s="26" t="s">
        <v>6523</v>
      </c>
      <c r="D7825" s="8">
        <v>1000</v>
      </c>
      <c r="E7825" s="8"/>
      <c r="F7825" s="92">
        <f t="shared" si="154"/>
        <v>387307</v>
      </c>
    </row>
    <row r="7826" spans="1:10" x14ac:dyDescent="0.25">
      <c r="A7826" s="204">
        <v>43991</v>
      </c>
      <c r="B7826" s="26" t="s">
        <v>4776</v>
      </c>
      <c r="C7826" s="26" t="s">
        <v>6524</v>
      </c>
      <c r="D7826" s="8">
        <v>100000</v>
      </c>
      <c r="E7826" s="8"/>
      <c r="F7826" s="92">
        <f t="shared" si="154"/>
        <v>287307</v>
      </c>
    </row>
    <row r="7827" spans="1:10" x14ac:dyDescent="0.25">
      <c r="A7827" s="204">
        <v>43992</v>
      </c>
      <c r="B7827" s="26" t="s">
        <v>58</v>
      </c>
      <c r="C7827" s="137" t="s">
        <v>6525</v>
      </c>
      <c r="D7827" s="8">
        <v>6000</v>
      </c>
      <c r="E7827" s="8"/>
      <c r="F7827" s="92">
        <f t="shared" si="154"/>
        <v>281307</v>
      </c>
    </row>
    <row r="7828" spans="1:10" x14ac:dyDescent="0.25">
      <c r="A7828" s="204">
        <v>43992</v>
      </c>
      <c r="B7828" s="26" t="s">
        <v>0</v>
      </c>
      <c r="C7828" s="26" t="s">
        <v>6542</v>
      </c>
      <c r="D7828" s="8">
        <v>66000</v>
      </c>
      <c r="E7828" s="8"/>
      <c r="F7828" s="92">
        <f t="shared" si="154"/>
        <v>215307</v>
      </c>
    </row>
    <row r="7829" spans="1:10" x14ac:dyDescent="0.25">
      <c r="A7829" s="204">
        <v>43992</v>
      </c>
      <c r="B7829" s="26" t="s">
        <v>5140</v>
      </c>
      <c r="C7829" s="26" t="s">
        <v>41</v>
      </c>
      <c r="D7829" s="8">
        <v>4370</v>
      </c>
      <c r="E7829" s="8"/>
      <c r="F7829" s="92">
        <f t="shared" si="154"/>
        <v>210937</v>
      </c>
    </row>
    <row r="7830" spans="1:10" x14ac:dyDescent="0.25">
      <c r="A7830" s="204">
        <v>43992</v>
      </c>
      <c r="B7830" s="26" t="s">
        <v>26</v>
      </c>
      <c r="C7830" s="26" t="s">
        <v>6067</v>
      </c>
      <c r="D7830" s="8">
        <v>527</v>
      </c>
      <c r="E7830" s="8"/>
      <c r="F7830" s="92">
        <f t="shared" si="154"/>
        <v>210410</v>
      </c>
    </row>
    <row r="7831" spans="1:10" x14ac:dyDescent="0.25">
      <c r="A7831" s="204">
        <v>43992</v>
      </c>
      <c r="B7831" s="26" t="s">
        <v>6526</v>
      </c>
      <c r="C7831" s="26" t="s">
        <v>41</v>
      </c>
      <c r="D7831" s="8">
        <v>650</v>
      </c>
      <c r="E7831" s="8"/>
      <c r="F7831" s="92">
        <f t="shared" si="154"/>
        <v>209760</v>
      </c>
    </row>
    <row r="7832" spans="1:10" x14ac:dyDescent="0.25">
      <c r="A7832" s="204">
        <v>43992</v>
      </c>
      <c r="B7832" s="26" t="s">
        <v>26</v>
      </c>
      <c r="C7832" s="26" t="s">
        <v>6527</v>
      </c>
      <c r="D7832" s="8">
        <v>480</v>
      </c>
      <c r="E7832" s="8"/>
      <c r="F7832" s="92">
        <f t="shared" si="154"/>
        <v>209280</v>
      </c>
      <c r="G7832" s="25"/>
    </row>
    <row r="7833" spans="1:10" x14ac:dyDescent="0.25">
      <c r="A7833" s="204">
        <v>43992</v>
      </c>
      <c r="B7833" s="452" t="s">
        <v>6529</v>
      </c>
      <c r="C7833" s="452"/>
      <c r="D7833" s="452"/>
      <c r="E7833" s="8">
        <v>10500</v>
      </c>
      <c r="F7833" s="92">
        <f t="shared" si="154"/>
        <v>219780</v>
      </c>
      <c r="G7833" s="10"/>
      <c r="J7833" s="6"/>
    </row>
    <row r="7834" spans="1:10" x14ac:dyDescent="0.25">
      <c r="A7834" s="204">
        <v>43992</v>
      </c>
      <c r="B7834" s="26" t="s">
        <v>2351</v>
      </c>
      <c r="C7834" s="26" t="s">
        <v>6528</v>
      </c>
      <c r="D7834" s="8">
        <v>18000</v>
      </c>
      <c r="E7834" s="8"/>
      <c r="F7834" s="92">
        <f t="shared" si="154"/>
        <v>201780</v>
      </c>
    </row>
    <row r="7835" spans="1:10" x14ac:dyDescent="0.25">
      <c r="A7835" s="204">
        <v>43992</v>
      </c>
      <c r="B7835" s="26" t="s">
        <v>4015</v>
      </c>
      <c r="C7835" s="26" t="s">
        <v>6530</v>
      </c>
      <c r="D7835" s="8">
        <v>1000</v>
      </c>
      <c r="E7835" s="8"/>
      <c r="F7835" s="92">
        <f t="shared" si="154"/>
        <v>200780</v>
      </c>
    </row>
    <row r="7836" spans="1:10" x14ac:dyDescent="0.25">
      <c r="A7836" s="204">
        <v>43993</v>
      </c>
      <c r="B7836" s="452" t="s">
        <v>6562</v>
      </c>
      <c r="C7836" s="452"/>
      <c r="D7836" s="452"/>
      <c r="E7836" s="8">
        <v>200000</v>
      </c>
      <c r="F7836" s="92">
        <f t="shared" si="154"/>
        <v>400780</v>
      </c>
      <c r="G7836" s="10"/>
      <c r="J7836" s="6"/>
    </row>
    <row r="7837" spans="1:10" x14ac:dyDescent="0.25">
      <c r="A7837" s="204">
        <v>43993</v>
      </c>
      <c r="B7837" s="26" t="s">
        <v>1790</v>
      </c>
      <c r="C7837" s="26" t="s">
        <v>6531</v>
      </c>
      <c r="D7837" s="8">
        <v>3000</v>
      </c>
      <c r="E7837" s="8"/>
      <c r="F7837" s="92">
        <f t="shared" si="154"/>
        <v>397780</v>
      </c>
    </row>
    <row r="7838" spans="1:10" x14ac:dyDescent="0.25">
      <c r="A7838" s="204">
        <v>43993</v>
      </c>
      <c r="B7838" s="26" t="s">
        <v>6250</v>
      </c>
      <c r="C7838" s="26" t="s">
        <v>6532</v>
      </c>
      <c r="D7838" s="8">
        <v>2000</v>
      </c>
      <c r="E7838" s="8"/>
      <c r="F7838" s="92">
        <f t="shared" si="154"/>
        <v>395780</v>
      </c>
    </row>
    <row r="7839" spans="1:10" x14ac:dyDescent="0.25">
      <c r="A7839" s="204">
        <v>43993</v>
      </c>
      <c r="B7839" s="452" t="s">
        <v>6562</v>
      </c>
      <c r="C7839" s="452"/>
      <c r="D7839" s="452"/>
      <c r="E7839" s="8">
        <v>300000</v>
      </c>
      <c r="F7839" s="92">
        <f t="shared" si="154"/>
        <v>695780</v>
      </c>
      <c r="G7839" s="10"/>
      <c r="J7839" s="6"/>
    </row>
    <row r="7840" spans="1:10" ht="17.45" customHeight="1" x14ac:dyDescent="0.25">
      <c r="A7840" s="204">
        <v>43993</v>
      </c>
      <c r="B7840" s="26" t="s">
        <v>26</v>
      </c>
      <c r="C7840" s="26" t="s">
        <v>6545</v>
      </c>
      <c r="D7840" s="8">
        <f>4800+500</f>
        <v>5300</v>
      </c>
      <c r="E7840" s="8"/>
      <c r="F7840" s="92">
        <f t="shared" si="154"/>
        <v>690480</v>
      </c>
    </row>
    <row r="7841" spans="1:10" x14ac:dyDescent="0.25">
      <c r="A7841" s="204">
        <v>43993</v>
      </c>
      <c r="B7841" s="26" t="s">
        <v>26</v>
      </c>
      <c r="C7841" s="26" t="s">
        <v>6537</v>
      </c>
      <c r="D7841" s="8">
        <v>1000</v>
      </c>
      <c r="E7841" s="8"/>
      <c r="F7841" s="92">
        <f t="shared" si="154"/>
        <v>689480</v>
      </c>
    </row>
    <row r="7842" spans="1:10" x14ac:dyDescent="0.25">
      <c r="A7842" s="204">
        <v>43993</v>
      </c>
      <c r="B7842" s="26" t="s">
        <v>14</v>
      </c>
      <c r="C7842" s="26" t="s">
        <v>6546</v>
      </c>
      <c r="D7842" s="8">
        <v>25000</v>
      </c>
      <c r="E7842" s="8"/>
      <c r="F7842" s="92">
        <f t="shared" si="154"/>
        <v>664480</v>
      </c>
    </row>
    <row r="7843" spans="1:10" x14ac:dyDescent="0.25">
      <c r="A7843" s="204">
        <v>43993</v>
      </c>
      <c r="B7843" s="26" t="s">
        <v>542</v>
      </c>
      <c r="C7843" s="26" t="s">
        <v>6540</v>
      </c>
      <c r="D7843" s="8">
        <v>64810</v>
      </c>
      <c r="E7843" s="8"/>
      <c r="F7843" s="92">
        <f t="shared" si="154"/>
        <v>599670</v>
      </c>
    </row>
    <row r="7844" spans="1:10" x14ac:dyDescent="0.25">
      <c r="A7844" s="204">
        <v>43993</v>
      </c>
      <c r="B7844" s="26" t="s">
        <v>5479</v>
      </c>
      <c r="C7844" s="26" t="s">
        <v>6539</v>
      </c>
      <c r="D7844" s="8">
        <v>650</v>
      </c>
      <c r="E7844" s="8"/>
      <c r="F7844" s="92">
        <f t="shared" si="154"/>
        <v>599020</v>
      </c>
    </row>
    <row r="7845" spans="1:10" x14ac:dyDescent="0.25">
      <c r="A7845" s="204">
        <v>43993</v>
      </c>
      <c r="B7845" s="26" t="s">
        <v>26</v>
      </c>
      <c r="C7845" s="26" t="s">
        <v>41</v>
      </c>
      <c r="D7845" s="8">
        <f>70+180+50+70</f>
        <v>370</v>
      </c>
      <c r="E7845" s="8"/>
      <c r="F7845" s="92">
        <f t="shared" si="154"/>
        <v>598650</v>
      </c>
    </row>
    <row r="7846" spans="1:10" x14ac:dyDescent="0.25">
      <c r="A7846" s="204">
        <v>43994</v>
      </c>
      <c r="B7846" s="26" t="s">
        <v>6541</v>
      </c>
      <c r="C7846" s="26" t="s">
        <v>6532</v>
      </c>
      <c r="D7846" s="8">
        <v>100000</v>
      </c>
      <c r="E7846" s="8"/>
      <c r="F7846" s="92">
        <f t="shared" si="154"/>
        <v>498650</v>
      </c>
    </row>
    <row r="7847" spans="1:10" x14ac:dyDescent="0.25">
      <c r="A7847" s="204">
        <v>43994</v>
      </c>
      <c r="B7847" s="26" t="s">
        <v>0</v>
      </c>
      <c r="C7847" s="26" t="s">
        <v>6543</v>
      </c>
      <c r="D7847" s="8">
        <v>5000</v>
      </c>
      <c r="E7847" s="8"/>
      <c r="F7847" s="92">
        <f t="shared" si="154"/>
        <v>493650</v>
      </c>
    </row>
    <row r="7848" spans="1:10" x14ac:dyDescent="0.25">
      <c r="A7848" s="204">
        <v>43994</v>
      </c>
      <c r="B7848" s="26" t="s">
        <v>0</v>
      </c>
      <c r="C7848" s="26" t="s">
        <v>6544</v>
      </c>
      <c r="D7848" s="8">
        <v>600</v>
      </c>
      <c r="E7848" s="8"/>
      <c r="F7848" s="92">
        <f t="shared" si="154"/>
        <v>493050</v>
      </c>
    </row>
    <row r="7849" spans="1:10" x14ac:dyDescent="0.25">
      <c r="A7849" s="204">
        <v>43994</v>
      </c>
      <c r="B7849" s="26" t="s">
        <v>10</v>
      </c>
      <c r="C7849" s="26" t="s">
        <v>6549</v>
      </c>
      <c r="D7849" s="8">
        <v>4000</v>
      </c>
      <c r="E7849" s="8"/>
      <c r="F7849" s="92">
        <f t="shared" si="154"/>
        <v>489050</v>
      </c>
    </row>
    <row r="7850" spans="1:10" ht="30" x14ac:dyDescent="0.25">
      <c r="A7850" s="204">
        <v>43994</v>
      </c>
      <c r="B7850" s="26" t="s">
        <v>6550</v>
      </c>
      <c r="C7850" s="87" t="s">
        <v>6551</v>
      </c>
      <c r="D7850" s="8">
        <v>1200</v>
      </c>
      <c r="E7850" s="8"/>
      <c r="F7850" s="92">
        <f t="shared" si="154"/>
        <v>487850</v>
      </c>
    </row>
    <row r="7851" spans="1:10" ht="30" x14ac:dyDescent="0.25">
      <c r="A7851" s="204">
        <v>43994</v>
      </c>
      <c r="B7851" s="26" t="s">
        <v>6492</v>
      </c>
      <c r="C7851" s="87" t="s">
        <v>6552</v>
      </c>
      <c r="D7851" s="8">
        <v>80300</v>
      </c>
      <c r="E7851" s="8"/>
      <c r="F7851" s="92">
        <f t="shared" si="154"/>
        <v>407550</v>
      </c>
    </row>
    <row r="7852" spans="1:10" ht="45" x14ac:dyDescent="0.25">
      <c r="A7852" s="204">
        <v>43995</v>
      </c>
      <c r="B7852" s="162" t="s">
        <v>47</v>
      </c>
      <c r="C7852" s="253" t="s">
        <v>6557</v>
      </c>
      <c r="D7852" s="8">
        <v>394016</v>
      </c>
      <c r="E7852" s="8"/>
      <c r="F7852" s="92">
        <f t="shared" si="154"/>
        <v>13534</v>
      </c>
    </row>
    <row r="7853" spans="1:10" x14ac:dyDescent="0.25">
      <c r="A7853" s="204">
        <v>43997</v>
      </c>
      <c r="B7853" s="452" t="s">
        <v>6553</v>
      </c>
      <c r="C7853" s="452"/>
      <c r="D7853" s="452"/>
      <c r="E7853" s="8">
        <v>360000</v>
      </c>
      <c r="F7853" s="92">
        <f t="shared" si="154"/>
        <v>373534</v>
      </c>
      <c r="G7853" s="10"/>
      <c r="J7853" s="6"/>
    </row>
    <row r="7854" spans="1:10" x14ac:dyDescent="0.25">
      <c r="A7854" s="204">
        <v>43997</v>
      </c>
      <c r="B7854" s="26" t="s">
        <v>14</v>
      </c>
      <c r="C7854" s="87" t="s">
        <v>295</v>
      </c>
      <c r="D7854" s="8">
        <v>125000</v>
      </c>
      <c r="E7854" s="8"/>
      <c r="F7854" s="92">
        <f t="shared" si="154"/>
        <v>248534</v>
      </c>
    </row>
    <row r="7855" spans="1:10" x14ac:dyDescent="0.25">
      <c r="A7855" s="204">
        <v>43997</v>
      </c>
      <c r="B7855" s="26" t="s">
        <v>26</v>
      </c>
      <c r="C7855" s="87" t="s">
        <v>6554</v>
      </c>
      <c r="D7855" s="8">
        <v>2840</v>
      </c>
      <c r="E7855" s="8"/>
      <c r="F7855" s="92">
        <f t="shared" si="154"/>
        <v>245694</v>
      </c>
    </row>
    <row r="7856" spans="1:10" x14ac:dyDescent="0.25">
      <c r="A7856" s="204">
        <v>43997</v>
      </c>
      <c r="B7856" s="26" t="s">
        <v>6555</v>
      </c>
      <c r="C7856" s="87" t="s">
        <v>6556</v>
      </c>
      <c r="D7856" s="8">
        <v>3500</v>
      </c>
      <c r="E7856" s="8"/>
      <c r="F7856" s="92">
        <f t="shared" si="154"/>
        <v>242194</v>
      </c>
    </row>
    <row r="7857" spans="1:6" x14ac:dyDescent="0.25">
      <c r="A7857" s="204">
        <v>43997</v>
      </c>
      <c r="B7857" s="26" t="s">
        <v>6285</v>
      </c>
      <c r="C7857" s="87" t="s">
        <v>6559</v>
      </c>
      <c r="D7857" s="8">
        <v>60743</v>
      </c>
      <c r="E7857" s="8"/>
      <c r="F7857" s="92">
        <f t="shared" si="154"/>
        <v>181451</v>
      </c>
    </row>
    <row r="7858" spans="1:6" x14ac:dyDescent="0.25">
      <c r="A7858" s="204">
        <v>43997</v>
      </c>
      <c r="B7858" s="26" t="s">
        <v>6560</v>
      </c>
      <c r="C7858" s="87" t="s">
        <v>6561</v>
      </c>
      <c r="D7858" s="8">
        <v>100000</v>
      </c>
      <c r="E7858" s="8"/>
      <c r="F7858" s="92">
        <f t="shared" si="154"/>
        <v>81451</v>
      </c>
    </row>
    <row r="7859" spans="1:6" x14ac:dyDescent="0.25">
      <c r="A7859" s="204">
        <v>43997</v>
      </c>
      <c r="B7859" s="26" t="s">
        <v>6563</v>
      </c>
      <c r="C7859" s="87" t="s">
        <v>3495</v>
      </c>
      <c r="D7859" s="8">
        <v>880</v>
      </c>
      <c r="E7859" s="8"/>
      <c r="F7859" s="92">
        <f t="shared" si="154"/>
        <v>80571</v>
      </c>
    </row>
    <row r="7860" spans="1:6" x14ac:dyDescent="0.25">
      <c r="A7860" s="204">
        <v>43997</v>
      </c>
      <c r="B7860" s="26" t="s">
        <v>2987</v>
      </c>
      <c r="C7860" s="87" t="s">
        <v>6564</v>
      </c>
      <c r="D7860" s="8">
        <v>5000</v>
      </c>
      <c r="E7860" s="8"/>
      <c r="F7860" s="92">
        <f t="shared" si="154"/>
        <v>75571</v>
      </c>
    </row>
    <row r="7861" spans="1:6" x14ac:dyDescent="0.25">
      <c r="A7861" s="204">
        <v>43997</v>
      </c>
      <c r="B7861" s="26" t="s">
        <v>26</v>
      </c>
      <c r="C7861" s="87" t="s">
        <v>2028</v>
      </c>
      <c r="D7861" s="8">
        <v>150</v>
      </c>
      <c r="E7861" s="8"/>
      <c r="F7861" s="92">
        <f t="shared" si="154"/>
        <v>75421</v>
      </c>
    </row>
    <row r="7862" spans="1:6" x14ac:dyDescent="0.25">
      <c r="A7862" s="204">
        <v>43998</v>
      </c>
      <c r="B7862" s="26" t="s">
        <v>26</v>
      </c>
      <c r="C7862" s="87" t="s">
        <v>6567</v>
      </c>
      <c r="D7862" s="8">
        <v>1500</v>
      </c>
      <c r="E7862" s="8"/>
      <c r="F7862" s="92">
        <f t="shared" si="154"/>
        <v>73921</v>
      </c>
    </row>
    <row r="7863" spans="1:6" x14ac:dyDescent="0.25">
      <c r="A7863" s="204">
        <v>43998</v>
      </c>
      <c r="B7863" s="26" t="s">
        <v>5485</v>
      </c>
      <c r="C7863" s="87" t="s">
        <v>6417</v>
      </c>
      <c r="D7863" s="8">
        <v>600</v>
      </c>
      <c r="E7863" s="8"/>
      <c r="F7863" s="92">
        <f t="shared" si="154"/>
        <v>73321</v>
      </c>
    </row>
    <row r="7864" spans="1:6" x14ac:dyDescent="0.25">
      <c r="A7864" s="204">
        <v>43998</v>
      </c>
      <c r="B7864" s="26" t="s">
        <v>6147</v>
      </c>
      <c r="C7864" s="87" t="s">
        <v>6568</v>
      </c>
      <c r="D7864" s="8">
        <v>1000</v>
      </c>
      <c r="E7864" s="8"/>
      <c r="F7864" s="92">
        <f t="shared" si="154"/>
        <v>72321</v>
      </c>
    </row>
    <row r="7865" spans="1:6" x14ac:dyDescent="0.25">
      <c r="A7865" s="204">
        <v>43998</v>
      </c>
      <c r="B7865" s="26" t="s">
        <v>6569</v>
      </c>
      <c r="C7865" s="87" t="s">
        <v>6581</v>
      </c>
      <c r="D7865" s="8">
        <v>14450</v>
      </c>
      <c r="E7865" s="8"/>
      <c r="F7865" s="92">
        <f t="shared" si="154"/>
        <v>57871</v>
      </c>
    </row>
    <row r="7866" spans="1:6" x14ac:dyDescent="0.25">
      <c r="A7866" s="204">
        <v>43998</v>
      </c>
      <c r="B7866" s="26" t="s">
        <v>248</v>
      </c>
      <c r="C7866" s="87" t="s">
        <v>2016</v>
      </c>
      <c r="D7866" s="8">
        <v>50</v>
      </c>
      <c r="E7866" s="8"/>
      <c r="F7866" s="92">
        <f t="shared" si="154"/>
        <v>57821</v>
      </c>
    </row>
    <row r="7867" spans="1:6" ht="30" x14ac:dyDescent="0.25">
      <c r="A7867" s="204">
        <v>43998</v>
      </c>
      <c r="B7867" s="26" t="s">
        <v>19</v>
      </c>
      <c r="C7867" s="87" t="s">
        <v>6570</v>
      </c>
      <c r="D7867" s="8">
        <v>3400</v>
      </c>
      <c r="E7867" s="8"/>
      <c r="F7867" s="92">
        <f t="shared" si="154"/>
        <v>54421</v>
      </c>
    </row>
    <row r="7868" spans="1:6" x14ac:dyDescent="0.25">
      <c r="A7868" s="204">
        <v>43998</v>
      </c>
      <c r="B7868" s="26" t="s">
        <v>26</v>
      </c>
      <c r="C7868" s="87" t="s">
        <v>6571</v>
      </c>
      <c r="D7868" s="8">
        <v>650</v>
      </c>
      <c r="E7868" s="8"/>
      <c r="F7868" s="92">
        <f t="shared" si="154"/>
        <v>53771</v>
      </c>
    </row>
    <row r="7869" spans="1:6" x14ac:dyDescent="0.25">
      <c r="A7869" s="204">
        <v>43999</v>
      </c>
      <c r="B7869" s="26" t="s">
        <v>55</v>
      </c>
      <c r="C7869" s="87" t="s">
        <v>6572</v>
      </c>
      <c r="D7869" s="8">
        <v>18660</v>
      </c>
      <c r="E7869" s="8"/>
      <c r="F7869" s="92">
        <f t="shared" si="154"/>
        <v>35111</v>
      </c>
    </row>
    <row r="7870" spans="1:6" x14ac:dyDescent="0.25">
      <c r="A7870" s="204">
        <v>43999</v>
      </c>
      <c r="B7870" s="26" t="s">
        <v>55</v>
      </c>
      <c r="C7870" s="87" t="s">
        <v>6573</v>
      </c>
      <c r="D7870" s="8">
        <v>15500</v>
      </c>
      <c r="E7870" s="8"/>
      <c r="F7870" s="92">
        <f t="shared" si="154"/>
        <v>19611</v>
      </c>
    </row>
    <row r="7871" spans="1:6" x14ac:dyDescent="0.25">
      <c r="A7871" s="204">
        <v>43999</v>
      </c>
      <c r="B7871" s="26" t="s">
        <v>55</v>
      </c>
      <c r="C7871" s="87" t="s">
        <v>6574</v>
      </c>
      <c r="D7871" s="8">
        <v>16500</v>
      </c>
      <c r="E7871" s="8"/>
      <c r="F7871" s="92">
        <f t="shared" si="154"/>
        <v>3111</v>
      </c>
    </row>
    <row r="7872" spans="1:6" x14ac:dyDescent="0.25">
      <c r="A7872" s="204">
        <v>43999</v>
      </c>
      <c r="B7872" s="26" t="s">
        <v>55</v>
      </c>
      <c r="C7872" s="87" t="s">
        <v>6575</v>
      </c>
      <c r="D7872" s="8">
        <v>2613</v>
      </c>
      <c r="E7872" s="8"/>
      <c r="F7872" s="92">
        <f t="shared" si="154"/>
        <v>498</v>
      </c>
    </row>
    <row r="7873" spans="1:10" ht="30" x14ac:dyDescent="0.25">
      <c r="A7873" s="204">
        <v>43999</v>
      </c>
      <c r="B7873" s="26" t="s">
        <v>26</v>
      </c>
      <c r="C7873" s="87" t="s">
        <v>6576</v>
      </c>
      <c r="D7873" s="8">
        <v>400</v>
      </c>
      <c r="E7873" s="8"/>
      <c r="F7873" s="92">
        <f t="shared" si="154"/>
        <v>98</v>
      </c>
    </row>
    <row r="7874" spans="1:10" x14ac:dyDescent="0.25">
      <c r="A7874" s="204">
        <v>44000</v>
      </c>
      <c r="B7874" s="452" t="s">
        <v>6587</v>
      </c>
      <c r="C7874" s="452"/>
      <c r="D7874" s="452"/>
      <c r="E7874" s="8">
        <v>200000</v>
      </c>
      <c r="F7874" s="92">
        <f t="shared" ref="F7874:F7939" si="155">F7873+E7874-D7874</f>
        <v>200098</v>
      </c>
      <c r="G7874" s="10"/>
      <c r="J7874" s="6"/>
    </row>
    <row r="7875" spans="1:10" ht="30" x14ac:dyDescent="0.25">
      <c r="A7875" s="204">
        <v>44000</v>
      </c>
      <c r="B7875" s="26" t="s">
        <v>0</v>
      </c>
      <c r="C7875" s="87" t="s">
        <v>6578</v>
      </c>
      <c r="D7875" s="8">
        <v>27400</v>
      </c>
      <c r="E7875" s="8"/>
      <c r="F7875" s="92">
        <f t="shared" si="155"/>
        <v>172698</v>
      </c>
    </row>
    <row r="7876" spans="1:10" x14ac:dyDescent="0.25">
      <c r="A7876" s="204">
        <v>44000</v>
      </c>
      <c r="B7876" s="26" t="s">
        <v>6019</v>
      </c>
      <c r="C7876" s="87" t="s">
        <v>6577</v>
      </c>
      <c r="D7876" s="8">
        <v>20150</v>
      </c>
      <c r="E7876" s="8"/>
      <c r="F7876" s="92">
        <f t="shared" si="155"/>
        <v>152548</v>
      </c>
    </row>
    <row r="7877" spans="1:10" x14ac:dyDescent="0.25">
      <c r="A7877" s="204">
        <v>44000</v>
      </c>
      <c r="B7877" s="26" t="s">
        <v>248</v>
      </c>
      <c r="C7877" s="87" t="s">
        <v>2016</v>
      </c>
      <c r="D7877" s="8">
        <v>100</v>
      </c>
      <c r="E7877" s="8"/>
      <c r="F7877" s="92">
        <f t="shared" si="155"/>
        <v>152448</v>
      </c>
    </row>
    <row r="7878" spans="1:10" x14ac:dyDescent="0.25">
      <c r="A7878" s="204">
        <v>44000</v>
      </c>
      <c r="B7878" s="26" t="s">
        <v>0</v>
      </c>
      <c r="C7878" s="87" t="s">
        <v>6586</v>
      </c>
      <c r="D7878" s="8">
        <v>600</v>
      </c>
      <c r="E7878" s="8"/>
      <c r="F7878" s="92">
        <f t="shared" si="155"/>
        <v>151848</v>
      </c>
    </row>
    <row r="7879" spans="1:10" x14ac:dyDescent="0.25">
      <c r="A7879" s="204">
        <v>44000</v>
      </c>
      <c r="B7879" s="26" t="s">
        <v>2351</v>
      </c>
      <c r="C7879" s="87" t="s">
        <v>6579</v>
      </c>
      <c r="D7879" s="8">
        <v>20000</v>
      </c>
      <c r="E7879" s="8"/>
      <c r="F7879" s="92">
        <f t="shared" si="155"/>
        <v>131848</v>
      </c>
    </row>
    <row r="7880" spans="1:10" ht="30" x14ac:dyDescent="0.25">
      <c r="A7880" s="204">
        <v>44001</v>
      </c>
      <c r="B7880" s="26" t="s">
        <v>4776</v>
      </c>
      <c r="C7880" s="87" t="s">
        <v>6588</v>
      </c>
      <c r="D7880" s="8">
        <v>30000</v>
      </c>
      <c r="E7880" s="8"/>
      <c r="F7880" s="92">
        <f t="shared" si="155"/>
        <v>101848</v>
      </c>
    </row>
    <row r="7881" spans="1:10" x14ac:dyDescent="0.25">
      <c r="A7881" s="204">
        <v>44001</v>
      </c>
      <c r="B7881" s="26" t="s">
        <v>55</v>
      </c>
      <c r="C7881" s="87" t="s">
        <v>636</v>
      </c>
      <c r="D7881" s="8">
        <v>50000</v>
      </c>
      <c r="E7881" s="8"/>
      <c r="F7881" s="92">
        <f t="shared" si="155"/>
        <v>51848</v>
      </c>
    </row>
    <row r="7882" spans="1:10" ht="30" x14ac:dyDescent="0.25">
      <c r="A7882" s="204">
        <v>44004</v>
      </c>
      <c r="B7882" s="26" t="s">
        <v>3563</v>
      </c>
      <c r="C7882" s="87" t="s">
        <v>6592</v>
      </c>
      <c r="D7882" s="8">
        <v>4200</v>
      </c>
      <c r="E7882" s="8"/>
      <c r="F7882" s="92">
        <f t="shared" si="155"/>
        <v>47648</v>
      </c>
    </row>
    <row r="7883" spans="1:10" x14ac:dyDescent="0.25">
      <c r="A7883" s="204">
        <v>44004</v>
      </c>
      <c r="B7883" s="30" t="s">
        <v>1515</v>
      </c>
      <c r="C7883" s="30" t="s">
        <v>6591</v>
      </c>
      <c r="D7883" s="11">
        <v>37860</v>
      </c>
      <c r="E7883" s="8"/>
      <c r="F7883" s="92">
        <f t="shared" si="155"/>
        <v>9788</v>
      </c>
    </row>
    <row r="7884" spans="1:10" x14ac:dyDescent="0.25">
      <c r="A7884" s="204">
        <v>44005</v>
      </c>
      <c r="B7884" s="26" t="s">
        <v>0</v>
      </c>
      <c r="C7884" s="26" t="s">
        <v>6594</v>
      </c>
      <c r="D7884" s="8">
        <v>2000</v>
      </c>
      <c r="E7884" s="8"/>
      <c r="F7884" s="92">
        <f t="shared" si="155"/>
        <v>7788</v>
      </c>
    </row>
    <row r="7885" spans="1:10" x14ac:dyDescent="0.25">
      <c r="A7885" s="204">
        <v>44005</v>
      </c>
      <c r="B7885" s="26" t="s">
        <v>6063</v>
      </c>
      <c r="C7885" s="26" t="s">
        <v>6595</v>
      </c>
      <c r="D7885" s="8">
        <v>1150</v>
      </c>
      <c r="E7885" s="8"/>
      <c r="F7885" s="92">
        <f t="shared" si="155"/>
        <v>6638</v>
      </c>
    </row>
    <row r="7886" spans="1:10" x14ac:dyDescent="0.25">
      <c r="A7886" s="204">
        <v>44006</v>
      </c>
      <c r="B7886" s="452" t="s">
        <v>6597</v>
      </c>
      <c r="C7886" s="452"/>
      <c r="D7886" s="452"/>
      <c r="E7886" s="8">
        <v>150000</v>
      </c>
      <c r="F7886" s="92">
        <f t="shared" si="155"/>
        <v>156638</v>
      </c>
    </row>
    <row r="7887" spans="1:10" x14ac:dyDescent="0.25">
      <c r="A7887" s="204">
        <v>44006</v>
      </c>
      <c r="B7887" s="26" t="s">
        <v>1077</v>
      </c>
      <c r="C7887" s="26" t="s">
        <v>6598</v>
      </c>
      <c r="D7887" s="8">
        <v>58985</v>
      </c>
      <c r="E7887" s="8"/>
      <c r="F7887" s="92">
        <f t="shared" si="155"/>
        <v>97653</v>
      </c>
    </row>
    <row r="7888" spans="1:10" x14ac:dyDescent="0.25">
      <c r="A7888" s="204">
        <v>44006</v>
      </c>
      <c r="B7888" s="26" t="s">
        <v>1077</v>
      </c>
      <c r="C7888" s="26" t="s">
        <v>6599</v>
      </c>
      <c r="D7888" s="8">
        <v>2539</v>
      </c>
      <c r="E7888" s="8"/>
      <c r="F7888" s="92">
        <f t="shared" si="155"/>
        <v>95114</v>
      </c>
    </row>
    <row r="7889" spans="1:10" x14ac:dyDescent="0.25">
      <c r="A7889" s="204">
        <v>44006</v>
      </c>
      <c r="B7889" s="26" t="s">
        <v>14</v>
      </c>
      <c r="C7889" s="87" t="s">
        <v>6596</v>
      </c>
      <c r="D7889" s="8">
        <v>15664</v>
      </c>
      <c r="E7889" s="8"/>
      <c r="F7889" s="92">
        <f t="shared" si="155"/>
        <v>79450</v>
      </c>
    </row>
    <row r="7890" spans="1:10" x14ac:dyDescent="0.25">
      <c r="A7890" s="204">
        <v>44006</v>
      </c>
      <c r="B7890" s="26" t="s">
        <v>14</v>
      </c>
      <c r="C7890" s="26" t="s">
        <v>295</v>
      </c>
      <c r="D7890" s="8">
        <v>35000</v>
      </c>
      <c r="E7890" s="8"/>
      <c r="F7890" s="92">
        <f t="shared" si="155"/>
        <v>44450</v>
      </c>
    </row>
    <row r="7891" spans="1:10" x14ac:dyDescent="0.25">
      <c r="A7891" s="204">
        <v>44006</v>
      </c>
      <c r="B7891" s="30" t="s">
        <v>1515</v>
      </c>
      <c r="C7891" s="30" t="s">
        <v>6600</v>
      </c>
      <c r="D7891" s="11">
        <v>20000</v>
      </c>
      <c r="E7891" s="8"/>
      <c r="F7891" s="92">
        <f t="shared" si="155"/>
        <v>24450</v>
      </c>
    </row>
    <row r="7892" spans="1:10" x14ac:dyDescent="0.25">
      <c r="A7892" s="204">
        <v>44007</v>
      </c>
      <c r="B7892" s="26" t="s">
        <v>26</v>
      </c>
      <c r="C7892" s="26" t="s">
        <v>4280</v>
      </c>
      <c r="D7892" s="8">
        <f>140+90+130+40+60+70+130+200+110+120+130+120+40+1000+50+60+10</f>
        <v>2500</v>
      </c>
      <c r="E7892" s="8"/>
      <c r="F7892" s="92">
        <f t="shared" si="155"/>
        <v>21950</v>
      </c>
    </row>
    <row r="7893" spans="1:10" x14ac:dyDescent="0.25">
      <c r="A7893" s="204">
        <v>44007</v>
      </c>
      <c r="B7893" s="26" t="s">
        <v>19</v>
      </c>
      <c r="C7893" s="26" t="s">
        <v>3914</v>
      </c>
      <c r="D7893" s="8">
        <v>5000</v>
      </c>
      <c r="E7893" s="8"/>
      <c r="F7893" s="92">
        <f t="shared" si="155"/>
        <v>16950</v>
      </c>
    </row>
    <row r="7894" spans="1:10" ht="30" x14ac:dyDescent="0.25">
      <c r="A7894" s="204">
        <v>44007</v>
      </c>
      <c r="B7894" s="26" t="s">
        <v>6550</v>
      </c>
      <c r="C7894" s="87" t="s">
        <v>6604</v>
      </c>
      <c r="D7894" s="8">
        <v>1834</v>
      </c>
      <c r="E7894" s="8"/>
      <c r="F7894" s="92">
        <f t="shared" si="155"/>
        <v>15116</v>
      </c>
    </row>
    <row r="7895" spans="1:10" x14ac:dyDescent="0.25">
      <c r="A7895" s="204">
        <v>44007</v>
      </c>
      <c r="B7895" s="26" t="s">
        <v>4776</v>
      </c>
      <c r="C7895" s="26" t="s">
        <v>3914</v>
      </c>
      <c r="D7895" s="8">
        <v>15000</v>
      </c>
      <c r="E7895" s="8"/>
      <c r="F7895" s="92">
        <f t="shared" si="155"/>
        <v>116</v>
      </c>
    </row>
    <row r="7896" spans="1:10" x14ac:dyDescent="0.25">
      <c r="A7896" s="204">
        <v>44009</v>
      </c>
      <c r="B7896" s="452" t="s">
        <v>6606</v>
      </c>
      <c r="C7896" s="452"/>
      <c r="D7896" s="452"/>
      <c r="E7896" s="8">
        <v>16000</v>
      </c>
      <c r="F7896" s="92">
        <f t="shared" si="155"/>
        <v>16116</v>
      </c>
    </row>
    <row r="7897" spans="1:10" x14ac:dyDescent="0.25">
      <c r="A7897" s="204">
        <v>44009</v>
      </c>
      <c r="B7897" s="26" t="s">
        <v>6607</v>
      </c>
      <c r="C7897" s="26" t="s">
        <v>5853</v>
      </c>
      <c r="D7897" s="8">
        <v>14000</v>
      </c>
      <c r="E7897" s="8"/>
      <c r="F7897" s="92">
        <f t="shared" si="155"/>
        <v>2116</v>
      </c>
    </row>
    <row r="7898" spans="1:10" x14ac:dyDescent="0.25">
      <c r="A7898" s="204">
        <v>44009</v>
      </c>
      <c r="B7898" s="452" t="s">
        <v>6609</v>
      </c>
      <c r="C7898" s="452"/>
      <c r="D7898" s="452"/>
      <c r="E7898" s="8">
        <v>200000</v>
      </c>
      <c r="F7898" s="92">
        <f t="shared" si="155"/>
        <v>202116</v>
      </c>
      <c r="G7898" s="10"/>
      <c r="J7898" s="6"/>
    </row>
    <row r="7899" spans="1:10" x14ac:dyDescent="0.25">
      <c r="A7899" s="204">
        <v>44009</v>
      </c>
      <c r="B7899" s="26" t="s">
        <v>14</v>
      </c>
      <c r="C7899" s="26" t="s">
        <v>3186</v>
      </c>
      <c r="D7899" s="8">
        <v>85000</v>
      </c>
      <c r="E7899" s="8"/>
      <c r="F7899" s="92">
        <f t="shared" si="155"/>
        <v>117116</v>
      </c>
    </row>
    <row r="7900" spans="1:10" ht="30" x14ac:dyDescent="0.25">
      <c r="A7900" s="204">
        <v>44009</v>
      </c>
      <c r="B7900" s="26" t="s">
        <v>4776</v>
      </c>
      <c r="C7900" s="259" t="s">
        <v>6688</v>
      </c>
      <c r="D7900" s="8">
        <v>15000</v>
      </c>
      <c r="E7900" s="8"/>
      <c r="F7900" s="92">
        <f t="shared" si="155"/>
        <v>102116</v>
      </c>
    </row>
    <row r="7901" spans="1:10" x14ac:dyDescent="0.25">
      <c r="A7901" s="204">
        <v>44011</v>
      </c>
      <c r="B7901" s="26" t="s">
        <v>6250</v>
      </c>
      <c r="C7901" s="26" t="s">
        <v>295</v>
      </c>
      <c r="D7901" s="8">
        <v>6000</v>
      </c>
      <c r="E7901" s="8"/>
      <c r="F7901" s="92">
        <f t="shared" si="155"/>
        <v>96116</v>
      </c>
    </row>
    <row r="7902" spans="1:10" x14ac:dyDescent="0.25">
      <c r="A7902" s="204">
        <v>44011</v>
      </c>
      <c r="B7902" s="26" t="s">
        <v>3563</v>
      </c>
      <c r="C7902" s="26" t="s">
        <v>6613</v>
      </c>
      <c r="D7902" s="8">
        <v>1250</v>
      </c>
      <c r="E7902" s="8"/>
      <c r="F7902" s="92">
        <f t="shared" si="155"/>
        <v>94866</v>
      </c>
    </row>
    <row r="7903" spans="1:10" x14ac:dyDescent="0.25">
      <c r="A7903" s="204">
        <v>44011</v>
      </c>
      <c r="B7903" s="26" t="s">
        <v>0</v>
      </c>
      <c r="C7903" s="26" t="s">
        <v>3914</v>
      </c>
      <c r="D7903" s="8">
        <v>5000</v>
      </c>
      <c r="E7903" s="8"/>
      <c r="F7903" s="92">
        <f t="shared" si="155"/>
        <v>89866</v>
      </c>
    </row>
    <row r="7904" spans="1:10" x14ac:dyDescent="0.25">
      <c r="A7904" s="204">
        <v>44011</v>
      </c>
      <c r="B7904" s="26" t="s">
        <v>26</v>
      </c>
      <c r="C7904" s="26" t="s">
        <v>6614</v>
      </c>
      <c r="D7904" s="8">
        <v>100</v>
      </c>
      <c r="E7904" s="8"/>
      <c r="F7904" s="92">
        <f t="shared" si="155"/>
        <v>89766</v>
      </c>
    </row>
    <row r="7905" spans="1:10" x14ac:dyDescent="0.25">
      <c r="A7905" s="204">
        <v>44011</v>
      </c>
      <c r="B7905" s="452" t="s">
        <v>6615</v>
      </c>
      <c r="C7905" s="452"/>
      <c r="D7905" s="452"/>
      <c r="E7905" s="8">
        <v>100000</v>
      </c>
      <c r="F7905" s="92">
        <f t="shared" si="155"/>
        <v>189766</v>
      </c>
      <c r="G7905" s="10"/>
      <c r="J7905" s="6"/>
    </row>
    <row r="7906" spans="1:10" x14ac:dyDescent="0.25">
      <c r="A7906" s="204">
        <v>44011</v>
      </c>
      <c r="B7906" s="26" t="s">
        <v>2351</v>
      </c>
      <c r="C7906" s="26" t="s">
        <v>5853</v>
      </c>
      <c r="D7906" s="8">
        <v>35000</v>
      </c>
      <c r="E7906" s="8"/>
      <c r="F7906" s="92">
        <f t="shared" si="155"/>
        <v>154766</v>
      </c>
    </row>
    <row r="7907" spans="1:10" x14ac:dyDescent="0.25">
      <c r="A7907" s="204">
        <v>44011</v>
      </c>
      <c r="B7907" s="26" t="s">
        <v>85</v>
      </c>
      <c r="C7907" s="87" t="s">
        <v>6616</v>
      </c>
      <c r="D7907" s="8">
        <v>3000</v>
      </c>
      <c r="E7907" s="8"/>
      <c r="F7907" s="92">
        <f t="shared" si="155"/>
        <v>151766</v>
      </c>
    </row>
    <row r="7908" spans="1:10" x14ac:dyDescent="0.25">
      <c r="A7908" s="204">
        <v>44013</v>
      </c>
      <c r="B7908" s="26" t="s">
        <v>1840</v>
      </c>
      <c r="C7908" s="87" t="s">
        <v>6620</v>
      </c>
      <c r="D7908" s="8">
        <v>1500</v>
      </c>
      <c r="E7908" s="8"/>
      <c r="F7908" s="92">
        <f t="shared" si="155"/>
        <v>150266</v>
      </c>
    </row>
    <row r="7909" spans="1:10" x14ac:dyDescent="0.25">
      <c r="A7909" s="204">
        <v>44013</v>
      </c>
      <c r="B7909" s="26" t="s">
        <v>19</v>
      </c>
      <c r="C7909" s="87" t="s">
        <v>6621</v>
      </c>
      <c r="D7909" s="8">
        <v>1000</v>
      </c>
      <c r="E7909" s="8"/>
      <c r="F7909" s="92">
        <f t="shared" si="155"/>
        <v>149266</v>
      </c>
    </row>
    <row r="7910" spans="1:10" x14ac:dyDescent="0.25">
      <c r="A7910" s="204">
        <v>44013</v>
      </c>
      <c r="B7910" s="26" t="s">
        <v>26</v>
      </c>
      <c r="C7910" s="87" t="s">
        <v>6622</v>
      </c>
      <c r="D7910" s="8">
        <v>3721</v>
      </c>
      <c r="E7910" s="8"/>
      <c r="F7910" s="92">
        <f t="shared" si="155"/>
        <v>145545</v>
      </c>
    </row>
    <row r="7911" spans="1:10" x14ac:dyDescent="0.25">
      <c r="A7911" s="204">
        <v>44013</v>
      </c>
      <c r="B7911" s="26" t="s">
        <v>85</v>
      </c>
      <c r="C7911" s="87" t="s">
        <v>6633</v>
      </c>
      <c r="D7911" s="8">
        <v>1000</v>
      </c>
      <c r="E7911" s="8"/>
      <c r="F7911" s="92">
        <f t="shared" si="155"/>
        <v>144545</v>
      </c>
    </row>
    <row r="7912" spans="1:10" x14ac:dyDescent="0.25">
      <c r="A7912" s="204">
        <v>44013</v>
      </c>
      <c r="B7912" s="26" t="s">
        <v>85</v>
      </c>
      <c r="C7912" s="87" t="s">
        <v>6623</v>
      </c>
      <c r="D7912" s="8">
        <v>5000</v>
      </c>
      <c r="E7912" s="8"/>
      <c r="F7912" s="92">
        <f t="shared" si="155"/>
        <v>139545</v>
      </c>
    </row>
    <row r="7913" spans="1:10" x14ac:dyDescent="0.25">
      <c r="A7913" s="204">
        <v>44013</v>
      </c>
      <c r="B7913" s="26" t="s">
        <v>65</v>
      </c>
      <c r="C7913" s="87" t="s">
        <v>6624</v>
      </c>
      <c r="D7913" s="8">
        <v>1200</v>
      </c>
      <c r="E7913" s="8"/>
      <c r="F7913" s="92">
        <f t="shared" si="155"/>
        <v>138345</v>
      </c>
    </row>
    <row r="7914" spans="1:10" x14ac:dyDescent="0.25">
      <c r="A7914" s="204">
        <v>44013</v>
      </c>
      <c r="B7914" s="26" t="s">
        <v>694</v>
      </c>
      <c r="C7914" s="87" t="s">
        <v>6625</v>
      </c>
      <c r="D7914" s="8">
        <v>5840</v>
      </c>
      <c r="E7914" s="8"/>
      <c r="F7914" s="92">
        <f t="shared" si="155"/>
        <v>132505</v>
      </c>
    </row>
    <row r="7915" spans="1:10" x14ac:dyDescent="0.25">
      <c r="A7915" s="204">
        <v>44013</v>
      </c>
      <c r="B7915" s="29" t="s">
        <v>6485</v>
      </c>
      <c r="C7915" s="89" t="s">
        <v>3336</v>
      </c>
      <c r="D7915" s="8">
        <v>44900</v>
      </c>
      <c r="E7915" s="8"/>
      <c r="F7915" s="92">
        <f t="shared" si="155"/>
        <v>87605</v>
      </c>
    </row>
    <row r="7916" spans="1:10" x14ac:dyDescent="0.25">
      <c r="A7916" s="204">
        <v>44013</v>
      </c>
      <c r="B7916" s="29" t="s">
        <v>6626</v>
      </c>
      <c r="C7916" s="89" t="s">
        <v>6627</v>
      </c>
      <c r="D7916" s="8">
        <v>12400</v>
      </c>
      <c r="E7916" s="8"/>
      <c r="F7916" s="92">
        <f t="shared" si="155"/>
        <v>75205</v>
      </c>
    </row>
    <row r="7917" spans="1:10" x14ac:dyDescent="0.25">
      <c r="A7917" s="204">
        <v>44013</v>
      </c>
      <c r="B7917" s="26" t="s">
        <v>0</v>
      </c>
      <c r="C7917" s="87" t="s">
        <v>6628</v>
      </c>
      <c r="D7917" s="8">
        <v>15000</v>
      </c>
      <c r="E7917" s="8"/>
      <c r="F7917" s="92">
        <f t="shared" si="155"/>
        <v>60205</v>
      </c>
    </row>
    <row r="7918" spans="1:10" ht="30" x14ac:dyDescent="0.25">
      <c r="A7918" s="204">
        <v>44013</v>
      </c>
      <c r="B7918" s="26" t="s">
        <v>6019</v>
      </c>
      <c r="C7918" s="87" t="s">
        <v>6629</v>
      </c>
      <c r="D7918" s="8">
        <v>25000</v>
      </c>
      <c r="E7918" s="8"/>
      <c r="F7918" s="92">
        <f t="shared" si="155"/>
        <v>35205</v>
      </c>
    </row>
    <row r="7919" spans="1:10" x14ac:dyDescent="0.25">
      <c r="A7919" s="204">
        <v>44013</v>
      </c>
      <c r="B7919" s="26" t="s">
        <v>4043</v>
      </c>
      <c r="C7919" s="26" t="s">
        <v>6630</v>
      </c>
      <c r="D7919" s="8">
        <v>5000</v>
      </c>
      <c r="E7919" s="8"/>
      <c r="F7919" s="92">
        <f t="shared" si="155"/>
        <v>30205</v>
      </c>
    </row>
    <row r="7920" spans="1:10" x14ac:dyDescent="0.25">
      <c r="A7920" s="204">
        <v>44013</v>
      </c>
      <c r="B7920" s="26" t="s">
        <v>4043</v>
      </c>
      <c r="C7920" s="26" t="s">
        <v>5711</v>
      </c>
      <c r="D7920" s="8">
        <v>600</v>
      </c>
      <c r="E7920" s="8"/>
      <c r="F7920" s="92">
        <f t="shared" si="155"/>
        <v>29605</v>
      </c>
    </row>
    <row r="7921" spans="1:10" x14ac:dyDescent="0.25">
      <c r="A7921" s="204">
        <v>44014</v>
      </c>
      <c r="B7921" s="26" t="s">
        <v>85</v>
      </c>
      <c r="C7921" s="26" t="s">
        <v>6631</v>
      </c>
      <c r="D7921" s="8">
        <v>5000</v>
      </c>
      <c r="E7921" s="8"/>
      <c r="F7921" s="92">
        <f t="shared" si="155"/>
        <v>24605</v>
      </c>
    </row>
    <row r="7922" spans="1:10" x14ac:dyDescent="0.25">
      <c r="A7922" s="204">
        <v>44014</v>
      </c>
      <c r="B7922" s="26" t="s">
        <v>85</v>
      </c>
      <c r="C7922" s="26" t="s">
        <v>6632</v>
      </c>
      <c r="D7922" s="8">
        <v>1000</v>
      </c>
      <c r="E7922" s="8"/>
      <c r="F7922" s="92">
        <f t="shared" si="155"/>
        <v>23605</v>
      </c>
    </row>
    <row r="7923" spans="1:10" x14ac:dyDescent="0.25">
      <c r="A7923" s="204">
        <v>44015</v>
      </c>
      <c r="B7923" s="452" t="s">
        <v>6615</v>
      </c>
      <c r="C7923" s="452"/>
      <c r="D7923" s="452"/>
      <c r="E7923" s="8">
        <v>8000</v>
      </c>
      <c r="F7923" s="92">
        <f t="shared" si="155"/>
        <v>31605</v>
      </c>
      <c r="G7923" s="10"/>
      <c r="J7923" s="6"/>
    </row>
    <row r="7924" spans="1:10" x14ac:dyDescent="0.25">
      <c r="A7924" s="204">
        <v>44015</v>
      </c>
      <c r="B7924" s="26" t="s">
        <v>2351</v>
      </c>
      <c r="C7924" s="26" t="s">
        <v>295</v>
      </c>
      <c r="D7924" s="8">
        <v>25000</v>
      </c>
      <c r="E7924" s="8"/>
      <c r="F7924" s="92">
        <f t="shared" si="155"/>
        <v>6605</v>
      </c>
    </row>
    <row r="7925" spans="1:10" x14ac:dyDescent="0.25">
      <c r="A7925" s="204">
        <v>44015</v>
      </c>
      <c r="B7925" s="452" t="s">
        <v>6615</v>
      </c>
      <c r="C7925" s="452"/>
      <c r="D7925" s="452"/>
      <c r="E7925" s="8">
        <v>95000</v>
      </c>
      <c r="F7925" s="92">
        <f t="shared" si="155"/>
        <v>101605</v>
      </c>
      <c r="G7925" s="10"/>
      <c r="J7925" s="6"/>
    </row>
    <row r="7926" spans="1:10" x14ac:dyDescent="0.25">
      <c r="A7926" s="204">
        <v>44016</v>
      </c>
      <c r="B7926" s="26" t="s">
        <v>26</v>
      </c>
      <c r="C7926" s="26" t="s">
        <v>5424</v>
      </c>
      <c r="D7926" s="8">
        <v>2000</v>
      </c>
      <c r="E7926" s="8"/>
      <c r="F7926" s="92">
        <f t="shared" si="155"/>
        <v>99605</v>
      </c>
    </row>
    <row r="7927" spans="1:10" x14ac:dyDescent="0.25">
      <c r="A7927" s="204">
        <v>44018</v>
      </c>
      <c r="B7927" s="26" t="s">
        <v>14</v>
      </c>
      <c r="C7927" s="26" t="s">
        <v>3914</v>
      </c>
      <c r="D7927" s="8">
        <v>80000</v>
      </c>
      <c r="E7927" s="8"/>
      <c r="F7927" s="92">
        <f t="shared" si="155"/>
        <v>19605</v>
      </c>
    </row>
    <row r="7928" spans="1:10" x14ac:dyDescent="0.25">
      <c r="A7928" s="204">
        <v>44018</v>
      </c>
      <c r="B7928" s="26" t="s">
        <v>5140</v>
      </c>
      <c r="C7928" s="26" t="s">
        <v>41</v>
      </c>
      <c r="D7928" s="8">
        <v>4150</v>
      </c>
      <c r="E7928" s="8"/>
      <c r="F7928" s="92">
        <f t="shared" si="155"/>
        <v>15455</v>
      </c>
    </row>
    <row r="7929" spans="1:10" x14ac:dyDescent="0.25">
      <c r="A7929" s="204">
        <v>44018</v>
      </c>
      <c r="B7929" s="26" t="s">
        <v>14</v>
      </c>
      <c r="C7929" s="26" t="s">
        <v>641</v>
      </c>
      <c r="D7929" s="8">
        <v>1000</v>
      </c>
      <c r="E7929" s="8"/>
      <c r="F7929" s="92">
        <f t="shared" si="155"/>
        <v>14455</v>
      </c>
    </row>
    <row r="7930" spans="1:10" x14ac:dyDescent="0.25">
      <c r="A7930" s="204">
        <v>44018</v>
      </c>
      <c r="B7930" s="26" t="s">
        <v>4776</v>
      </c>
      <c r="C7930" s="26" t="s">
        <v>6689</v>
      </c>
      <c r="D7930" s="8">
        <v>5000</v>
      </c>
      <c r="E7930" s="8"/>
      <c r="F7930" s="92">
        <f t="shared" si="155"/>
        <v>9455</v>
      </c>
    </row>
    <row r="7931" spans="1:10" x14ac:dyDescent="0.25">
      <c r="A7931" s="204">
        <v>44018</v>
      </c>
      <c r="B7931" s="26" t="s">
        <v>5479</v>
      </c>
      <c r="C7931" s="26" t="s">
        <v>6637</v>
      </c>
      <c r="D7931" s="8">
        <v>150</v>
      </c>
      <c r="E7931" s="8"/>
      <c r="F7931" s="92">
        <f t="shared" si="155"/>
        <v>9305</v>
      </c>
    </row>
    <row r="7932" spans="1:10" x14ac:dyDescent="0.25">
      <c r="A7932" s="204">
        <v>44018</v>
      </c>
      <c r="B7932" s="26" t="s">
        <v>26</v>
      </c>
      <c r="C7932" s="26" t="s">
        <v>4280</v>
      </c>
      <c r="D7932" s="8">
        <f>900+70+220+440+140+50+80+15+370+300+40+30+20+120+80+120+140+70</f>
        <v>3205</v>
      </c>
      <c r="E7932" s="8"/>
      <c r="F7932" s="92">
        <f t="shared" si="155"/>
        <v>6100</v>
      </c>
    </row>
    <row r="7933" spans="1:10" x14ac:dyDescent="0.25">
      <c r="A7933" s="204">
        <v>44018</v>
      </c>
      <c r="B7933" s="26" t="s">
        <v>1619</v>
      </c>
      <c r="C7933" s="26" t="s">
        <v>2675</v>
      </c>
      <c r="D7933" s="8">
        <v>1500</v>
      </c>
      <c r="E7933" s="8"/>
      <c r="F7933" s="92">
        <f t="shared" si="155"/>
        <v>4600</v>
      </c>
    </row>
    <row r="7934" spans="1:10" x14ac:dyDescent="0.25">
      <c r="A7934" s="204">
        <v>44018</v>
      </c>
      <c r="B7934" s="26" t="s">
        <v>1619</v>
      </c>
      <c r="C7934" s="26" t="s">
        <v>5711</v>
      </c>
      <c r="D7934" s="8">
        <v>600</v>
      </c>
      <c r="E7934" s="8"/>
      <c r="F7934" s="92">
        <f t="shared" si="155"/>
        <v>4000</v>
      </c>
    </row>
    <row r="7935" spans="1:10" x14ac:dyDescent="0.25">
      <c r="A7935" s="204">
        <v>44019</v>
      </c>
      <c r="B7935" s="452" t="s">
        <v>6615</v>
      </c>
      <c r="C7935" s="452"/>
      <c r="D7935" s="452"/>
      <c r="E7935" s="8">
        <v>200000</v>
      </c>
      <c r="F7935" s="92">
        <f t="shared" si="155"/>
        <v>204000</v>
      </c>
      <c r="G7935" s="10"/>
      <c r="J7935" s="6"/>
    </row>
    <row r="7936" spans="1:10" x14ac:dyDescent="0.25">
      <c r="A7936" s="204">
        <v>44019</v>
      </c>
      <c r="B7936" s="162" t="s">
        <v>1515</v>
      </c>
      <c r="C7936" s="162" t="s">
        <v>6639</v>
      </c>
      <c r="D7936" s="163">
        <v>89788</v>
      </c>
      <c r="E7936" s="8"/>
      <c r="F7936" s="92">
        <f t="shared" si="155"/>
        <v>114212</v>
      </c>
    </row>
    <row r="7937" spans="1:10" x14ac:dyDescent="0.25">
      <c r="A7937" s="204">
        <v>44019</v>
      </c>
      <c r="B7937" s="162" t="s">
        <v>1515</v>
      </c>
      <c r="C7937" s="253" t="s">
        <v>6640</v>
      </c>
      <c r="D7937" s="163">
        <v>90213</v>
      </c>
      <c r="E7937" s="8"/>
      <c r="F7937" s="92">
        <f t="shared" si="155"/>
        <v>23999</v>
      </c>
    </row>
    <row r="7938" spans="1:10" x14ac:dyDescent="0.25">
      <c r="A7938" s="204">
        <v>44019</v>
      </c>
      <c r="B7938" s="162" t="s">
        <v>1515</v>
      </c>
      <c r="C7938" s="162" t="s">
        <v>6231</v>
      </c>
      <c r="D7938" s="163">
        <v>15000</v>
      </c>
      <c r="E7938" s="8"/>
      <c r="F7938" s="92">
        <f t="shared" ref="F7938" si="156">F7937+E7938-D7938</f>
        <v>8999</v>
      </c>
    </row>
    <row r="7939" spans="1:10" x14ac:dyDescent="0.25">
      <c r="A7939" s="204">
        <v>44019</v>
      </c>
      <c r="B7939" s="26" t="s">
        <v>5239</v>
      </c>
      <c r="C7939" s="26" t="s">
        <v>6642</v>
      </c>
      <c r="D7939" s="8">
        <v>527</v>
      </c>
      <c r="E7939" s="8"/>
      <c r="F7939" s="92">
        <f t="shared" si="155"/>
        <v>8472</v>
      </c>
    </row>
    <row r="7940" spans="1:10" x14ac:dyDescent="0.25">
      <c r="A7940" s="204">
        <v>44019</v>
      </c>
      <c r="B7940" s="26" t="s">
        <v>26</v>
      </c>
      <c r="C7940" s="26" t="s">
        <v>6641</v>
      </c>
      <c r="D7940" s="8">
        <v>740</v>
      </c>
      <c r="E7940" s="8"/>
      <c r="F7940" s="92">
        <f t="shared" ref="F7940:F7966" si="157">F7939+E7940-D7940</f>
        <v>7732</v>
      </c>
    </row>
    <row r="7941" spans="1:10" x14ac:dyDescent="0.25">
      <c r="A7941" s="204">
        <v>44020</v>
      </c>
      <c r="B7941" s="452" t="s">
        <v>6615</v>
      </c>
      <c r="C7941" s="452"/>
      <c r="D7941" s="452"/>
      <c r="E7941" s="8">
        <v>400000</v>
      </c>
      <c r="F7941" s="92">
        <f t="shared" si="157"/>
        <v>407732</v>
      </c>
      <c r="G7941" s="10"/>
      <c r="J7941" s="6"/>
    </row>
    <row r="7942" spans="1:10" x14ac:dyDescent="0.25">
      <c r="A7942" s="204">
        <v>44020</v>
      </c>
      <c r="B7942" s="262" t="s">
        <v>1515</v>
      </c>
      <c r="C7942" s="262" t="s">
        <v>6649</v>
      </c>
      <c r="D7942" s="263">
        <v>23671</v>
      </c>
      <c r="E7942" s="8"/>
      <c r="F7942" s="92">
        <f t="shared" si="157"/>
        <v>384061</v>
      </c>
    </row>
    <row r="7943" spans="1:10" x14ac:dyDescent="0.25">
      <c r="A7943" s="204">
        <v>44020</v>
      </c>
      <c r="B7943" s="262" t="s">
        <v>1515</v>
      </c>
      <c r="C7943" s="262" t="s">
        <v>6645</v>
      </c>
      <c r="D7943" s="263">
        <v>42144</v>
      </c>
      <c r="E7943" s="8"/>
      <c r="F7943" s="92">
        <f t="shared" si="157"/>
        <v>341917</v>
      </c>
    </row>
    <row r="7944" spans="1:10" x14ac:dyDescent="0.25">
      <c r="A7944" s="204">
        <v>44020</v>
      </c>
      <c r="B7944" s="262" t="s">
        <v>1515</v>
      </c>
      <c r="C7944" s="262" t="s">
        <v>6646</v>
      </c>
      <c r="D7944" s="263">
        <v>285740</v>
      </c>
      <c r="E7944" s="8"/>
      <c r="F7944" s="92">
        <f t="shared" si="157"/>
        <v>56177</v>
      </c>
    </row>
    <row r="7945" spans="1:10" x14ac:dyDescent="0.25">
      <c r="A7945" s="204">
        <v>44020</v>
      </c>
      <c r="B7945" s="262" t="s">
        <v>1515</v>
      </c>
      <c r="C7945" s="262" t="s">
        <v>6647</v>
      </c>
      <c r="D7945" s="263">
        <v>27083</v>
      </c>
      <c r="E7945" s="8"/>
      <c r="F7945" s="92">
        <f t="shared" si="157"/>
        <v>29094</v>
      </c>
    </row>
    <row r="7946" spans="1:10" x14ac:dyDescent="0.25">
      <c r="A7946" s="204">
        <v>44020</v>
      </c>
      <c r="B7946" s="262" t="s">
        <v>1515</v>
      </c>
      <c r="C7946" s="262" t="s">
        <v>4136</v>
      </c>
      <c r="D7946" s="263">
        <v>10800</v>
      </c>
      <c r="E7946" s="8"/>
      <c r="F7946" s="92">
        <f t="shared" si="157"/>
        <v>18294</v>
      </c>
    </row>
    <row r="7947" spans="1:10" x14ac:dyDescent="0.25">
      <c r="A7947" s="204">
        <v>44021</v>
      </c>
      <c r="B7947" s="26" t="s">
        <v>14</v>
      </c>
      <c r="C7947" s="26" t="s">
        <v>641</v>
      </c>
      <c r="D7947" s="8">
        <v>1000</v>
      </c>
      <c r="E7947" s="8"/>
      <c r="F7947" s="92">
        <f t="shared" si="157"/>
        <v>17294</v>
      </c>
    </row>
    <row r="7948" spans="1:10" x14ac:dyDescent="0.25">
      <c r="A7948" s="204">
        <v>44021</v>
      </c>
      <c r="B7948" s="26" t="s">
        <v>6277</v>
      </c>
      <c r="C7948" s="26" t="s">
        <v>6532</v>
      </c>
      <c r="D7948" s="8">
        <v>5800</v>
      </c>
      <c r="E7948" s="8"/>
      <c r="F7948" s="92">
        <f t="shared" si="157"/>
        <v>11494</v>
      </c>
    </row>
    <row r="7949" spans="1:10" x14ac:dyDescent="0.25">
      <c r="A7949" s="204">
        <v>44021</v>
      </c>
      <c r="B7949" s="26" t="s">
        <v>6019</v>
      </c>
      <c r="C7949" s="87" t="s">
        <v>6655</v>
      </c>
      <c r="D7949" s="8">
        <v>10000</v>
      </c>
      <c r="E7949" s="8"/>
      <c r="F7949" s="92">
        <f t="shared" si="157"/>
        <v>1494</v>
      </c>
    </row>
    <row r="7950" spans="1:10" x14ac:dyDescent="0.25">
      <c r="A7950" s="204">
        <v>44021</v>
      </c>
      <c r="B7950" s="452" t="s">
        <v>6654</v>
      </c>
      <c r="C7950" s="452"/>
      <c r="D7950" s="452"/>
      <c r="E7950" s="8">
        <v>200000</v>
      </c>
      <c r="F7950" s="92">
        <f t="shared" si="157"/>
        <v>201494</v>
      </c>
      <c r="G7950" s="10"/>
      <c r="J7950" s="6"/>
    </row>
    <row r="7951" spans="1:10" x14ac:dyDescent="0.25">
      <c r="A7951" s="204">
        <v>44021</v>
      </c>
      <c r="B7951" s="262" t="s">
        <v>1515</v>
      </c>
      <c r="C7951" s="262" t="s">
        <v>6666</v>
      </c>
      <c r="D7951" s="263">
        <v>32250</v>
      </c>
      <c r="E7951" s="8"/>
      <c r="F7951" s="92">
        <f t="shared" si="157"/>
        <v>169244</v>
      </c>
    </row>
    <row r="7952" spans="1:10" x14ac:dyDescent="0.25">
      <c r="A7952" s="204">
        <v>44021</v>
      </c>
      <c r="B7952" s="262" t="s">
        <v>1515</v>
      </c>
      <c r="C7952" s="262" t="s">
        <v>6648</v>
      </c>
      <c r="D7952" s="263">
        <v>31000</v>
      </c>
      <c r="E7952" s="8"/>
      <c r="F7952" s="92">
        <f t="shared" si="157"/>
        <v>138244</v>
      </c>
    </row>
    <row r="7953" spans="1:10" x14ac:dyDescent="0.25">
      <c r="A7953" s="204">
        <v>44021</v>
      </c>
      <c r="B7953" s="262" t="s">
        <v>1515</v>
      </c>
      <c r="C7953" s="262" t="s">
        <v>3818</v>
      </c>
      <c r="D7953" s="263">
        <v>30000</v>
      </c>
      <c r="E7953" s="8"/>
      <c r="F7953" s="92">
        <f t="shared" si="157"/>
        <v>108244</v>
      </c>
    </row>
    <row r="7954" spans="1:10" x14ac:dyDescent="0.25">
      <c r="A7954" s="204">
        <v>44021</v>
      </c>
      <c r="B7954" s="262" t="s">
        <v>1515</v>
      </c>
      <c r="C7954" s="262" t="s">
        <v>6656</v>
      </c>
      <c r="D7954" s="263">
        <v>19250</v>
      </c>
      <c r="E7954" s="8"/>
      <c r="F7954" s="92">
        <f t="shared" si="157"/>
        <v>88994</v>
      </c>
    </row>
    <row r="7955" spans="1:10" x14ac:dyDescent="0.25">
      <c r="A7955" s="204">
        <v>44021</v>
      </c>
      <c r="B7955" s="262" t="s">
        <v>1515</v>
      </c>
      <c r="C7955" s="262" t="s">
        <v>6657</v>
      </c>
      <c r="D7955" s="263">
        <v>18833</v>
      </c>
      <c r="E7955" s="8"/>
      <c r="F7955" s="92">
        <f t="shared" si="157"/>
        <v>70161</v>
      </c>
    </row>
    <row r="7956" spans="1:10" x14ac:dyDescent="0.25">
      <c r="A7956" s="204">
        <v>44021</v>
      </c>
      <c r="B7956" s="262" t="s">
        <v>1515</v>
      </c>
      <c r="C7956" s="262" t="s">
        <v>6658</v>
      </c>
      <c r="D7956" s="263">
        <v>24000</v>
      </c>
      <c r="E7956" s="8"/>
      <c r="F7956" s="92">
        <f t="shared" si="157"/>
        <v>46161</v>
      </c>
    </row>
    <row r="7957" spans="1:10" x14ac:dyDescent="0.25">
      <c r="A7957" s="204">
        <v>44021</v>
      </c>
      <c r="B7957" s="26" t="s">
        <v>26</v>
      </c>
      <c r="C7957" s="26" t="s">
        <v>6659</v>
      </c>
      <c r="D7957" s="8">
        <f>490+190</f>
        <v>680</v>
      </c>
      <c r="E7957" s="8"/>
      <c r="F7957" s="92">
        <f t="shared" si="157"/>
        <v>45481</v>
      </c>
    </row>
    <row r="7958" spans="1:10" x14ac:dyDescent="0.25">
      <c r="A7958" s="204">
        <v>44021</v>
      </c>
      <c r="B7958" s="26" t="s">
        <v>6660</v>
      </c>
      <c r="C7958" s="26" t="s">
        <v>6667</v>
      </c>
      <c r="D7958" s="8">
        <v>2200</v>
      </c>
      <c r="E7958" s="8"/>
      <c r="F7958" s="92">
        <f t="shared" si="157"/>
        <v>43281</v>
      </c>
    </row>
    <row r="7959" spans="1:10" x14ac:dyDescent="0.25">
      <c r="A7959" s="204">
        <v>44022</v>
      </c>
      <c r="B7959" s="26" t="s">
        <v>14</v>
      </c>
      <c r="C7959" s="26" t="s">
        <v>295</v>
      </c>
      <c r="D7959" s="8">
        <v>20000</v>
      </c>
      <c r="E7959" s="8"/>
      <c r="F7959" s="92">
        <f t="shared" si="157"/>
        <v>23281</v>
      </c>
    </row>
    <row r="7960" spans="1:10" x14ac:dyDescent="0.25">
      <c r="A7960" s="204">
        <v>44022</v>
      </c>
      <c r="B7960" s="26" t="s">
        <v>6315</v>
      </c>
      <c r="C7960" s="26" t="s">
        <v>6661</v>
      </c>
      <c r="D7960" s="8">
        <v>1000</v>
      </c>
      <c r="E7960" s="8"/>
      <c r="F7960" s="92">
        <f t="shared" si="157"/>
        <v>22281</v>
      </c>
    </row>
    <row r="7961" spans="1:10" x14ac:dyDescent="0.25">
      <c r="A7961" s="204">
        <v>44022</v>
      </c>
      <c r="B7961" s="452" t="s">
        <v>6662</v>
      </c>
      <c r="C7961" s="452"/>
      <c r="D7961" s="452"/>
      <c r="E7961" s="8">
        <v>45000</v>
      </c>
      <c r="F7961" s="92">
        <f t="shared" si="157"/>
        <v>67281</v>
      </c>
      <c r="G7961" s="10"/>
      <c r="J7961" s="6"/>
    </row>
    <row r="7962" spans="1:10" x14ac:dyDescent="0.25">
      <c r="A7962" s="204">
        <v>44022</v>
      </c>
      <c r="B7962" s="26" t="s">
        <v>14</v>
      </c>
      <c r="C7962" s="26" t="s">
        <v>295</v>
      </c>
      <c r="D7962" s="8">
        <v>50000</v>
      </c>
      <c r="E7962" s="8"/>
      <c r="F7962" s="92">
        <f t="shared" si="157"/>
        <v>17281</v>
      </c>
    </row>
    <row r="7963" spans="1:10" ht="30" x14ac:dyDescent="0.25">
      <c r="A7963" s="204">
        <v>44025</v>
      </c>
      <c r="B7963" s="199" t="s">
        <v>26</v>
      </c>
      <c r="C7963" s="207" t="s">
        <v>6664</v>
      </c>
      <c r="D7963" s="91">
        <v>8500</v>
      </c>
      <c r="E7963" s="91"/>
      <c r="F7963" s="92">
        <f t="shared" si="157"/>
        <v>8781</v>
      </c>
    </row>
    <row r="7964" spans="1:10" x14ac:dyDescent="0.25">
      <c r="A7964" s="204">
        <v>44025</v>
      </c>
      <c r="B7964" s="199" t="s">
        <v>26</v>
      </c>
      <c r="C7964" s="26" t="s">
        <v>6663</v>
      </c>
      <c r="D7964" s="8">
        <v>650</v>
      </c>
      <c r="E7964" s="8"/>
      <c r="F7964" s="92">
        <f t="shared" si="157"/>
        <v>8131</v>
      </c>
    </row>
    <row r="7965" spans="1:10" x14ac:dyDescent="0.25">
      <c r="A7965" s="204">
        <v>44025</v>
      </c>
      <c r="B7965" s="26" t="s">
        <v>5479</v>
      </c>
      <c r="C7965" s="87" t="s">
        <v>6665</v>
      </c>
      <c r="D7965" s="8">
        <v>240</v>
      </c>
      <c r="E7965" s="8"/>
      <c r="F7965" s="92">
        <f t="shared" si="157"/>
        <v>7891</v>
      </c>
    </row>
    <row r="7966" spans="1:10" x14ac:dyDescent="0.25">
      <c r="A7966" s="204">
        <v>44025</v>
      </c>
      <c r="B7966" s="26" t="s">
        <v>248</v>
      </c>
      <c r="C7966" s="26" t="s">
        <v>2016</v>
      </c>
      <c r="D7966" s="8">
        <v>100</v>
      </c>
      <c r="E7966" s="8"/>
      <c r="F7966" s="92">
        <f t="shared" si="157"/>
        <v>7791</v>
      </c>
    </row>
    <row r="7967" spans="1:10" x14ac:dyDescent="0.25">
      <c r="A7967" s="204">
        <v>44026</v>
      </c>
      <c r="B7967" s="26" t="s">
        <v>6063</v>
      </c>
      <c r="C7967" s="26" t="s">
        <v>6668</v>
      </c>
      <c r="D7967" s="8">
        <v>5000</v>
      </c>
      <c r="E7967" s="8"/>
      <c r="F7967" s="92">
        <f t="shared" ref="F7967:F7968" si="158">F7966+E7967-D7967</f>
        <v>2791</v>
      </c>
    </row>
    <row r="7968" spans="1:10" x14ac:dyDescent="0.25">
      <c r="A7968" s="204">
        <v>44026</v>
      </c>
      <c r="B7968" s="452" t="s">
        <v>6675</v>
      </c>
      <c r="C7968" s="452"/>
      <c r="D7968" s="452"/>
      <c r="E7968" s="8">
        <v>10000</v>
      </c>
      <c r="F7968" s="92">
        <f t="shared" si="158"/>
        <v>12791</v>
      </c>
      <c r="G7968" s="10"/>
      <c r="J7968" s="6"/>
    </row>
    <row r="7969" spans="1:10" x14ac:dyDescent="0.25">
      <c r="A7969" s="204">
        <v>44026</v>
      </c>
      <c r="B7969" s="26" t="s">
        <v>1840</v>
      </c>
      <c r="C7969" s="26" t="s">
        <v>2016</v>
      </c>
      <c r="D7969" s="8">
        <v>150</v>
      </c>
      <c r="E7969" s="8"/>
      <c r="F7969" s="92">
        <f t="shared" ref="F7969:F8036" si="159">F7968+E7969-D7969</f>
        <v>12641</v>
      </c>
    </row>
    <row r="7970" spans="1:10" x14ac:dyDescent="0.25">
      <c r="A7970" s="204">
        <v>44026</v>
      </c>
      <c r="B7970" s="26" t="s">
        <v>1840</v>
      </c>
      <c r="C7970" s="26" t="s">
        <v>6669</v>
      </c>
      <c r="D7970" s="8">
        <v>100</v>
      </c>
      <c r="E7970" s="8"/>
      <c r="F7970" s="92">
        <f t="shared" si="159"/>
        <v>12541</v>
      </c>
    </row>
    <row r="7971" spans="1:10" x14ac:dyDescent="0.25">
      <c r="A7971" s="204">
        <v>44026</v>
      </c>
      <c r="B7971" s="26" t="s">
        <v>58</v>
      </c>
      <c r="C7971" s="26" t="s">
        <v>6676</v>
      </c>
      <c r="D7971" s="8">
        <v>4400</v>
      </c>
      <c r="E7971" s="8"/>
      <c r="F7971" s="92">
        <f t="shared" si="159"/>
        <v>8141</v>
      </c>
    </row>
    <row r="7972" spans="1:10" x14ac:dyDescent="0.25">
      <c r="A7972" s="204">
        <v>44026</v>
      </c>
      <c r="B7972" s="26" t="s">
        <v>48</v>
      </c>
      <c r="C7972" s="26" t="s">
        <v>6676</v>
      </c>
      <c r="D7972" s="8">
        <v>3045</v>
      </c>
      <c r="E7972" s="8"/>
      <c r="F7972" s="92">
        <f t="shared" si="159"/>
        <v>5096</v>
      </c>
    </row>
    <row r="7973" spans="1:10" x14ac:dyDescent="0.25">
      <c r="A7973" s="204">
        <v>44026</v>
      </c>
      <c r="B7973" s="26" t="s">
        <v>48</v>
      </c>
      <c r="C7973" s="26" t="s">
        <v>6677</v>
      </c>
      <c r="D7973" s="8">
        <v>1000</v>
      </c>
      <c r="E7973" s="8"/>
      <c r="F7973" s="92">
        <f t="shared" si="159"/>
        <v>4096</v>
      </c>
    </row>
    <row r="7974" spans="1:10" ht="30" x14ac:dyDescent="0.25">
      <c r="A7974" s="204">
        <v>44026</v>
      </c>
      <c r="B7974" s="26" t="s">
        <v>3989</v>
      </c>
      <c r="C7974" s="87" t="s">
        <v>6678</v>
      </c>
      <c r="D7974" s="8">
        <v>1000</v>
      </c>
      <c r="E7974" s="8"/>
      <c r="F7974" s="92">
        <f t="shared" si="159"/>
        <v>3096</v>
      </c>
    </row>
    <row r="7975" spans="1:10" x14ac:dyDescent="0.25">
      <c r="A7975" s="204">
        <v>44026</v>
      </c>
      <c r="B7975" s="26" t="s">
        <v>1790</v>
      </c>
      <c r="C7975" s="87" t="s">
        <v>6679</v>
      </c>
      <c r="D7975" s="8">
        <v>1500</v>
      </c>
      <c r="E7975" s="8"/>
      <c r="F7975" s="92">
        <f t="shared" si="159"/>
        <v>1596</v>
      </c>
    </row>
    <row r="7976" spans="1:10" x14ac:dyDescent="0.25">
      <c r="A7976" s="204">
        <v>44026</v>
      </c>
      <c r="B7976" s="452" t="s">
        <v>6671</v>
      </c>
      <c r="C7976" s="452"/>
      <c r="D7976" s="452"/>
      <c r="E7976" s="8">
        <v>200000</v>
      </c>
      <c r="F7976" s="92">
        <f t="shared" si="159"/>
        <v>201596</v>
      </c>
      <c r="G7976" s="10"/>
      <c r="J7976" s="6"/>
    </row>
    <row r="7977" spans="1:10" x14ac:dyDescent="0.25">
      <c r="A7977" s="204">
        <v>44026</v>
      </c>
      <c r="B7977" s="262" t="s">
        <v>1515</v>
      </c>
      <c r="C7977" s="262" t="s">
        <v>14</v>
      </c>
      <c r="D7977" s="263">
        <v>50000</v>
      </c>
      <c r="E7977" s="8"/>
      <c r="F7977" s="92">
        <f t="shared" si="159"/>
        <v>151596</v>
      </c>
    </row>
    <row r="7978" spans="1:10" x14ac:dyDescent="0.25">
      <c r="A7978" s="204">
        <v>44026</v>
      </c>
      <c r="B7978" s="262" t="s">
        <v>1515</v>
      </c>
      <c r="C7978" s="262" t="s">
        <v>6600</v>
      </c>
      <c r="D7978" s="263">
        <v>30000</v>
      </c>
      <c r="E7978" s="8"/>
      <c r="F7978" s="92">
        <f t="shared" si="159"/>
        <v>121596</v>
      </c>
    </row>
    <row r="7979" spans="1:10" x14ac:dyDescent="0.25">
      <c r="A7979" s="204">
        <v>44026</v>
      </c>
      <c r="B7979" s="262" t="s">
        <v>1515</v>
      </c>
      <c r="C7979" s="262" t="s">
        <v>6680</v>
      </c>
      <c r="D7979" s="263">
        <v>25000</v>
      </c>
      <c r="E7979" s="8"/>
      <c r="F7979" s="92">
        <f t="shared" si="159"/>
        <v>96596</v>
      </c>
    </row>
    <row r="7980" spans="1:10" x14ac:dyDescent="0.25">
      <c r="A7980" s="204">
        <v>44026</v>
      </c>
      <c r="B7980" s="262" t="s">
        <v>1515</v>
      </c>
      <c r="C7980" s="262" t="s">
        <v>6687</v>
      </c>
      <c r="D7980" s="263">
        <v>25800</v>
      </c>
      <c r="E7980" s="8"/>
      <c r="F7980" s="92">
        <f t="shared" si="159"/>
        <v>70796</v>
      </c>
    </row>
    <row r="7981" spans="1:10" x14ac:dyDescent="0.25">
      <c r="A7981" s="204">
        <v>44026</v>
      </c>
      <c r="B7981" s="262" t="s">
        <v>1515</v>
      </c>
      <c r="C7981" s="262" t="s">
        <v>6681</v>
      </c>
      <c r="D7981" s="263">
        <v>18800</v>
      </c>
      <c r="E7981" s="8"/>
      <c r="F7981" s="92">
        <f t="shared" si="159"/>
        <v>51996</v>
      </c>
    </row>
    <row r="7982" spans="1:10" x14ac:dyDescent="0.25">
      <c r="A7982" s="204">
        <v>44026</v>
      </c>
      <c r="B7982" s="262" t="s">
        <v>1515</v>
      </c>
      <c r="C7982" s="262" t="s">
        <v>6682</v>
      </c>
      <c r="D7982" s="263">
        <v>35000</v>
      </c>
      <c r="E7982" s="8"/>
      <c r="F7982" s="92">
        <f t="shared" si="159"/>
        <v>16996</v>
      </c>
    </row>
    <row r="7983" spans="1:10" x14ac:dyDescent="0.25">
      <c r="A7983" s="204">
        <v>44027</v>
      </c>
      <c r="B7983" s="26" t="s">
        <v>14</v>
      </c>
      <c r="C7983" s="26" t="s">
        <v>6686</v>
      </c>
      <c r="D7983" s="8">
        <v>15000</v>
      </c>
      <c r="E7983" s="8"/>
      <c r="F7983" s="92">
        <f t="shared" si="159"/>
        <v>1996</v>
      </c>
      <c r="H7983" s="8"/>
    </row>
    <row r="7984" spans="1:10" x14ac:dyDescent="0.25">
      <c r="A7984" s="204">
        <v>44028</v>
      </c>
      <c r="B7984" s="26" t="s">
        <v>5479</v>
      </c>
      <c r="C7984" s="26" t="s">
        <v>6690</v>
      </c>
      <c r="D7984" s="8">
        <v>300</v>
      </c>
      <c r="E7984" s="8"/>
      <c r="F7984" s="92">
        <f t="shared" si="159"/>
        <v>1696</v>
      </c>
    </row>
    <row r="7985" spans="1:10" x14ac:dyDescent="0.25">
      <c r="A7985" s="204">
        <v>44028</v>
      </c>
      <c r="B7985" s="452" t="s">
        <v>6691</v>
      </c>
      <c r="C7985" s="452"/>
      <c r="D7985" s="452"/>
      <c r="E7985" s="8">
        <v>148000</v>
      </c>
      <c r="F7985" s="92">
        <f t="shared" si="159"/>
        <v>149696</v>
      </c>
      <c r="G7985" s="10"/>
      <c r="J7985" s="6"/>
    </row>
    <row r="7986" spans="1:10" ht="30" x14ac:dyDescent="0.25">
      <c r="A7986" s="204">
        <v>44028</v>
      </c>
      <c r="B7986" s="26" t="s">
        <v>58</v>
      </c>
      <c r="C7986" s="87" t="s">
        <v>6692</v>
      </c>
      <c r="D7986" s="8">
        <v>23000</v>
      </c>
      <c r="E7986" s="8"/>
      <c r="F7986" s="92">
        <f t="shared" si="159"/>
        <v>126696</v>
      </c>
    </row>
    <row r="7987" spans="1:10" x14ac:dyDescent="0.25">
      <c r="A7987" s="204">
        <v>44028</v>
      </c>
      <c r="B7987" s="29" t="s">
        <v>0</v>
      </c>
      <c r="C7987" s="29" t="s">
        <v>6693</v>
      </c>
      <c r="D7987" s="8">
        <v>8500</v>
      </c>
      <c r="E7987" s="8"/>
      <c r="F7987" s="92">
        <f t="shared" si="159"/>
        <v>118196</v>
      </c>
    </row>
    <row r="7988" spans="1:10" x14ac:dyDescent="0.25">
      <c r="A7988" s="204">
        <v>44028</v>
      </c>
      <c r="B7988" s="26" t="s">
        <v>26</v>
      </c>
      <c r="C7988" s="26" t="s">
        <v>4280</v>
      </c>
      <c r="D7988" s="8">
        <v>2610</v>
      </c>
      <c r="E7988" s="8"/>
      <c r="F7988" s="92">
        <f t="shared" si="159"/>
        <v>115586</v>
      </c>
    </row>
    <row r="7989" spans="1:10" x14ac:dyDescent="0.25">
      <c r="A7989" s="204">
        <v>44028</v>
      </c>
      <c r="B7989" s="26" t="s">
        <v>26</v>
      </c>
      <c r="C7989" s="26" t="s">
        <v>6694</v>
      </c>
      <c r="D7989" s="8">
        <v>900</v>
      </c>
      <c r="E7989" s="8"/>
      <c r="F7989" s="92">
        <f t="shared" si="159"/>
        <v>114686</v>
      </c>
    </row>
    <row r="7990" spans="1:10" x14ac:dyDescent="0.25">
      <c r="A7990" s="204">
        <v>44029</v>
      </c>
      <c r="B7990" s="26" t="s">
        <v>1682</v>
      </c>
      <c r="C7990" s="26" t="s">
        <v>6704</v>
      </c>
      <c r="D7990" s="8">
        <v>10000</v>
      </c>
      <c r="E7990" s="8"/>
      <c r="F7990" s="92">
        <f t="shared" si="159"/>
        <v>104686</v>
      </c>
    </row>
    <row r="7991" spans="1:10" x14ac:dyDescent="0.25">
      <c r="A7991" s="204">
        <v>44029</v>
      </c>
      <c r="B7991" s="26" t="s">
        <v>48</v>
      </c>
      <c r="C7991" s="87" t="s">
        <v>6705</v>
      </c>
      <c r="D7991" s="8">
        <v>4342</v>
      </c>
      <c r="E7991" s="8"/>
      <c r="F7991" s="92">
        <f t="shared" si="159"/>
        <v>100344</v>
      </c>
    </row>
    <row r="7992" spans="1:10" x14ac:dyDescent="0.25">
      <c r="A7992" s="204">
        <v>44032</v>
      </c>
      <c r="B7992" s="137" t="s">
        <v>3563</v>
      </c>
      <c r="C7992" s="137" t="s">
        <v>6642</v>
      </c>
      <c r="D7992" s="139">
        <f>35982+19975</f>
        <v>55957</v>
      </c>
      <c r="E7992" s="8"/>
      <c r="F7992" s="92">
        <f t="shared" si="159"/>
        <v>44387</v>
      </c>
    </row>
    <row r="7993" spans="1:10" x14ac:dyDescent="0.25">
      <c r="A7993" s="204">
        <v>44032</v>
      </c>
      <c r="B7993" s="137" t="s">
        <v>3563</v>
      </c>
      <c r="C7993" s="138" t="s">
        <v>6695</v>
      </c>
      <c r="D7993" s="139">
        <f>1330+3810</f>
        <v>5140</v>
      </c>
      <c r="E7993" s="8"/>
      <c r="F7993" s="92">
        <f t="shared" si="159"/>
        <v>39247</v>
      </c>
    </row>
    <row r="7994" spans="1:10" x14ac:dyDescent="0.25">
      <c r="A7994" s="204">
        <v>44032</v>
      </c>
      <c r="B7994" s="138" t="s">
        <v>26</v>
      </c>
      <c r="C7994" s="138" t="s">
        <v>6695</v>
      </c>
      <c r="D7994" s="139">
        <f>2410+1710</f>
        <v>4120</v>
      </c>
      <c r="E7994" s="8"/>
      <c r="F7994" s="92">
        <f t="shared" si="159"/>
        <v>35127</v>
      </c>
    </row>
    <row r="7995" spans="1:10" ht="30" x14ac:dyDescent="0.25">
      <c r="A7995" s="204">
        <v>44032</v>
      </c>
      <c r="B7995" s="26" t="s">
        <v>3563</v>
      </c>
      <c r="C7995" s="87" t="s">
        <v>6592</v>
      </c>
      <c r="D7995" s="8">
        <v>4200</v>
      </c>
      <c r="E7995" s="8"/>
      <c r="F7995" s="92">
        <f t="shared" si="159"/>
        <v>30927</v>
      </c>
      <c r="G7995" s="25"/>
    </row>
    <row r="7996" spans="1:10" x14ac:dyDescent="0.25">
      <c r="A7996" s="204">
        <v>44033</v>
      </c>
      <c r="B7996" s="262" t="s">
        <v>1515</v>
      </c>
      <c r="C7996" s="262" t="s">
        <v>6591</v>
      </c>
      <c r="D7996" s="263">
        <v>24000</v>
      </c>
      <c r="E7996" s="8"/>
      <c r="F7996" s="92">
        <f t="shared" si="159"/>
        <v>6927</v>
      </c>
    </row>
    <row r="7997" spans="1:10" x14ac:dyDescent="0.25">
      <c r="A7997" s="204">
        <v>44033</v>
      </c>
      <c r="B7997" s="26" t="s">
        <v>248</v>
      </c>
      <c r="C7997" s="26" t="s">
        <v>2016</v>
      </c>
      <c r="D7997" s="8">
        <v>60</v>
      </c>
      <c r="E7997" s="8"/>
      <c r="F7997" s="92">
        <f t="shared" si="159"/>
        <v>6867</v>
      </c>
    </row>
    <row r="7998" spans="1:10" x14ac:dyDescent="0.25">
      <c r="A7998" s="204">
        <v>44033</v>
      </c>
      <c r="B7998" s="26" t="s">
        <v>10</v>
      </c>
      <c r="C7998" s="87" t="s">
        <v>6701</v>
      </c>
      <c r="D7998" s="8">
        <v>2000</v>
      </c>
      <c r="E7998" s="8"/>
      <c r="F7998" s="92">
        <f t="shared" si="159"/>
        <v>4867</v>
      </c>
    </row>
    <row r="7999" spans="1:10" x14ac:dyDescent="0.25">
      <c r="A7999" s="204">
        <v>44033</v>
      </c>
      <c r="B7999" s="26" t="s">
        <v>26</v>
      </c>
      <c r="C7999" s="26" t="s">
        <v>6703</v>
      </c>
      <c r="D7999" s="8">
        <v>600</v>
      </c>
      <c r="E7999" s="8"/>
      <c r="F7999" s="92">
        <f t="shared" si="159"/>
        <v>4267</v>
      </c>
    </row>
    <row r="8000" spans="1:10" x14ac:dyDescent="0.25">
      <c r="A8000" s="204">
        <v>44033</v>
      </c>
      <c r="B8000" s="26" t="s">
        <v>26</v>
      </c>
      <c r="C8000" s="26" t="s">
        <v>4280</v>
      </c>
      <c r="D8000" s="8">
        <f>440+440+150+300+30+140+70+70+500+70+350</f>
        <v>2560</v>
      </c>
      <c r="E8000" s="8"/>
      <c r="F8000" s="92">
        <f t="shared" si="159"/>
        <v>1707</v>
      </c>
    </row>
    <row r="8001" spans="1:10" x14ac:dyDescent="0.25">
      <c r="A8001" s="204">
        <v>44033</v>
      </c>
      <c r="B8001" s="452" t="s">
        <v>6671</v>
      </c>
      <c r="C8001" s="452"/>
      <c r="D8001" s="452"/>
      <c r="E8001" s="8">
        <v>200000</v>
      </c>
      <c r="F8001" s="92">
        <f t="shared" si="159"/>
        <v>201707</v>
      </c>
      <c r="G8001" s="10"/>
      <c r="J8001" s="6"/>
    </row>
    <row r="8002" spans="1:10" x14ac:dyDescent="0.25">
      <c r="A8002" s="204">
        <v>44034</v>
      </c>
      <c r="B8002" s="137" t="s">
        <v>6285</v>
      </c>
      <c r="C8002" s="137" t="s">
        <v>6706</v>
      </c>
      <c r="D8002" s="139">
        <v>18200</v>
      </c>
      <c r="E8002" s="8"/>
      <c r="F8002" s="92">
        <f t="shared" si="159"/>
        <v>183507</v>
      </c>
    </row>
    <row r="8003" spans="1:10" x14ac:dyDescent="0.25">
      <c r="A8003" s="204">
        <v>44034</v>
      </c>
      <c r="B8003" s="137" t="s">
        <v>6285</v>
      </c>
      <c r="C8003" s="137" t="s">
        <v>6707</v>
      </c>
      <c r="D8003" s="139">
        <v>37584</v>
      </c>
      <c r="E8003" s="8"/>
      <c r="F8003" s="92">
        <f t="shared" si="159"/>
        <v>145923</v>
      </c>
    </row>
    <row r="8004" spans="1:10" x14ac:dyDescent="0.25">
      <c r="A8004" s="204">
        <v>44034</v>
      </c>
      <c r="B8004" s="137" t="s">
        <v>6285</v>
      </c>
      <c r="C8004" s="137" t="s">
        <v>6708</v>
      </c>
      <c r="D8004" s="139">
        <v>36460</v>
      </c>
      <c r="E8004" s="8"/>
      <c r="F8004" s="92">
        <f t="shared" si="159"/>
        <v>109463</v>
      </c>
    </row>
    <row r="8005" spans="1:10" x14ac:dyDescent="0.25">
      <c r="A8005" s="204">
        <v>44034</v>
      </c>
      <c r="B8005" s="29" t="s">
        <v>55</v>
      </c>
      <c r="C8005" s="29" t="s">
        <v>6709</v>
      </c>
      <c r="D8005" s="8">
        <v>13780</v>
      </c>
      <c r="E8005" s="8"/>
      <c r="F8005" s="92">
        <f t="shared" si="159"/>
        <v>95683</v>
      </c>
    </row>
    <row r="8006" spans="1:10" x14ac:dyDescent="0.25">
      <c r="A8006" s="204">
        <v>44034</v>
      </c>
      <c r="B8006" s="29" t="s">
        <v>248</v>
      </c>
      <c r="C8006" s="29" t="s">
        <v>2016</v>
      </c>
      <c r="D8006" s="8">
        <v>100</v>
      </c>
      <c r="E8006" s="8"/>
      <c r="F8006" s="92">
        <f t="shared" si="159"/>
        <v>95583</v>
      </c>
    </row>
    <row r="8007" spans="1:10" ht="75" x14ac:dyDescent="0.25">
      <c r="A8007" s="204">
        <v>44034</v>
      </c>
      <c r="B8007" s="199" t="s">
        <v>19</v>
      </c>
      <c r="C8007" s="87" t="s">
        <v>6712</v>
      </c>
      <c r="D8007" s="8">
        <v>5350</v>
      </c>
      <c r="E8007" s="8"/>
      <c r="F8007" s="92">
        <f t="shared" si="159"/>
        <v>90233</v>
      </c>
    </row>
    <row r="8008" spans="1:10" x14ac:dyDescent="0.25">
      <c r="A8008" s="204">
        <v>44034</v>
      </c>
      <c r="B8008" s="26" t="s">
        <v>26</v>
      </c>
      <c r="C8008" s="26" t="s">
        <v>6309</v>
      </c>
      <c r="D8008" s="8">
        <v>1000</v>
      </c>
      <c r="E8008" s="8"/>
      <c r="F8008" s="92">
        <f t="shared" si="159"/>
        <v>89233</v>
      </c>
    </row>
    <row r="8009" spans="1:10" x14ac:dyDescent="0.25">
      <c r="A8009" s="204">
        <v>44034</v>
      </c>
      <c r="B8009" s="26" t="s">
        <v>85</v>
      </c>
      <c r="C8009" s="26" t="s">
        <v>6710</v>
      </c>
      <c r="D8009" s="8">
        <v>5000</v>
      </c>
      <c r="E8009" s="8"/>
      <c r="F8009" s="92">
        <f t="shared" si="159"/>
        <v>84233</v>
      </c>
    </row>
    <row r="8010" spans="1:10" x14ac:dyDescent="0.25">
      <c r="A8010" s="204">
        <v>44034</v>
      </c>
      <c r="B8010" s="26" t="s">
        <v>0</v>
      </c>
      <c r="C8010" s="26" t="s">
        <v>6711</v>
      </c>
      <c r="D8010" s="8">
        <v>8000</v>
      </c>
      <c r="E8010" s="8"/>
      <c r="F8010" s="92">
        <f t="shared" si="159"/>
        <v>76233</v>
      </c>
    </row>
    <row r="8011" spans="1:10" x14ac:dyDescent="0.25">
      <c r="A8011" s="204">
        <v>44034</v>
      </c>
      <c r="B8011" s="26" t="s">
        <v>1790</v>
      </c>
      <c r="C8011" s="26" t="s">
        <v>6714</v>
      </c>
      <c r="D8011" s="8">
        <v>2350</v>
      </c>
      <c r="E8011" s="8"/>
      <c r="F8011" s="92">
        <f t="shared" si="159"/>
        <v>73883</v>
      </c>
    </row>
    <row r="8012" spans="1:10" x14ac:dyDescent="0.25">
      <c r="A8012" s="204">
        <v>44034</v>
      </c>
      <c r="B8012" s="29" t="s">
        <v>94</v>
      </c>
      <c r="C8012" s="29" t="s">
        <v>6715</v>
      </c>
      <c r="D8012" s="8">
        <v>3000</v>
      </c>
      <c r="E8012" s="8"/>
      <c r="F8012" s="92">
        <f t="shared" si="159"/>
        <v>70883</v>
      </c>
    </row>
    <row r="8013" spans="1:10" x14ac:dyDescent="0.25">
      <c r="A8013" s="204">
        <v>44035</v>
      </c>
      <c r="B8013" s="29" t="s">
        <v>26</v>
      </c>
      <c r="C8013" s="29" t="s">
        <v>5995</v>
      </c>
      <c r="D8013" s="8">
        <v>600</v>
      </c>
      <c r="E8013" s="8"/>
      <c r="F8013" s="92">
        <f t="shared" si="159"/>
        <v>70283</v>
      </c>
    </row>
    <row r="8014" spans="1:10" x14ac:dyDescent="0.25">
      <c r="A8014" s="204">
        <v>44035</v>
      </c>
      <c r="B8014" s="29" t="s">
        <v>1840</v>
      </c>
      <c r="C8014" s="89" t="s">
        <v>6716</v>
      </c>
      <c r="D8014" s="8">
        <v>1000</v>
      </c>
      <c r="E8014" s="8"/>
      <c r="F8014" s="92">
        <f t="shared" si="159"/>
        <v>69283</v>
      </c>
    </row>
    <row r="8015" spans="1:10" x14ac:dyDescent="0.25">
      <c r="A8015" s="204">
        <v>44035</v>
      </c>
      <c r="B8015" s="29" t="s">
        <v>6250</v>
      </c>
      <c r="C8015" s="29" t="s">
        <v>5941</v>
      </c>
      <c r="D8015" s="8">
        <v>4000</v>
      </c>
      <c r="E8015" s="8"/>
      <c r="F8015" s="92">
        <f t="shared" si="159"/>
        <v>65283</v>
      </c>
    </row>
    <row r="8016" spans="1:10" x14ac:dyDescent="0.25">
      <c r="A8016" s="204">
        <v>44035</v>
      </c>
      <c r="B8016" s="29" t="s">
        <v>6718</v>
      </c>
      <c r="C8016" s="29" t="s">
        <v>6719</v>
      </c>
      <c r="D8016" s="8">
        <v>2000</v>
      </c>
      <c r="E8016" s="8"/>
      <c r="F8016" s="92">
        <f t="shared" si="159"/>
        <v>63283</v>
      </c>
    </row>
    <row r="8017" spans="1:10" x14ac:dyDescent="0.25">
      <c r="A8017" s="204">
        <v>44036</v>
      </c>
      <c r="B8017" s="29" t="s">
        <v>1973</v>
      </c>
      <c r="C8017" s="29" t="s">
        <v>6717</v>
      </c>
      <c r="D8017" s="8">
        <v>50000</v>
      </c>
      <c r="E8017" s="8"/>
      <c r="F8017" s="92">
        <f t="shared" si="159"/>
        <v>13283</v>
      </c>
    </row>
    <row r="8018" spans="1:10" x14ac:dyDescent="0.25">
      <c r="A8018" s="204">
        <v>44036</v>
      </c>
      <c r="B8018" s="29" t="s">
        <v>5485</v>
      </c>
      <c r="C8018" s="29" t="s">
        <v>5576</v>
      </c>
      <c r="D8018" s="8">
        <v>600</v>
      </c>
      <c r="E8018" s="8"/>
      <c r="F8018" s="92">
        <f t="shared" si="159"/>
        <v>12683</v>
      </c>
    </row>
    <row r="8019" spans="1:10" x14ac:dyDescent="0.25">
      <c r="A8019" s="204">
        <v>44037</v>
      </c>
      <c r="B8019" s="26" t="s">
        <v>26</v>
      </c>
      <c r="C8019" s="26" t="s">
        <v>4280</v>
      </c>
      <c r="D8019" s="8">
        <f>400+490+128+15+80+150+120+120+120+40+140+90+210+70+100</f>
        <v>2273</v>
      </c>
      <c r="E8019" s="8"/>
      <c r="F8019" s="92">
        <f t="shared" si="159"/>
        <v>10410</v>
      </c>
    </row>
    <row r="8020" spans="1:10" x14ac:dyDescent="0.25">
      <c r="A8020" s="204">
        <v>44039</v>
      </c>
      <c r="B8020" s="452" t="s">
        <v>6671</v>
      </c>
      <c r="C8020" s="452"/>
      <c r="D8020" s="452"/>
      <c r="E8020" s="8">
        <v>300000</v>
      </c>
      <c r="F8020" s="92">
        <f t="shared" si="159"/>
        <v>310410</v>
      </c>
      <c r="G8020" s="10"/>
      <c r="J8020" s="6"/>
    </row>
    <row r="8021" spans="1:10" x14ac:dyDescent="0.25">
      <c r="A8021" s="204">
        <v>44039</v>
      </c>
      <c r="B8021" s="29" t="s">
        <v>4776</v>
      </c>
      <c r="C8021" s="29" t="s">
        <v>295</v>
      </c>
      <c r="D8021" s="8">
        <v>15000</v>
      </c>
      <c r="E8021" s="8"/>
      <c r="F8021" s="92">
        <f t="shared" si="159"/>
        <v>295410</v>
      </c>
    </row>
    <row r="8022" spans="1:10" x14ac:dyDescent="0.25">
      <c r="A8022" s="204">
        <v>44039</v>
      </c>
      <c r="B8022" s="262" t="s">
        <v>1515</v>
      </c>
      <c r="C8022" s="262" t="s">
        <v>6727</v>
      </c>
      <c r="D8022" s="263">
        <v>36200</v>
      </c>
      <c r="E8022" s="8"/>
      <c r="F8022" s="92">
        <f t="shared" si="159"/>
        <v>259210</v>
      </c>
    </row>
    <row r="8023" spans="1:10" x14ac:dyDescent="0.25">
      <c r="A8023" s="204">
        <v>44039</v>
      </c>
      <c r="B8023" s="29" t="s">
        <v>85</v>
      </c>
      <c r="C8023" s="29" t="s">
        <v>6720</v>
      </c>
      <c r="D8023" s="8">
        <v>20000</v>
      </c>
      <c r="E8023" s="8"/>
      <c r="F8023" s="92">
        <f t="shared" si="159"/>
        <v>239210</v>
      </c>
    </row>
    <row r="8024" spans="1:10" x14ac:dyDescent="0.25">
      <c r="A8024" s="204">
        <v>44039</v>
      </c>
      <c r="B8024" s="138" t="s">
        <v>0</v>
      </c>
      <c r="C8024" s="138" t="s">
        <v>6721</v>
      </c>
      <c r="D8024" s="139">
        <v>22500</v>
      </c>
      <c r="E8024" s="8"/>
      <c r="F8024" s="92">
        <f t="shared" si="159"/>
        <v>216710</v>
      </c>
    </row>
    <row r="8025" spans="1:10" x14ac:dyDescent="0.25">
      <c r="A8025" s="204">
        <v>44039</v>
      </c>
      <c r="B8025" s="29" t="s">
        <v>6722</v>
      </c>
      <c r="C8025" s="29" t="s">
        <v>6723</v>
      </c>
      <c r="D8025" s="8">
        <v>3500</v>
      </c>
      <c r="E8025" s="8"/>
      <c r="F8025" s="92">
        <f t="shared" si="159"/>
        <v>213210</v>
      </c>
    </row>
    <row r="8026" spans="1:10" ht="30" x14ac:dyDescent="0.25">
      <c r="A8026" s="204">
        <v>44040</v>
      </c>
      <c r="B8026" s="26" t="s">
        <v>111</v>
      </c>
      <c r="C8026" s="87" t="s">
        <v>6724</v>
      </c>
      <c r="D8026" s="8">
        <v>77000</v>
      </c>
      <c r="E8026" s="8"/>
      <c r="F8026" s="92">
        <f t="shared" si="159"/>
        <v>136210</v>
      </c>
    </row>
    <row r="8027" spans="1:10" x14ac:dyDescent="0.25">
      <c r="A8027" s="204">
        <v>44040</v>
      </c>
      <c r="B8027" s="26" t="s">
        <v>6725</v>
      </c>
      <c r="C8027" s="26" t="s">
        <v>6726</v>
      </c>
      <c r="D8027" s="8">
        <v>10000</v>
      </c>
      <c r="E8027" s="8"/>
      <c r="F8027" s="92">
        <f t="shared" si="159"/>
        <v>126210</v>
      </c>
    </row>
    <row r="8028" spans="1:10" x14ac:dyDescent="0.25">
      <c r="A8028" s="204">
        <v>44041</v>
      </c>
      <c r="B8028" s="26" t="s">
        <v>4776</v>
      </c>
      <c r="C8028" s="26" t="s">
        <v>295</v>
      </c>
      <c r="D8028" s="8">
        <v>20000</v>
      </c>
      <c r="E8028" s="8"/>
      <c r="F8028" s="92">
        <f t="shared" si="159"/>
        <v>106210</v>
      </c>
    </row>
    <row r="8029" spans="1:10" ht="45" x14ac:dyDescent="0.25">
      <c r="A8029" s="204">
        <v>44041</v>
      </c>
      <c r="B8029" s="26" t="s">
        <v>14</v>
      </c>
      <c r="C8029" s="87" t="s">
        <v>6761</v>
      </c>
      <c r="D8029" s="8">
        <v>20120</v>
      </c>
      <c r="E8029" s="8"/>
      <c r="F8029" s="92">
        <f t="shared" si="159"/>
        <v>86090</v>
      </c>
    </row>
    <row r="8030" spans="1:10" x14ac:dyDescent="0.25">
      <c r="A8030" s="204">
        <v>44041</v>
      </c>
      <c r="B8030" s="26" t="s">
        <v>5201</v>
      </c>
      <c r="C8030" s="87" t="s">
        <v>6760</v>
      </c>
      <c r="D8030" s="8">
        <v>12000</v>
      </c>
      <c r="E8030" s="8"/>
      <c r="F8030" s="92">
        <f t="shared" si="159"/>
        <v>74090</v>
      </c>
    </row>
    <row r="8031" spans="1:10" x14ac:dyDescent="0.25">
      <c r="A8031" s="204">
        <v>44041</v>
      </c>
      <c r="B8031" s="26" t="s">
        <v>248</v>
      </c>
      <c r="C8031" s="26" t="s">
        <v>6729</v>
      </c>
      <c r="D8031" s="8">
        <v>50</v>
      </c>
      <c r="E8031" s="8"/>
      <c r="F8031" s="92">
        <f t="shared" si="159"/>
        <v>74040</v>
      </c>
    </row>
    <row r="8032" spans="1:10" x14ac:dyDescent="0.25">
      <c r="A8032" s="204">
        <v>44041</v>
      </c>
      <c r="B8032" s="26" t="s">
        <v>85</v>
      </c>
      <c r="C8032" s="26" t="s">
        <v>6730</v>
      </c>
      <c r="D8032" s="8">
        <v>10000</v>
      </c>
      <c r="E8032" s="8"/>
      <c r="F8032" s="92">
        <f t="shared" si="159"/>
        <v>64040</v>
      </c>
    </row>
    <row r="8033" spans="1:10" x14ac:dyDescent="0.25">
      <c r="A8033" s="204">
        <v>44041</v>
      </c>
      <c r="B8033" s="26" t="s">
        <v>542</v>
      </c>
      <c r="C8033" s="87" t="s">
        <v>6731</v>
      </c>
      <c r="D8033" s="8">
        <v>13500</v>
      </c>
      <c r="E8033" s="8"/>
      <c r="F8033" s="92">
        <f t="shared" si="159"/>
        <v>50540</v>
      </c>
    </row>
    <row r="8034" spans="1:10" x14ac:dyDescent="0.25">
      <c r="A8034" s="204">
        <v>44041</v>
      </c>
      <c r="B8034" s="26" t="s">
        <v>19</v>
      </c>
      <c r="C8034" s="26" t="s">
        <v>6733</v>
      </c>
      <c r="D8034" s="8">
        <v>500</v>
      </c>
      <c r="E8034" s="8"/>
      <c r="F8034" s="92">
        <f t="shared" si="159"/>
        <v>50040</v>
      </c>
    </row>
    <row r="8035" spans="1:10" x14ac:dyDescent="0.25">
      <c r="A8035" s="204">
        <v>44041</v>
      </c>
      <c r="B8035" s="26" t="s">
        <v>26</v>
      </c>
      <c r="C8035" s="26" t="s">
        <v>6734</v>
      </c>
      <c r="D8035" s="8">
        <f>80+120+95+120+50+500</f>
        <v>965</v>
      </c>
      <c r="E8035" s="8"/>
      <c r="F8035" s="92">
        <f t="shared" si="159"/>
        <v>49075</v>
      </c>
    </row>
    <row r="8036" spans="1:10" x14ac:dyDescent="0.25">
      <c r="A8036" s="204">
        <v>44041</v>
      </c>
      <c r="B8036" s="26" t="s">
        <v>26</v>
      </c>
      <c r="C8036" s="26" t="s">
        <v>6736</v>
      </c>
      <c r="D8036" s="8">
        <v>250</v>
      </c>
      <c r="E8036" s="8"/>
      <c r="F8036" s="92">
        <f t="shared" si="159"/>
        <v>48825</v>
      </c>
    </row>
    <row r="8037" spans="1:10" x14ac:dyDescent="0.25">
      <c r="A8037" s="204">
        <v>44042</v>
      </c>
      <c r="B8037" s="452" t="s">
        <v>6671</v>
      </c>
      <c r="C8037" s="452"/>
      <c r="D8037" s="452"/>
      <c r="E8037" s="8">
        <v>300000</v>
      </c>
      <c r="F8037" s="92">
        <f t="shared" ref="F8037:F8096" si="160">F8036+E8037-D8037</f>
        <v>348825</v>
      </c>
      <c r="G8037" s="10"/>
      <c r="J8037" s="6"/>
    </row>
    <row r="8038" spans="1:10" x14ac:dyDescent="0.25">
      <c r="A8038" s="204">
        <v>44042</v>
      </c>
      <c r="B8038" s="26" t="s">
        <v>1973</v>
      </c>
      <c r="C8038" s="26" t="s">
        <v>6735</v>
      </c>
      <c r="D8038" s="8">
        <v>50000</v>
      </c>
      <c r="E8038" s="8"/>
      <c r="F8038" s="92">
        <f t="shared" si="160"/>
        <v>298825</v>
      </c>
    </row>
    <row r="8039" spans="1:10" x14ac:dyDescent="0.25">
      <c r="A8039" s="204">
        <v>44042</v>
      </c>
      <c r="B8039" s="26" t="s">
        <v>2351</v>
      </c>
      <c r="C8039" s="26" t="s">
        <v>5864</v>
      </c>
      <c r="D8039" s="8">
        <v>50000</v>
      </c>
      <c r="E8039" s="8"/>
      <c r="F8039" s="92">
        <f t="shared" si="160"/>
        <v>248825</v>
      </c>
    </row>
    <row r="8040" spans="1:10" x14ac:dyDescent="0.25">
      <c r="A8040" s="204">
        <v>44042</v>
      </c>
      <c r="B8040" s="266" t="s">
        <v>1515</v>
      </c>
      <c r="C8040" s="266" t="s">
        <v>4613</v>
      </c>
      <c r="D8040" s="267">
        <v>15000</v>
      </c>
      <c r="E8040" s="8"/>
      <c r="F8040" s="92">
        <f t="shared" si="160"/>
        <v>233825</v>
      </c>
      <c r="G8040" s="25"/>
    </row>
    <row r="8041" spans="1:10" x14ac:dyDescent="0.25">
      <c r="A8041" s="204">
        <v>44042</v>
      </c>
      <c r="B8041" s="266" t="s">
        <v>85</v>
      </c>
      <c r="C8041" s="268" t="s">
        <v>6737</v>
      </c>
      <c r="D8041" s="267">
        <v>15000</v>
      </c>
      <c r="E8041" s="8"/>
      <c r="F8041" s="92">
        <f t="shared" si="160"/>
        <v>218825</v>
      </c>
    </row>
    <row r="8042" spans="1:10" x14ac:dyDescent="0.25">
      <c r="A8042" s="204">
        <v>44042</v>
      </c>
      <c r="B8042" s="266" t="s">
        <v>85</v>
      </c>
      <c r="C8042" s="268" t="s">
        <v>6738</v>
      </c>
      <c r="D8042" s="267">
        <v>5000</v>
      </c>
      <c r="E8042" s="8"/>
      <c r="F8042" s="92">
        <f t="shared" si="160"/>
        <v>213825</v>
      </c>
    </row>
    <row r="8043" spans="1:10" x14ac:dyDescent="0.25">
      <c r="A8043" s="204">
        <v>44042</v>
      </c>
      <c r="B8043" s="266" t="s">
        <v>85</v>
      </c>
      <c r="C8043" s="268" t="s">
        <v>6739</v>
      </c>
      <c r="D8043" s="267">
        <v>5000</v>
      </c>
      <c r="E8043" s="8"/>
      <c r="F8043" s="92">
        <f t="shared" si="160"/>
        <v>208825</v>
      </c>
    </row>
    <row r="8044" spans="1:10" x14ac:dyDescent="0.25">
      <c r="A8044" s="204">
        <v>44042</v>
      </c>
      <c r="B8044" s="266" t="s">
        <v>85</v>
      </c>
      <c r="C8044" s="268" t="s">
        <v>6740</v>
      </c>
      <c r="D8044" s="267">
        <v>3000</v>
      </c>
      <c r="E8044" s="8"/>
      <c r="F8044" s="92">
        <f t="shared" si="160"/>
        <v>205825</v>
      </c>
    </row>
    <row r="8045" spans="1:10" x14ac:dyDescent="0.25">
      <c r="A8045" s="204">
        <v>44042</v>
      </c>
      <c r="B8045" s="26" t="s">
        <v>5225</v>
      </c>
      <c r="C8045" s="26" t="s">
        <v>6747</v>
      </c>
      <c r="D8045" s="8">
        <f>21400+9000</f>
        <v>30400</v>
      </c>
      <c r="E8045" s="8"/>
      <c r="F8045" s="92">
        <f t="shared" si="160"/>
        <v>175425</v>
      </c>
    </row>
    <row r="8046" spans="1:10" x14ac:dyDescent="0.25">
      <c r="A8046" s="204">
        <v>44042</v>
      </c>
      <c r="B8046" s="266" t="s">
        <v>85</v>
      </c>
      <c r="C8046" s="268" t="s">
        <v>6748</v>
      </c>
      <c r="D8046" s="267">
        <v>100000</v>
      </c>
      <c r="E8046" s="8"/>
      <c r="F8046" s="92">
        <f t="shared" si="160"/>
        <v>75425</v>
      </c>
    </row>
    <row r="8047" spans="1:10" x14ac:dyDescent="0.25">
      <c r="A8047" s="204">
        <v>44042</v>
      </c>
      <c r="B8047" s="26" t="s">
        <v>14</v>
      </c>
      <c r="C8047" s="26" t="s">
        <v>295</v>
      </c>
      <c r="D8047" s="8">
        <v>20000</v>
      </c>
      <c r="E8047" s="8"/>
      <c r="F8047" s="92">
        <f t="shared" si="160"/>
        <v>55425</v>
      </c>
    </row>
    <row r="8048" spans="1:10" x14ac:dyDescent="0.25">
      <c r="A8048" s="204">
        <v>44042</v>
      </c>
      <c r="B8048" s="26" t="s">
        <v>6743</v>
      </c>
      <c r="C8048" s="26" t="s">
        <v>6746</v>
      </c>
      <c r="D8048" s="8">
        <v>25000</v>
      </c>
      <c r="E8048" s="8"/>
      <c r="F8048" s="92">
        <f t="shared" si="160"/>
        <v>30425</v>
      </c>
    </row>
    <row r="8049" spans="1:10" x14ac:dyDescent="0.25">
      <c r="A8049" s="204">
        <v>44042</v>
      </c>
      <c r="B8049" s="266" t="s">
        <v>85</v>
      </c>
      <c r="C8049" s="268" t="s">
        <v>6744</v>
      </c>
      <c r="D8049" s="267">
        <v>3000</v>
      </c>
      <c r="E8049" s="8"/>
      <c r="F8049" s="92">
        <f t="shared" si="160"/>
        <v>27425</v>
      </c>
    </row>
    <row r="8050" spans="1:10" x14ac:dyDescent="0.25">
      <c r="A8050" s="204">
        <v>44042</v>
      </c>
      <c r="B8050" s="266" t="s">
        <v>85</v>
      </c>
      <c r="C8050" s="268" t="s">
        <v>6745</v>
      </c>
      <c r="D8050" s="267">
        <v>2000</v>
      </c>
      <c r="E8050" s="8"/>
      <c r="F8050" s="92">
        <f t="shared" si="160"/>
        <v>25425</v>
      </c>
    </row>
    <row r="8051" spans="1:10" x14ac:dyDescent="0.25">
      <c r="A8051" s="204">
        <v>44042</v>
      </c>
      <c r="B8051" s="199" t="s">
        <v>1840</v>
      </c>
      <c r="C8051" s="207" t="s">
        <v>2083</v>
      </c>
      <c r="D8051" s="91">
        <v>1000</v>
      </c>
      <c r="E8051" s="91"/>
      <c r="F8051" s="92">
        <f t="shared" si="160"/>
        <v>24425</v>
      </c>
    </row>
    <row r="8052" spans="1:10" x14ac:dyDescent="0.25">
      <c r="A8052" s="204">
        <v>44047</v>
      </c>
      <c r="B8052" s="26" t="s">
        <v>2573</v>
      </c>
      <c r="C8052" s="26" t="s">
        <v>6756</v>
      </c>
      <c r="D8052" s="8">
        <v>650</v>
      </c>
      <c r="E8052" s="8"/>
      <c r="F8052" s="92">
        <f t="shared" si="160"/>
        <v>23775</v>
      </c>
    </row>
    <row r="8053" spans="1:10" x14ac:dyDescent="0.25">
      <c r="A8053" s="204">
        <v>44047</v>
      </c>
      <c r="B8053" s="26" t="s">
        <v>26</v>
      </c>
      <c r="C8053" s="26" t="s">
        <v>6752</v>
      </c>
      <c r="D8053" s="8">
        <v>600</v>
      </c>
      <c r="E8053" s="8"/>
      <c r="F8053" s="92">
        <f t="shared" si="160"/>
        <v>23175</v>
      </c>
      <c r="G8053" s="25"/>
    </row>
    <row r="8054" spans="1:10" x14ac:dyDescent="0.25">
      <c r="A8054" s="204">
        <v>44047</v>
      </c>
      <c r="B8054" s="452" t="s">
        <v>6691</v>
      </c>
      <c r="C8054" s="452"/>
      <c r="D8054" s="452"/>
      <c r="E8054" s="8">
        <v>70000</v>
      </c>
      <c r="F8054" s="92">
        <f t="shared" si="160"/>
        <v>93175</v>
      </c>
      <c r="G8054" s="10"/>
      <c r="J8054" s="6"/>
    </row>
    <row r="8055" spans="1:10" x14ac:dyDescent="0.25">
      <c r="A8055" s="204">
        <v>44047</v>
      </c>
      <c r="B8055" s="26" t="s">
        <v>0</v>
      </c>
      <c r="C8055" s="26" t="s">
        <v>6755</v>
      </c>
      <c r="D8055" s="8">
        <v>5000</v>
      </c>
      <c r="E8055" s="8"/>
      <c r="F8055" s="92">
        <f t="shared" si="160"/>
        <v>88175</v>
      </c>
    </row>
    <row r="8056" spans="1:10" x14ac:dyDescent="0.25">
      <c r="A8056" s="204">
        <v>44047</v>
      </c>
      <c r="B8056" s="26" t="s">
        <v>26</v>
      </c>
      <c r="C8056" s="26" t="s">
        <v>6734</v>
      </c>
      <c r="D8056" s="8">
        <v>4900</v>
      </c>
      <c r="E8056" s="8"/>
      <c r="F8056" s="92">
        <f t="shared" si="160"/>
        <v>83275</v>
      </c>
    </row>
    <row r="8057" spans="1:10" x14ac:dyDescent="0.25">
      <c r="A8057" s="204">
        <v>44048</v>
      </c>
      <c r="B8057" s="26" t="s">
        <v>26</v>
      </c>
      <c r="C8057" s="26" t="s">
        <v>6757</v>
      </c>
      <c r="D8057" s="8">
        <v>350</v>
      </c>
      <c r="E8057" s="8"/>
      <c r="F8057" s="92">
        <f t="shared" si="160"/>
        <v>82925</v>
      </c>
    </row>
    <row r="8058" spans="1:10" x14ac:dyDescent="0.25">
      <c r="A8058" s="204">
        <v>44048</v>
      </c>
      <c r="B8058" s="26" t="s">
        <v>248</v>
      </c>
      <c r="C8058" s="26" t="s">
        <v>1627</v>
      </c>
      <c r="D8058" s="8">
        <v>50</v>
      </c>
      <c r="E8058" s="8"/>
      <c r="F8058" s="92">
        <f t="shared" si="160"/>
        <v>82875</v>
      </c>
    </row>
    <row r="8059" spans="1:10" x14ac:dyDescent="0.25">
      <c r="A8059" s="204">
        <v>44048</v>
      </c>
      <c r="B8059" s="26" t="s">
        <v>26</v>
      </c>
      <c r="C8059" s="26" t="s">
        <v>6758</v>
      </c>
      <c r="D8059" s="8">
        <v>2000</v>
      </c>
      <c r="E8059" s="8"/>
      <c r="F8059" s="92">
        <f t="shared" si="160"/>
        <v>80875</v>
      </c>
    </row>
    <row r="8060" spans="1:10" x14ac:dyDescent="0.25">
      <c r="A8060" s="204">
        <v>44048</v>
      </c>
      <c r="B8060" s="26" t="s">
        <v>1515</v>
      </c>
      <c r="C8060" s="26" t="s">
        <v>6774</v>
      </c>
      <c r="D8060" s="8">
        <v>6000</v>
      </c>
      <c r="E8060" s="8"/>
      <c r="F8060" s="92">
        <f t="shared" si="160"/>
        <v>74875</v>
      </c>
    </row>
    <row r="8061" spans="1:10" x14ac:dyDescent="0.25">
      <c r="A8061" s="204">
        <v>44048</v>
      </c>
      <c r="B8061" s="26" t="s">
        <v>6550</v>
      </c>
      <c r="C8061" s="26" t="s">
        <v>2016</v>
      </c>
      <c r="D8061" s="8">
        <v>100</v>
      </c>
      <c r="E8061" s="8"/>
      <c r="F8061" s="92">
        <f t="shared" si="160"/>
        <v>74775</v>
      </c>
    </row>
    <row r="8062" spans="1:10" x14ac:dyDescent="0.25">
      <c r="A8062" s="204">
        <v>44048</v>
      </c>
      <c r="B8062" s="26" t="s">
        <v>65</v>
      </c>
      <c r="C8062" s="26" t="s">
        <v>6759</v>
      </c>
      <c r="D8062" s="8">
        <v>1200</v>
      </c>
      <c r="E8062" s="8"/>
      <c r="F8062" s="92">
        <f t="shared" si="160"/>
        <v>73575</v>
      </c>
    </row>
    <row r="8063" spans="1:10" x14ac:dyDescent="0.25">
      <c r="A8063" s="204">
        <v>44049</v>
      </c>
      <c r="B8063" s="26" t="s">
        <v>0</v>
      </c>
      <c r="C8063" s="26" t="s">
        <v>6070</v>
      </c>
      <c r="D8063" s="8">
        <v>10000</v>
      </c>
      <c r="E8063" s="8"/>
      <c r="F8063" s="92">
        <f t="shared" si="160"/>
        <v>63575</v>
      </c>
    </row>
    <row r="8064" spans="1:10" x14ac:dyDescent="0.25">
      <c r="A8064" s="204">
        <v>44049</v>
      </c>
      <c r="B8064" s="29" t="s">
        <v>19</v>
      </c>
      <c r="C8064" s="29" t="s">
        <v>6762</v>
      </c>
      <c r="D8064" s="8">
        <v>5000</v>
      </c>
      <c r="E8064" s="8"/>
      <c r="F8064" s="92">
        <f t="shared" si="160"/>
        <v>58575</v>
      </c>
    </row>
    <row r="8065" spans="1:10" x14ac:dyDescent="0.25">
      <c r="A8065" s="204">
        <v>44049</v>
      </c>
      <c r="B8065" s="29" t="s">
        <v>14</v>
      </c>
      <c r="C8065" s="29" t="s">
        <v>641</v>
      </c>
      <c r="D8065" s="8">
        <v>1000</v>
      </c>
      <c r="E8065" s="8"/>
      <c r="F8065" s="92">
        <f t="shared" si="160"/>
        <v>57575</v>
      </c>
    </row>
    <row r="8066" spans="1:10" x14ac:dyDescent="0.25">
      <c r="A8066" s="204">
        <v>44053</v>
      </c>
      <c r="B8066" s="29" t="s">
        <v>4776</v>
      </c>
      <c r="C8066" s="89" t="s">
        <v>6775</v>
      </c>
      <c r="D8066" s="8">
        <v>25000</v>
      </c>
      <c r="E8066" s="8"/>
      <c r="F8066" s="92">
        <f t="shared" si="160"/>
        <v>32575</v>
      </c>
    </row>
    <row r="8067" spans="1:10" x14ac:dyDescent="0.25">
      <c r="A8067" s="204">
        <v>44053</v>
      </c>
      <c r="B8067" s="29" t="s">
        <v>5140</v>
      </c>
      <c r="C8067" s="29" t="s">
        <v>41</v>
      </c>
      <c r="D8067" s="8">
        <v>4000</v>
      </c>
      <c r="E8067" s="8"/>
      <c r="F8067" s="92">
        <f t="shared" si="160"/>
        <v>28575</v>
      </c>
    </row>
    <row r="8068" spans="1:10" x14ac:dyDescent="0.25">
      <c r="A8068" s="204">
        <v>44053</v>
      </c>
      <c r="B8068" s="452" t="s">
        <v>6768</v>
      </c>
      <c r="C8068" s="452"/>
      <c r="D8068" s="452"/>
      <c r="E8068" s="8">
        <v>288750</v>
      </c>
      <c r="F8068" s="92">
        <f t="shared" si="160"/>
        <v>317325</v>
      </c>
      <c r="G8068" s="10"/>
      <c r="J8068" s="6"/>
    </row>
    <row r="8069" spans="1:10" x14ac:dyDescent="0.25">
      <c r="A8069" s="204">
        <v>44053</v>
      </c>
      <c r="B8069" s="452" t="s">
        <v>6769</v>
      </c>
      <c r="C8069" s="452"/>
      <c r="D8069" s="452"/>
      <c r="E8069" s="8">
        <v>130745</v>
      </c>
      <c r="F8069" s="92">
        <f t="shared" si="160"/>
        <v>448070</v>
      </c>
    </row>
    <row r="8070" spans="1:10" x14ac:dyDescent="0.25">
      <c r="A8070" s="204">
        <v>44054</v>
      </c>
      <c r="B8070" s="21" t="s">
        <v>14</v>
      </c>
      <c r="C8070" s="21" t="s">
        <v>6778</v>
      </c>
      <c r="D8070" s="10">
        <v>70000</v>
      </c>
      <c r="F8070" s="92">
        <f t="shared" si="160"/>
        <v>378070</v>
      </c>
    </row>
    <row r="8071" spans="1:10" x14ac:dyDescent="0.25">
      <c r="A8071" s="204">
        <v>44054</v>
      </c>
      <c r="B8071" s="138" t="s">
        <v>6770</v>
      </c>
      <c r="C8071" s="138" t="s">
        <v>295</v>
      </c>
      <c r="D8071" s="139">
        <v>15000</v>
      </c>
      <c r="E8071" s="8"/>
      <c r="F8071" s="92">
        <f t="shared" si="160"/>
        <v>363070</v>
      </c>
    </row>
    <row r="8072" spans="1:10" x14ac:dyDescent="0.25">
      <c r="A8072" s="204">
        <v>44054</v>
      </c>
      <c r="B8072" s="29" t="s">
        <v>26</v>
      </c>
      <c r="C8072" s="29" t="s">
        <v>6771</v>
      </c>
      <c r="D8072" s="8">
        <v>1500</v>
      </c>
      <c r="E8072" s="8"/>
      <c r="F8072" s="92">
        <f t="shared" si="160"/>
        <v>361570</v>
      </c>
    </row>
    <row r="8073" spans="1:10" x14ac:dyDescent="0.25">
      <c r="A8073" s="204">
        <v>44054</v>
      </c>
      <c r="B8073" s="138" t="s">
        <v>6770</v>
      </c>
      <c r="C8073" s="138" t="s">
        <v>6773</v>
      </c>
      <c r="D8073" s="139">
        <v>3000</v>
      </c>
      <c r="E8073" s="8"/>
      <c r="F8073" s="92">
        <f t="shared" si="160"/>
        <v>358570</v>
      </c>
    </row>
    <row r="8074" spans="1:10" x14ac:dyDescent="0.25">
      <c r="A8074" s="204">
        <v>44055</v>
      </c>
      <c r="B8074" s="452" t="s">
        <v>6671</v>
      </c>
      <c r="C8074" s="452"/>
      <c r="D8074" s="452"/>
      <c r="E8074" s="8">
        <v>400000</v>
      </c>
      <c r="F8074" s="92">
        <f t="shared" si="160"/>
        <v>758570</v>
      </c>
      <c r="G8074" s="10"/>
      <c r="J8074" s="6"/>
    </row>
    <row r="8075" spans="1:10" x14ac:dyDescent="0.25">
      <c r="A8075" s="204">
        <v>44055</v>
      </c>
      <c r="B8075" s="262" t="s">
        <v>55</v>
      </c>
      <c r="C8075" s="262" t="s">
        <v>14</v>
      </c>
      <c r="D8075" s="263">
        <v>50000</v>
      </c>
      <c r="E8075" s="8"/>
      <c r="F8075" s="92">
        <f t="shared" si="160"/>
        <v>708570</v>
      </c>
    </row>
    <row r="8076" spans="1:10" x14ac:dyDescent="0.25">
      <c r="A8076" s="204">
        <v>44055</v>
      </c>
      <c r="B8076" s="262" t="s">
        <v>55</v>
      </c>
      <c r="C8076" s="262" t="s">
        <v>26</v>
      </c>
      <c r="D8076" s="263">
        <v>66000</v>
      </c>
      <c r="E8076" s="8"/>
      <c r="F8076" s="92">
        <f t="shared" si="160"/>
        <v>642570</v>
      </c>
    </row>
    <row r="8077" spans="1:10" x14ac:dyDescent="0.25">
      <c r="A8077" s="204">
        <v>44055</v>
      </c>
      <c r="B8077" s="262" t="s">
        <v>55</v>
      </c>
      <c r="C8077" s="262" t="s">
        <v>6286</v>
      </c>
      <c r="D8077" s="263">
        <v>32250</v>
      </c>
      <c r="E8077" s="8"/>
      <c r="F8077" s="92">
        <f t="shared" si="160"/>
        <v>610320</v>
      </c>
    </row>
    <row r="8078" spans="1:10" x14ac:dyDescent="0.25">
      <c r="A8078" s="204">
        <v>44055</v>
      </c>
      <c r="B8078" s="262" t="s">
        <v>55</v>
      </c>
      <c r="C8078" s="262" t="s">
        <v>5384</v>
      </c>
      <c r="D8078" s="263">
        <v>30919.354838709678</v>
      </c>
      <c r="E8078" s="8"/>
      <c r="F8078" s="92">
        <f t="shared" si="160"/>
        <v>579400.6451612903</v>
      </c>
    </row>
    <row r="8079" spans="1:10" x14ac:dyDescent="0.25">
      <c r="A8079" s="204">
        <v>44055</v>
      </c>
      <c r="B8079" s="262" t="s">
        <v>55</v>
      </c>
      <c r="C8079" s="262" t="s">
        <v>6646</v>
      </c>
      <c r="D8079" s="263">
        <v>169629</v>
      </c>
      <c r="E8079" s="8"/>
      <c r="F8079" s="92">
        <f t="shared" si="160"/>
        <v>409771.6451612903</v>
      </c>
    </row>
    <row r="8080" spans="1:10" x14ac:dyDescent="0.25">
      <c r="A8080" s="204">
        <v>44055</v>
      </c>
      <c r="B8080" s="262" t="s">
        <v>55</v>
      </c>
      <c r="C8080" s="262" t="s">
        <v>5525</v>
      </c>
      <c r="D8080" s="263">
        <v>105737.90322580645</v>
      </c>
      <c r="E8080" s="8"/>
      <c r="F8080" s="92">
        <f t="shared" si="160"/>
        <v>304033.74193548388</v>
      </c>
    </row>
    <row r="8081" spans="1:6" x14ac:dyDescent="0.25">
      <c r="A8081" s="204">
        <v>44055</v>
      </c>
      <c r="B8081" s="262" t="s">
        <v>55</v>
      </c>
      <c r="C8081" s="262" t="s">
        <v>6288</v>
      </c>
      <c r="D8081" s="263">
        <v>92983.870967741939</v>
      </c>
      <c r="E8081" s="8"/>
      <c r="F8081" s="92">
        <f t="shared" si="160"/>
        <v>211049.87096774194</v>
      </c>
    </row>
    <row r="8082" spans="1:6" x14ac:dyDescent="0.25">
      <c r="A8082" s="204">
        <v>44055</v>
      </c>
      <c r="B8082" s="262" t="s">
        <v>55</v>
      </c>
      <c r="C8082" s="262" t="s">
        <v>2951</v>
      </c>
      <c r="D8082" s="263">
        <v>31726</v>
      </c>
      <c r="E8082" s="8"/>
      <c r="F8082" s="92">
        <f t="shared" si="160"/>
        <v>179323.87096774194</v>
      </c>
    </row>
    <row r="8083" spans="1:6" x14ac:dyDescent="0.25">
      <c r="A8083" s="204">
        <v>44055</v>
      </c>
      <c r="B8083" s="262" t="s">
        <v>55</v>
      </c>
      <c r="C8083" s="262" t="s">
        <v>6777</v>
      </c>
      <c r="D8083" s="263">
        <f>138115-50000</f>
        <v>88115</v>
      </c>
      <c r="E8083" s="8"/>
      <c r="F8083" s="92">
        <f t="shared" si="160"/>
        <v>91208.870967741939</v>
      </c>
    </row>
    <row r="8084" spans="1:6" x14ac:dyDescent="0.25">
      <c r="A8084" s="204">
        <v>44055</v>
      </c>
      <c r="B8084" s="29" t="s">
        <v>14</v>
      </c>
      <c r="C8084" s="29" t="s">
        <v>6778</v>
      </c>
      <c r="D8084" s="8">
        <v>50000</v>
      </c>
      <c r="E8084" s="8"/>
      <c r="F8084" s="92">
        <f t="shared" si="160"/>
        <v>41208.870967741939</v>
      </c>
    </row>
    <row r="8085" spans="1:6" x14ac:dyDescent="0.25">
      <c r="A8085" s="204">
        <v>44055</v>
      </c>
      <c r="B8085" s="29" t="s">
        <v>10</v>
      </c>
      <c r="C8085" s="29" t="s">
        <v>6779</v>
      </c>
      <c r="D8085" s="8">
        <v>2000</v>
      </c>
      <c r="E8085" s="8"/>
      <c r="F8085" s="92">
        <f t="shared" si="160"/>
        <v>39208.870967741939</v>
      </c>
    </row>
    <row r="8086" spans="1:6" x14ac:dyDescent="0.25">
      <c r="A8086" s="204">
        <v>44055</v>
      </c>
      <c r="B8086" s="29" t="s">
        <v>26</v>
      </c>
      <c r="C8086" s="29" t="s">
        <v>6780</v>
      </c>
      <c r="D8086" s="8">
        <v>430</v>
      </c>
      <c r="E8086" s="8"/>
      <c r="F8086" s="92">
        <f t="shared" si="160"/>
        <v>38778.870967741939</v>
      </c>
    </row>
    <row r="8087" spans="1:6" x14ac:dyDescent="0.25">
      <c r="A8087" s="204">
        <v>44055</v>
      </c>
      <c r="B8087" s="29" t="s">
        <v>26</v>
      </c>
      <c r="C8087" s="29" t="s">
        <v>2028</v>
      </c>
      <c r="D8087" s="8">
        <v>70</v>
      </c>
      <c r="E8087" s="8"/>
      <c r="F8087" s="92">
        <f t="shared" si="160"/>
        <v>38708.870967741939</v>
      </c>
    </row>
    <row r="8088" spans="1:6" x14ac:dyDescent="0.25">
      <c r="A8088" s="204">
        <v>44055</v>
      </c>
      <c r="B8088" s="29" t="s">
        <v>48</v>
      </c>
      <c r="C8088" s="29" t="s">
        <v>6781</v>
      </c>
      <c r="D8088" s="8">
        <v>5000</v>
      </c>
      <c r="E8088" s="8"/>
      <c r="F8088" s="92">
        <f t="shared" si="160"/>
        <v>33708.870967741939</v>
      </c>
    </row>
    <row r="8089" spans="1:6" x14ac:dyDescent="0.25">
      <c r="A8089" s="204">
        <v>44055</v>
      </c>
      <c r="B8089" s="29" t="s">
        <v>26</v>
      </c>
      <c r="C8089" s="29" t="s">
        <v>6782</v>
      </c>
      <c r="D8089" s="8">
        <v>2000</v>
      </c>
      <c r="E8089" s="8"/>
      <c r="F8089" s="92">
        <f t="shared" si="160"/>
        <v>31708.870967741939</v>
      </c>
    </row>
    <row r="8090" spans="1:6" x14ac:dyDescent="0.25">
      <c r="A8090" s="204">
        <v>44058</v>
      </c>
      <c r="B8090" s="26" t="s">
        <v>6784</v>
      </c>
      <c r="C8090" s="26" t="s">
        <v>6785</v>
      </c>
      <c r="D8090" s="8">
        <v>5000</v>
      </c>
      <c r="E8090" s="8"/>
      <c r="F8090" s="92">
        <f t="shared" si="160"/>
        <v>26708.870967741939</v>
      </c>
    </row>
    <row r="8091" spans="1:6" x14ac:dyDescent="0.25">
      <c r="A8091" s="204">
        <v>44058</v>
      </c>
      <c r="B8091" s="29" t="s">
        <v>4776</v>
      </c>
      <c r="C8091" s="29" t="s">
        <v>6787</v>
      </c>
      <c r="D8091" s="8">
        <v>5000</v>
      </c>
      <c r="E8091" s="8"/>
      <c r="F8091" s="92">
        <f t="shared" si="160"/>
        <v>21708.870967741939</v>
      </c>
    </row>
    <row r="8092" spans="1:6" x14ac:dyDescent="0.25">
      <c r="A8092" s="204">
        <v>44058</v>
      </c>
      <c r="B8092" s="29" t="s">
        <v>5485</v>
      </c>
      <c r="C8092" s="29" t="s">
        <v>4381</v>
      </c>
      <c r="D8092" s="8">
        <v>600</v>
      </c>
      <c r="E8092" s="8"/>
      <c r="F8092" s="92">
        <f t="shared" si="160"/>
        <v>21108.870967741939</v>
      </c>
    </row>
    <row r="8093" spans="1:6" x14ac:dyDescent="0.25">
      <c r="A8093" s="204">
        <v>44060</v>
      </c>
      <c r="B8093" s="26" t="s">
        <v>6788</v>
      </c>
      <c r="C8093" s="137" t="s">
        <v>3175</v>
      </c>
      <c r="D8093" s="139">
        <v>1000</v>
      </c>
      <c r="E8093" s="8"/>
      <c r="F8093" s="92">
        <f t="shared" si="160"/>
        <v>20108.870967741939</v>
      </c>
    </row>
    <row r="8094" spans="1:6" x14ac:dyDescent="0.25">
      <c r="A8094" s="204">
        <v>44060</v>
      </c>
      <c r="B8094" s="26" t="s">
        <v>6285</v>
      </c>
      <c r="C8094" s="26" t="s">
        <v>41</v>
      </c>
      <c r="D8094" s="8">
        <v>5200</v>
      </c>
      <c r="E8094" s="8"/>
      <c r="F8094" s="92">
        <f t="shared" si="160"/>
        <v>14908.870967741939</v>
      </c>
    </row>
    <row r="8095" spans="1:6" x14ac:dyDescent="0.25">
      <c r="A8095" s="204">
        <v>44060</v>
      </c>
      <c r="B8095" s="29" t="s">
        <v>1077</v>
      </c>
      <c r="C8095" s="29" t="s">
        <v>6789</v>
      </c>
      <c r="D8095" s="8">
        <f>1790+910</f>
        <v>2700</v>
      </c>
      <c r="E8095" s="8"/>
      <c r="F8095" s="92">
        <f t="shared" si="160"/>
        <v>12208.870967741939</v>
      </c>
    </row>
    <row r="8096" spans="1:6" x14ac:dyDescent="0.25">
      <c r="A8096" s="204">
        <v>44060</v>
      </c>
      <c r="B8096" s="29" t="s">
        <v>1077</v>
      </c>
      <c r="C8096" s="29" t="s">
        <v>6448</v>
      </c>
      <c r="D8096" s="8">
        <f>3890+1320</f>
        <v>5210</v>
      </c>
      <c r="E8096" s="8"/>
      <c r="F8096" s="92">
        <f t="shared" si="160"/>
        <v>6998.8709677419392</v>
      </c>
    </row>
    <row r="8097" spans="1:10" x14ac:dyDescent="0.25">
      <c r="A8097" s="204">
        <v>44060</v>
      </c>
      <c r="B8097" s="452" t="s">
        <v>6791</v>
      </c>
      <c r="C8097" s="452"/>
      <c r="D8097" s="452"/>
      <c r="E8097" s="8">
        <v>300000</v>
      </c>
      <c r="F8097" s="92">
        <f t="shared" ref="F8097:F8131" si="161">F8096+E8097-D8097</f>
        <v>306998.87096774194</v>
      </c>
      <c r="G8097" s="10"/>
      <c r="J8097" s="6"/>
    </row>
    <row r="8098" spans="1:10" x14ac:dyDescent="0.25">
      <c r="A8098" s="204">
        <v>44060</v>
      </c>
      <c r="B8098" s="26" t="s">
        <v>111</v>
      </c>
      <c r="C8098" s="26" t="s">
        <v>6792</v>
      </c>
      <c r="D8098" s="8">
        <v>23150</v>
      </c>
      <c r="E8098" s="8"/>
      <c r="F8098" s="92">
        <f t="shared" si="161"/>
        <v>283848.87096774194</v>
      </c>
      <c r="G8098" s="25"/>
    </row>
    <row r="8099" spans="1:10" ht="30" x14ac:dyDescent="0.25">
      <c r="A8099" s="204">
        <v>44060</v>
      </c>
      <c r="B8099" s="26" t="s">
        <v>542</v>
      </c>
      <c r="C8099" s="87" t="s">
        <v>6802</v>
      </c>
      <c r="D8099" s="8">
        <v>25000</v>
      </c>
      <c r="E8099" s="8"/>
      <c r="F8099" s="92">
        <f t="shared" si="161"/>
        <v>258848.87096774194</v>
      </c>
    </row>
    <row r="8100" spans="1:10" x14ac:dyDescent="0.25">
      <c r="A8100" s="204">
        <v>44060</v>
      </c>
      <c r="B8100" s="26" t="s">
        <v>26</v>
      </c>
      <c r="C8100" s="26" t="s">
        <v>6793</v>
      </c>
      <c r="D8100" s="8">
        <v>5140</v>
      </c>
      <c r="E8100" s="8"/>
      <c r="F8100" s="92">
        <f t="shared" si="161"/>
        <v>253708.87096774194</v>
      </c>
    </row>
    <row r="8101" spans="1:10" x14ac:dyDescent="0.25">
      <c r="A8101" s="204">
        <v>44061</v>
      </c>
      <c r="B8101" s="26" t="s">
        <v>6788</v>
      </c>
      <c r="C8101" s="26" t="s">
        <v>6794</v>
      </c>
      <c r="D8101" s="8">
        <v>500</v>
      </c>
      <c r="E8101" s="8"/>
      <c r="F8101" s="92">
        <f t="shared" si="161"/>
        <v>253208.87096774194</v>
      </c>
    </row>
    <row r="8102" spans="1:10" x14ac:dyDescent="0.25">
      <c r="A8102" s="204">
        <v>44061</v>
      </c>
      <c r="B8102" s="26" t="s">
        <v>26</v>
      </c>
      <c r="C8102" s="26" t="s">
        <v>6795</v>
      </c>
      <c r="D8102" s="8">
        <f>170+100+20+20+150+160+80+50+50+80+150+80+330+270+140+160+40+100+80+30+100+100+150</f>
        <v>2610</v>
      </c>
      <c r="E8102" s="8"/>
      <c r="F8102" s="92">
        <f t="shared" si="161"/>
        <v>250598.87096774194</v>
      </c>
    </row>
    <row r="8103" spans="1:10" x14ac:dyDescent="0.25">
      <c r="A8103" s="204">
        <v>44061</v>
      </c>
      <c r="B8103" s="26" t="s">
        <v>26</v>
      </c>
      <c r="C8103" s="29" t="s">
        <v>6796</v>
      </c>
      <c r="D8103" s="8">
        <v>5000</v>
      </c>
      <c r="E8103" s="8"/>
      <c r="F8103" s="92">
        <f t="shared" si="161"/>
        <v>245598.87096774194</v>
      </c>
    </row>
    <row r="8104" spans="1:10" x14ac:dyDescent="0.25">
      <c r="A8104" s="204">
        <v>44061</v>
      </c>
      <c r="B8104" s="29" t="s">
        <v>14</v>
      </c>
      <c r="C8104" s="29" t="s">
        <v>295</v>
      </c>
      <c r="D8104" s="8">
        <v>100000</v>
      </c>
      <c r="E8104" s="8"/>
      <c r="F8104" s="92">
        <f t="shared" si="161"/>
        <v>145598.87096774194</v>
      </c>
    </row>
    <row r="8105" spans="1:10" x14ac:dyDescent="0.25">
      <c r="A8105" s="204">
        <v>44061</v>
      </c>
      <c r="B8105" s="26" t="s">
        <v>248</v>
      </c>
      <c r="C8105" s="26" t="s">
        <v>6798</v>
      </c>
      <c r="D8105" s="8">
        <v>2700</v>
      </c>
      <c r="E8105" s="8"/>
      <c r="F8105" s="92">
        <f t="shared" si="161"/>
        <v>142898.87096774194</v>
      </c>
    </row>
    <row r="8106" spans="1:10" x14ac:dyDescent="0.25">
      <c r="A8106" s="204">
        <v>44061</v>
      </c>
      <c r="B8106" s="26" t="s">
        <v>248</v>
      </c>
      <c r="C8106" s="26" t="s">
        <v>6799</v>
      </c>
      <c r="D8106" s="8">
        <v>600</v>
      </c>
      <c r="E8106" s="8"/>
      <c r="F8106" s="92">
        <f t="shared" si="161"/>
        <v>142298.87096774194</v>
      </c>
    </row>
    <row r="8107" spans="1:10" x14ac:dyDescent="0.25">
      <c r="A8107" s="204">
        <v>44061</v>
      </c>
      <c r="B8107" s="26" t="s">
        <v>248</v>
      </c>
      <c r="C8107" s="26" t="s">
        <v>6799</v>
      </c>
      <c r="D8107" s="8">
        <v>650</v>
      </c>
      <c r="E8107" s="8"/>
      <c r="F8107" s="92">
        <f t="shared" si="161"/>
        <v>141648.87096774194</v>
      </c>
    </row>
    <row r="8108" spans="1:10" x14ac:dyDescent="0.25">
      <c r="A8108" s="204">
        <v>44061</v>
      </c>
      <c r="B8108" s="26" t="s">
        <v>248</v>
      </c>
      <c r="C8108" s="26" t="s">
        <v>6799</v>
      </c>
      <c r="D8108" s="8">
        <v>200</v>
      </c>
      <c r="E8108" s="8"/>
      <c r="F8108" s="92">
        <f t="shared" si="161"/>
        <v>141448.87096774194</v>
      </c>
    </row>
    <row r="8109" spans="1:10" x14ac:dyDescent="0.25">
      <c r="A8109" s="204">
        <v>44061</v>
      </c>
      <c r="B8109" s="26" t="s">
        <v>248</v>
      </c>
      <c r="C8109" s="26" t="s">
        <v>6798</v>
      </c>
      <c r="D8109" s="8">
        <v>150</v>
      </c>
      <c r="E8109" s="8"/>
      <c r="F8109" s="92">
        <f t="shared" si="161"/>
        <v>141298.87096774194</v>
      </c>
    </row>
    <row r="8110" spans="1:10" x14ac:dyDescent="0.25">
      <c r="A8110" s="204">
        <v>44061</v>
      </c>
      <c r="B8110" s="262" t="s">
        <v>55</v>
      </c>
      <c r="C8110" s="262" t="s">
        <v>6600</v>
      </c>
      <c r="D8110" s="263">
        <v>30000</v>
      </c>
      <c r="E8110" s="8"/>
      <c r="F8110" s="92">
        <f t="shared" si="161"/>
        <v>111298.87096774194</v>
      </c>
    </row>
    <row r="8111" spans="1:10" x14ac:dyDescent="0.25">
      <c r="A8111" s="204">
        <v>44061</v>
      </c>
      <c r="B8111" s="262" t="s">
        <v>55</v>
      </c>
      <c r="C8111" s="262" t="s">
        <v>6591</v>
      </c>
      <c r="D8111" s="263">
        <v>30000</v>
      </c>
      <c r="E8111" s="8"/>
      <c r="F8111" s="92">
        <f t="shared" si="161"/>
        <v>81298.870967741939</v>
      </c>
    </row>
    <row r="8112" spans="1:10" x14ac:dyDescent="0.25">
      <c r="A8112" s="204">
        <v>44061</v>
      </c>
      <c r="B8112" s="262" t="s">
        <v>55</v>
      </c>
      <c r="C8112" s="262" t="s">
        <v>6680</v>
      </c>
      <c r="D8112" s="263">
        <v>26500</v>
      </c>
      <c r="E8112" s="8"/>
      <c r="F8112" s="92">
        <f t="shared" si="161"/>
        <v>54798.870967741939</v>
      </c>
    </row>
    <row r="8113" spans="1:10" x14ac:dyDescent="0.25">
      <c r="A8113" s="204">
        <v>44061</v>
      </c>
      <c r="B8113" s="262" t="s">
        <v>55</v>
      </c>
      <c r="C8113" s="262" t="s">
        <v>6681</v>
      </c>
      <c r="D8113" s="263">
        <v>13550</v>
      </c>
      <c r="E8113" s="8"/>
      <c r="F8113" s="92">
        <f t="shared" si="161"/>
        <v>41248.870967741939</v>
      </c>
    </row>
    <row r="8114" spans="1:10" x14ac:dyDescent="0.25">
      <c r="A8114" s="204">
        <v>44061</v>
      </c>
      <c r="B8114" s="262" t="s">
        <v>55</v>
      </c>
      <c r="C8114" s="26" t="s">
        <v>6801</v>
      </c>
      <c r="D8114" s="8">
        <v>500</v>
      </c>
      <c r="E8114" s="8"/>
      <c r="F8114" s="92">
        <f t="shared" si="161"/>
        <v>40748.870967741939</v>
      </c>
    </row>
    <row r="8115" spans="1:10" x14ac:dyDescent="0.25">
      <c r="A8115" s="204">
        <v>44061</v>
      </c>
      <c r="B8115" s="26" t="s">
        <v>2677</v>
      </c>
      <c r="C8115" s="26" t="s">
        <v>295</v>
      </c>
      <c r="D8115" s="8">
        <v>2000</v>
      </c>
      <c r="E8115" s="8"/>
      <c r="F8115" s="92">
        <f t="shared" si="161"/>
        <v>38748.870967741939</v>
      </c>
    </row>
    <row r="8116" spans="1:10" x14ac:dyDescent="0.25">
      <c r="A8116" s="204">
        <v>44063</v>
      </c>
      <c r="B8116" s="26" t="s">
        <v>85</v>
      </c>
      <c r="C8116" s="26" t="s">
        <v>6803</v>
      </c>
      <c r="D8116" s="8">
        <v>25000</v>
      </c>
      <c r="E8116" s="8"/>
      <c r="F8116" s="92">
        <f t="shared" si="161"/>
        <v>13748.870967741939</v>
      </c>
    </row>
    <row r="8117" spans="1:10" x14ac:dyDescent="0.25">
      <c r="A8117" s="204">
        <v>44063</v>
      </c>
      <c r="B8117" s="26" t="s">
        <v>26</v>
      </c>
      <c r="C8117" s="26" t="s">
        <v>6804</v>
      </c>
      <c r="D8117" s="8">
        <f>4163-1065</f>
        <v>3098</v>
      </c>
      <c r="E8117" s="8"/>
      <c r="F8117" s="92">
        <f t="shared" si="161"/>
        <v>10650.870967741939</v>
      </c>
    </row>
    <row r="8118" spans="1:10" x14ac:dyDescent="0.25">
      <c r="A8118" s="204">
        <v>44064</v>
      </c>
      <c r="B8118" s="26" t="s">
        <v>6788</v>
      </c>
      <c r="C8118" s="26" t="s">
        <v>6805</v>
      </c>
      <c r="D8118" s="8">
        <v>580</v>
      </c>
      <c r="E8118" s="8"/>
      <c r="F8118" s="92">
        <f t="shared" si="161"/>
        <v>10070.870967741939</v>
      </c>
    </row>
    <row r="8119" spans="1:10" x14ac:dyDescent="0.25">
      <c r="A8119" s="204">
        <v>44064</v>
      </c>
      <c r="B8119" s="26" t="s">
        <v>1015</v>
      </c>
      <c r="C8119" s="26" t="s">
        <v>6806</v>
      </c>
      <c r="D8119" s="8">
        <v>500</v>
      </c>
      <c r="E8119" s="8"/>
      <c r="F8119" s="92">
        <f t="shared" si="161"/>
        <v>9570.8709677419392</v>
      </c>
    </row>
    <row r="8120" spans="1:10" x14ac:dyDescent="0.25">
      <c r="A8120" s="204">
        <v>44064</v>
      </c>
      <c r="B8120" s="26" t="s">
        <v>26</v>
      </c>
      <c r="C8120" s="26" t="s">
        <v>6795</v>
      </c>
      <c r="D8120" s="8">
        <f>300+40+80+110+260+100+80+60+200+100+120+300+350+250</f>
        <v>2350</v>
      </c>
      <c r="E8120" s="8"/>
      <c r="F8120" s="92">
        <f t="shared" si="161"/>
        <v>7220.8709677419392</v>
      </c>
    </row>
    <row r="8121" spans="1:10" x14ac:dyDescent="0.25">
      <c r="A8121" s="204">
        <v>44064</v>
      </c>
      <c r="B8121" s="26" t="s">
        <v>248</v>
      </c>
      <c r="C8121" s="26" t="s">
        <v>2016</v>
      </c>
      <c r="D8121" s="8">
        <v>50</v>
      </c>
      <c r="E8121" s="8"/>
      <c r="F8121" s="92">
        <f t="shared" si="161"/>
        <v>7170.8709677419392</v>
      </c>
    </row>
    <row r="8122" spans="1:10" x14ac:dyDescent="0.25">
      <c r="A8122" s="204">
        <v>44064</v>
      </c>
      <c r="B8122" s="452" t="s">
        <v>6671</v>
      </c>
      <c r="C8122" s="452"/>
      <c r="D8122" s="452"/>
      <c r="E8122" s="8">
        <v>100000</v>
      </c>
      <c r="F8122" s="92">
        <f t="shared" si="161"/>
        <v>107170.87096774194</v>
      </c>
      <c r="G8122" s="10"/>
      <c r="J8122" s="6"/>
    </row>
    <row r="8123" spans="1:10" x14ac:dyDescent="0.25">
      <c r="A8123" s="204">
        <v>44064</v>
      </c>
      <c r="B8123" s="29" t="s">
        <v>2351</v>
      </c>
      <c r="C8123" s="29" t="s">
        <v>6808</v>
      </c>
      <c r="D8123" s="8">
        <v>20000</v>
      </c>
      <c r="E8123" s="8"/>
      <c r="F8123" s="92">
        <f t="shared" si="161"/>
        <v>87170.870967741939</v>
      </c>
    </row>
    <row r="8124" spans="1:10" x14ac:dyDescent="0.25">
      <c r="A8124" s="204">
        <v>44065</v>
      </c>
      <c r="B8124" s="26" t="s">
        <v>85</v>
      </c>
      <c r="C8124" s="26" t="s">
        <v>6809</v>
      </c>
      <c r="D8124" s="8">
        <v>15000</v>
      </c>
      <c r="E8124" s="8"/>
      <c r="F8124" s="92">
        <f t="shared" si="161"/>
        <v>72170.870967741939</v>
      </c>
    </row>
    <row r="8125" spans="1:10" x14ac:dyDescent="0.25">
      <c r="A8125" s="204">
        <v>44065</v>
      </c>
      <c r="B8125" s="26" t="s">
        <v>14</v>
      </c>
      <c r="C8125" s="26" t="s">
        <v>295</v>
      </c>
      <c r="D8125" s="8">
        <v>10000</v>
      </c>
      <c r="E8125" s="8"/>
      <c r="F8125" s="92">
        <f t="shared" si="161"/>
        <v>62170.870967741939</v>
      </c>
    </row>
    <row r="8126" spans="1:10" x14ac:dyDescent="0.25">
      <c r="A8126" s="204">
        <v>44067</v>
      </c>
      <c r="B8126" s="26" t="s">
        <v>1077</v>
      </c>
      <c r="C8126" s="26" t="s">
        <v>6811</v>
      </c>
      <c r="D8126" s="8">
        <v>47067</v>
      </c>
      <c r="E8126" s="8"/>
      <c r="F8126" s="92">
        <f t="shared" si="161"/>
        <v>15103.870967741939</v>
      </c>
    </row>
    <row r="8127" spans="1:10" x14ac:dyDescent="0.25">
      <c r="A8127" s="204">
        <v>44067</v>
      </c>
      <c r="B8127" s="26" t="s">
        <v>6063</v>
      </c>
      <c r="C8127" s="26" t="s">
        <v>6812</v>
      </c>
      <c r="D8127" s="8">
        <v>200</v>
      </c>
      <c r="E8127" s="8"/>
      <c r="F8127" s="92">
        <f t="shared" si="161"/>
        <v>14903.870967741939</v>
      </c>
    </row>
    <row r="8128" spans="1:10" x14ac:dyDescent="0.25">
      <c r="A8128" s="204">
        <v>44067</v>
      </c>
      <c r="B8128" s="26" t="s">
        <v>6770</v>
      </c>
      <c r="C8128" s="26" t="s">
        <v>6813</v>
      </c>
      <c r="D8128" s="8">
        <v>4500</v>
      </c>
      <c r="E8128" s="8"/>
      <c r="F8128" s="92">
        <f t="shared" si="161"/>
        <v>10403.870967741939</v>
      </c>
    </row>
    <row r="8129" spans="1:10" x14ac:dyDescent="0.25">
      <c r="A8129" s="204">
        <v>44069</v>
      </c>
      <c r="B8129" s="26"/>
      <c r="C8129" s="137" t="s">
        <v>6800</v>
      </c>
      <c r="D8129" s="139">
        <v>700</v>
      </c>
      <c r="E8129" s="8"/>
      <c r="F8129" s="92">
        <f t="shared" si="161"/>
        <v>9703.8709677419392</v>
      </c>
    </row>
    <row r="8130" spans="1:10" x14ac:dyDescent="0.25">
      <c r="A8130" s="204">
        <v>44069</v>
      </c>
      <c r="B8130" s="26" t="s">
        <v>542</v>
      </c>
      <c r="C8130" s="26" t="s">
        <v>641</v>
      </c>
      <c r="D8130" s="8">
        <v>5000</v>
      </c>
      <c r="E8130" s="8"/>
      <c r="F8130" s="92">
        <f t="shared" si="161"/>
        <v>4703.8709677419392</v>
      </c>
    </row>
    <row r="8131" spans="1:10" x14ac:dyDescent="0.25">
      <c r="A8131" s="204">
        <v>44074</v>
      </c>
      <c r="B8131" s="26" t="s">
        <v>26</v>
      </c>
      <c r="C8131" s="26" t="s">
        <v>6795</v>
      </c>
      <c r="D8131" s="8">
        <f>300+150+220+20+100+40+100+100+100+100+20+300+330</f>
        <v>1880</v>
      </c>
      <c r="E8131" s="8"/>
      <c r="F8131" s="92">
        <f t="shared" si="161"/>
        <v>2823.8709677419392</v>
      </c>
    </row>
    <row r="8132" spans="1:10" x14ac:dyDescent="0.25">
      <c r="A8132" s="204">
        <v>44074</v>
      </c>
      <c r="B8132" s="452" t="s">
        <v>6662</v>
      </c>
      <c r="C8132" s="452"/>
      <c r="D8132" s="452"/>
      <c r="E8132" s="8">
        <v>500000</v>
      </c>
      <c r="F8132" s="92">
        <f t="shared" ref="F8132:F8196" si="162">F8131+E8132-D8132</f>
        <v>502823.87096774194</v>
      </c>
      <c r="G8132" s="10"/>
      <c r="J8132" s="6"/>
    </row>
    <row r="8133" spans="1:10" x14ac:dyDescent="0.25">
      <c r="A8133" s="204">
        <v>44074</v>
      </c>
      <c r="B8133" s="26" t="s">
        <v>2351</v>
      </c>
      <c r="C8133" s="26" t="s">
        <v>5864</v>
      </c>
      <c r="D8133" s="8">
        <v>25000</v>
      </c>
      <c r="E8133" s="8"/>
      <c r="F8133" s="92">
        <f t="shared" si="162"/>
        <v>477823.87096774194</v>
      </c>
    </row>
    <row r="8134" spans="1:10" x14ac:dyDescent="0.25">
      <c r="A8134" s="204">
        <v>44074</v>
      </c>
      <c r="B8134" s="29" t="s">
        <v>6019</v>
      </c>
      <c r="C8134" s="29" t="s">
        <v>6814</v>
      </c>
      <c r="D8134" s="8">
        <v>25000</v>
      </c>
      <c r="E8134" s="8"/>
      <c r="F8134" s="92">
        <f t="shared" si="162"/>
        <v>452823.87096774194</v>
      </c>
    </row>
    <row r="8135" spans="1:10" x14ac:dyDescent="0.25">
      <c r="A8135" s="204">
        <v>44074</v>
      </c>
      <c r="B8135" s="29" t="s">
        <v>542</v>
      </c>
      <c r="C8135" s="29" t="s">
        <v>295</v>
      </c>
      <c r="D8135" s="8">
        <v>25000</v>
      </c>
      <c r="E8135" s="8"/>
      <c r="F8135" s="92">
        <f t="shared" si="162"/>
        <v>427823.87096774194</v>
      </c>
    </row>
    <row r="8136" spans="1:10" x14ac:dyDescent="0.25">
      <c r="A8136" s="204">
        <v>44074</v>
      </c>
      <c r="B8136" s="26" t="s">
        <v>0</v>
      </c>
      <c r="C8136" s="26" t="s">
        <v>2016</v>
      </c>
      <c r="D8136" s="8">
        <v>100</v>
      </c>
      <c r="E8136" s="8"/>
      <c r="F8136" s="92">
        <f t="shared" si="162"/>
        <v>427723.87096774194</v>
      </c>
    </row>
    <row r="8137" spans="1:10" x14ac:dyDescent="0.25">
      <c r="A8137" s="204">
        <v>44074</v>
      </c>
      <c r="B8137" s="29" t="s">
        <v>3563</v>
      </c>
      <c r="C8137" s="29" t="s">
        <v>3539</v>
      </c>
      <c r="D8137" s="8">
        <v>670</v>
      </c>
      <c r="E8137" s="8"/>
      <c r="F8137" s="92">
        <f t="shared" si="162"/>
        <v>427053.87096774194</v>
      </c>
    </row>
    <row r="8138" spans="1:10" ht="30" x14ac:dyDescent="0.25">
      <c r="A8138" s="204">
        <v>44075</v>
      </c>
      <c r="B8138" s="26" t="s">
        <v>14</v>
      </c>
      <c r="C8138" s="87" t="s">
        <v>6816</v>
      </c>
      <c r="D8138" s="8">
        <v>103200</v>
      </c>
      <c r="E8138" s="8"/>
      <c r="F8138" s="92">
        <f t="shared" si="162"/>
        <v>323853.87096774194</v>
      </c>
      <c r="G8138" s="25"/>
    </row>
    <row r="8139" spans="1:10" x14ac:dyDescent="0.25">
      <c r="A8139" s="204">
        <v>44075</v>
      </c>
      <c r="B8139" s="26" t="s">
        <v>2573</v>
      </c>
      <c r="C8139" s="26" t="s">
        <v>41</v>
      </c>
      <c r="D8139" s="8">
        <v>750</v>
      </c>
      <c r="E8139" s="8"/>
      <c r="F8139" s="92">
        <f t="shared" si="162"/>
        <v>323103.87096774194</v>
      </c>
    </row>
    <row r="8140" spans="1:10" x14ac:dyDescent="0.25">
      <c r="A8140" s="204">
        <v>44075</v>
      </c>
      <c r="B8140" s="452" t="s">
        <v>6849</v>
      </c>
      <c r="C8140" s="452"/>
      <c r="D8140" s="452"/>
      <c r="E8140" s="8">
        <v>400000</v>
      </c>
      <c r="F8140" s="92">
        <f t="shared" si="162"/>
        <v>723103.87096774194</v>
      </c>
      <c r="G8140" s="10"/>
      <c r="J8140" s="6"/>
    </row>
    <row r="8141" spans="1:10" x14ac:dyDescent="0.25">
      <c r="A8141" s="204">
        <v>44075</v>
      </c>
      <c r="B8141" s="29" t="s">
        <v>248</v>
      </c>
      <c r="C8141" s="29" t="s">
        <v>6818</v>
      </c>
      <c r="D8141" s="8">
        <v>100</v>
      </c>
      <c r="E8141" s="8"/>
      <c r="F8141" s="92">
        <f t="shared" si="162"/>
        <v>723003.87096774194</v>
      </c>
    </row>
    <row r="8142" spans="1:10" x14ac:dyDescent="0.25">
      <c r="A8142" s="204">
        <v>44075</v>
      </c>
      <c r="B8142" s="29" t="s">
        <v>1015</v>
      </c>
      <c r="C8142" s="29" t="s">
        <v>6819</v>
      </c>
      <c r="D8142" s="8">
        <v>8000</v>
      </c>
      <c r="E8142" s="8"/>
      <c r="F8142" s="92">
        <f t="shared" si="162"/>
        <v>715003.87096774194</v>
      </c>
    </row>
    <row r="8143" spans="1:10" x14ac:dyDescent="0.25">
      <c r="A8143" s="204">
        <v>44075</v>
      </c>
      <c r="B8143" s="29" t="s">
        <v>5485</v>
      </c>
      <c r="C8143" s="29" t="s">
        <v>6820</v>
      </c>
      <c r="D8143" s="8">
        <v>3000</v>
      </c>
      <c r="E8143" s="8"/>
      <c r="F8143" s="92">
        <f t="shared" si="162"/>
        <v>712003.87096774194</v>
      </c>
    </row>
    <row r="8144" spans="1:10" x14ac:dyDescent="0.25">
      <c r="A8144" s="204">
        <v>44075</v>
      </c>
      <c r="B8144" s="452" t="s">
        <v>6848</v>
      </c>
      <c r="C8144" s="452"/>
      <c r="D8144" s="452"/>
      <c r="E8144" s="8">
        <v>463000</v>
      </c>
      <c r="F8144" s="92">
        <f t="shared" si="162"/>
        <v>1175003.8709677421</v>
      </c>
    </row>
    <row r="8145" spans="1:6" x14ac:dyDescent="0.25">
      <c r="A8145" s="204">
        <v>44076</v>
      </c>
      <c r="B8145" s="26" t="s">
        <v>14</v>
      </c>
      <c r="C8145" s="26" t="s">
        <v>295</v>
      </c>
      <c r="D8145" s="8">
        <v>2000</v>
      </c>
      <c r="E8145" s="8"/>
      <c r="F8145" s="92">
        <f t="shared" si="162"/>
        <v>1173003.8709677421</v>
      </c>
    </row>
    <row r="8146" spans="1:6" x14ac:dyDescent="0.25">
      <c r="A8146" s="204">
        <v>44076</v>
      </c>
      <c r="B8146" s="26" t="s">
        <v>6822</v>
      </c>
      <c r="C8146" s="26" t="s">
        <v>6823</v>
      </c>
      <c r="D8146" s="8">
        <v>150000</v>
      </c>
      <c r="E8146" s="8"/>
      <c r="F8146" s="92">
        <f t="shared" si="162"/>
        <v>1023003.8709677421</v>
      </c>
    </row>
    <row r="8147" spans="1:6" x14ac:dyDescent="0.25">
      <c r="A8147" s="204">
        <v>44076</v>
      </c>
      <c r="B8147" s="26" t="s">
        <v>0</v>
      </c>
      <c r="C8147" s="26" t="s">
        <v>6824</v>
      </c>
      <c r="D8147" s="8">
        <v>44600</v>
      </c>
      <c r="E8147" s="8"/>
      <c r="F8147" s="92">
        <f t="shared" si="162"/>
        <v>978403.87096774206</v>
      </c>
    </row>
    <row r="8148" spans="1:6" x14ac:dyDescent="0.25">
      <c r="A8148" s="204">
        <v>44076</v>
      </c>
      <c r="B8148" s="262" t="s">
        <v>55</v>
      </c>
      <c r="C8148" s="262" t="s">
        <v>6825</v>
      </c>
      <c r="D8148" s="263">
        <f>18750+13500</f>
        <v>32250</v>
      </c>
      <c r="E8148" s="8"/>
      <c r="F8148" s="92">
        <f t="shared" si="162"/>
        <v>946153.87096774206</v>
      </c>
    </row>
    <row r="8149" spans="1:6" x14ac:dyDescent="0.25">
      <c r="A8149" s="204">
        <v>44076</v>
      </c>
      <c r="B8149" s="262" t="s">
        <v>55</v>
      </c>
      <c r="C8149" s="262" t="s">
        <v>6852</v>
      </c>
      <c r="D8149" s="263">
        <v>33750</v>
      </c>
      <c r="E8149" s="8"/>
      <c r="F8149" s="92">
        <f t="shared" si="162"/>
        <v>912403.87096774206</v>
      </c>
    </row>
    <row r="8150" spans="1:6" x14ac:dyDescent="0.25">
      <c r="A8150" s="204">
        <v>44076</v>
      </c>
      <c r="B8150" s="262" t="s">
        <v>55</v>
      </c>
      <c r="C8150" s="262" t="s">
        <v>6826</v>
      </c>
      <c r="D8150" s="263">
        <v>95746</v>
      </c>
      <c r="E8150" s="8"/>
      <c r="F8150" s="92">
        <f t="shared" si="162"/>
        <v>816657.87096774206</v>
      </c>
    </row>
    <row r="8151" spans="1:6" x14ac:dyDescent="0.25">
      <c r="A8151" s="204">
        <v>44076</v>
      </c>
      <c r="B8151" s="262" t="s">
        <v>55</v>
      </c>
      <c r="C8151" s="262" t="s">
        <v>6827</v>
      </c>
      <c r="D8151" s="263">
        <v>103883</v>
      </c>
      <c r="E8151" s="8"/>
      <c r="F8151" s="92">
        <f t="shared" si="162"/>
        <v>712774.87096774206</v>
      </c>
    </row>
    <row r="8152" spans="1:6" x14ac:dyDescent="0.25">
      <c r="A8152" s="204">
        <v>44076</v>
      </c>
      <c r="B8152" s="262" t="s">
        <v>55</v>
      </c>
      <c r="C8152" s="262" t="s">
        <v>6830</v>
      </c>
      <c r="D8152" s="263">
        <v>88000</v>
      </c>
      <c r="E8152" s="8"/>
      <c r="F8152" s="92">
        <f t="shared" si="162"/>
        <v>624774.87096774206</v>
      </c>
    </row>
    <row r="8153" spans="1:6" x14ac:dyDescent="0.25">
      <c r="A8153" s="204">
        <v>44076</v>
      </c>
      <c r="B8153" s="262" t="s">
        <v>55</v>
      </c>
      <c r="C8153" s="262" t="s">
        <v>6831</v>
      </c>
      <c r="D8153" s="263">
        <v>50000</v>
      </c>
      <c r="E8153" s="8"/>
      <c r="F8153" s="92">
        <f t="shared" si="162"/>
        <v>574774.87096774206</v>
      </c>
    </row>
    <row r="8154" spans="1:6" x14ac:dyDescent="0.25">
      <c r="A8154" s="204">
        <v>44076</v>
      </c>
      <c r="B8154" s="262" t="s">
        <v>55</v>
      </c>
      <c r="C8154" s="262" t="s">
        <v>6658</v>
      </c>
      <c r="D8154" s="263">
        <v>38520</v>
      </c>
      <c r="E8154" s="8"/>
      <c r="F8154" s="92">
        <f t="shared" si="162"/>
        <v>536254.87096774206</v>
      </c>
    </row>
    <row r="8155" spans="1:6" x14ac:dyDescent="0.25">
      <c r="A8155" s="204">
        <v>44076</v>
      </c>
      <c r="B8155" s="262" t="s">
        <v>55</v>
      </c>
      <c r="C8155" s="262" t="s">
        <v>6860</v>
      </c>
      <c r="D8155" s="263">
        <v>45597</v>
      </c>
      <c r="E8155" s="8"/>
      <c r="F8155" s="92">
        <f t="shared" si="162"/>
        <v>490657.87096774206</v>
      </c>
    </row>
    <row r="8156" spans="1:6" x14ac:dyDescent="0.25">
      <c r="A8156" s="204">
        <v>44076</v>
      </c>
      <c r="B8156" s="262" t="s">
        <v>55</v>
      </c>
      <c r="C8156" s="262" t="s">
        <v>694</v>
      </c>
      <c r="D8156" s="263">
        <f>161206+44160</f>
        <v>205366</v>
      </c>
      <c r="E8156" s="8"/>
      <c r="F8156" s="92">
        <f t="shared" si="162"/>
        <v>285291.87096774206</v>
      </c>
    </row>
    <row r="8157" spans="1:6" x14ac:dyDescent="0.25">
      <c r="A8157" s="204">
        <v>44076</v>
      </c>
      <c r="B8157" s="262" t="s">
        <v>55</v>
      </c>
      <c r="C8157" s="262" t="s">
        <v>6850</v>
      </c>
      <c r="D8157" s="263">
        <v>34871</v>
      </c>
      <c r="E8157" s="8"/>
      <c r="F8157" s="92">
        <f t="shared" si="162"/>
        <v>250420.87096774206</v>
      </c>
    </row>
    <row r="8158" spans="1:6" x14ac:dyDescent="0.25">
      <c r="A8158" s="204">
        <v>44076</v>
      </c>
      <c r="B8158" s="262" t="s">
        <v>55</v>
      </c>
      <c r="C8158" s="262" t="s">
        <v>6851</v>
      </c>
      <c r="D8158" s="263">
        <v>9252</v>
      </c>
      <c r="E8158" s="8"/>
      <c r="F8158" s="92">
        <f t="shared" si="162"/>
        <v>241168.87096774206</v>
      </c>
    </row>
    <row r="8159" spans="1:6" x14ac:dyDescent="0.25">
      <c r="A8159" s="204">
        <v>44076</v>
      </c>
      <c r="B8159" s="26" t="s">
        <v>2677</v>
      </c>
      <c r="C8159" s="26" t="s">
        <v>439</v>
      </c>
      <c r="D8159" s="8">
        <v>500</v>
      </c>
      <c r="E8159" s="8"/>
      <c r="F8159" s="92">
        <f t="shared" si="162"/>
        <v>240668.87096774206</v>
      </c>
    </row>
    <row r="8160" spans="1:6" x14ac:dyDescent="0.25">
      <c r="A8160" s="204">
        <v>44076</v>
      </c>
      <c r="B8160" s="26" t="s">
        <v>5140</v>
      </c>
      <c r="C8160" s="26" t="s">
        <v>41</v>
      </c>
      <c r="D8160" s="8">
        <v>4170</v>
      </c>
      <c r="E8160" s="8"/>
      <c r="F8160" s="92">
        <f t="shared" si="162"/>
        <v>236498.87096774206</v>
      </c>
    </row>
    <row r="8161" spans="1:6" x14ac:dyDescent="0.25">
      <c r="A8161" s="204">
        <v>44076</v>
      </c>
      <c r="B8161" s="26" t="s">
        <v>26</v>
      </c>
      <c r="C8161" s="26" t="s">
        <v>6828</v>
      </c>
      <c r="D8161" s="8">
        <v>200</v>
      </c>
      <c r="E8161" s="8"/>
      <c r="F8161" s="92">
        <f t="shared" si="162"/>
        <v>236298.87096774206</v>
      </c>
    </row>
    <row r="8162" spans="1:6" x14ac:dyDescent="0.25">
      <c r="A8162" s="204">
        <v>44076</v>
      </c>
      <c r="B8162" s="26" t="s">
        <v>4776</v>
      </c>
      <c r="C8162" s="26" t="s">
        <v>6829</v>
      </c>
      <c r="D8162" s="8">
        <v>15000</v>
      </c>
      <c r="E8162" s="8"/>
      <c r="F8162" s="92">
        <f t="shared" si="162"/>
        <v>221298.87096774206</v>
      </c>
    </row>
    <row r="8163" spans="1:6" x14ac:dyDescent="0.25">
      <c r="A8163" s="204">
        <v>44076</v>
      </c>
      <c r="B8163" s="26" t="s">
        <v>5485</v>
      </c>
      <c r="C8163" s="26" t="s">
        <v>1627</v>
      </c>
      <c r="D8163" s="8">
        <v>100</v>
      </c>
      <c r="E8163" s="8"/>
      <c r="F8163" s="92">
        <f t="shared" si="162"/>
        <v>221198.87096774206</v>
      </c>
    </row>
    <row r="8164" spans="1:6" x14ac:dyDescent="0.25">
      <c r="A8164" s="204">
        <v>44077</v>
      </c>
      <c r="B8164" s="26" t="s">
        <v>0</v>
      </c>
      <c r="C8164" s="26" t="s">
        <v>3914</v>
      </c>
      <c r="D8164" s="8">
        <v>10000</v>
      </c>
      <c r="E8164" s="8"/>
      <c r="F8164" s="92">
        <f t="shared" si="162"/>
        <v>211198.87096774206</v>
      </c>
    </row>
    <row r="8165" spans="1:6" x14ac:dyDescent="0.25">
      <c r="A8165" s="204">
        <v>44077</v>
      </c>
      <c r="B8165" s="26" t="s">
        <v>6375</v>
      </c>
      <c r="C8165" s="26" t="s">
        <v>439</v>
      </c>
      <c r="D8165" s="8">
        <v>50000</v>
      </c>
      <c r="E8165" s="8"/>
      <c r="F8165" s="92">
        <f t="shared" si="162"/>
        <v>161198.87096774206</v>
      </c>
    </row>
    <row r="8166" spans="1:6" x14ac:dyDescent="0.25">
      <c r="A8166" s="204">
        <v>44077</v>
      </c>
      <c r="B8166" s="26" t="s">
        <v>10</v>
      </c>
      <c r="C8166" s="26" t="s">
        <v>6832</v>
      </c>
      <c r="D8166" s="8">
        <v>2000</v>
      </c>
      <c r="E8166" s="8"/>
      <c r="F8166" s="92">
        <f t="shared" si="162"/>
        <v>159198.87096774206</v>
      </c>
    </row>
    <row r="8167" spans="1:6" x14ac:dyDescent="0.25">
      <c r="A8167" s="204">
        <v>44077</v>
      </c>
      <c r="B8167" s="26" t="s">
        <v>3563</v>
      </c>
      <c r="C8167" s="26" t="s">
        <v>3175</v>
      </c>
      <c r="D8167" s="8">
        <v>43250</v>
      </c>
      <c r="E8167" s="8"/>
      <c r="F8167" s="92">
        <f t="shared" si="162"/>
        <v>115948.87096774206</v>
      </c>
    </row>
    <row r="8168" spans="1:6" x14ac:dyDescent="0.25">
      <c r="A8168" s="204">
        <v>44078</v>
      </c>
      <c r="B8168" s="29" t="s">
        <v>542</v>
      </c>
      <c r="C8168" s="29" t="s">
        <v>6861</v>
      </c>
      <c r="D8168" s="8">
        <v>50000</v>
      </c>
      <c r="E8168" s="8"/>
      <c r="F8168" s="92">
        <f t="shared" si="162"/>
        <v>65948.870967742056</v>
      </c>
    </row>
    <row r="8169" spans="1:6" x14ac:dyDescent="0.25">
      <c r="A8169" s="204">
        <v>44079</v>
      </c>
      <c r="B8169" s="29" t="s">
        <v>2677</v>
      </c>
      <c r="C8169" s="29" t="s">
        <v>295</v>
      </c>
      <c r="D8169" s="8">
        <v>600</v>
      </c>
      <c r="E8169" s="8"/>
      <c r="F8169" s="92">
        <f t="shared" si="162"/>
        <v>65348.870967742056</v>
      </c>
    </row>
    <row r="8170" spans="1:6" x14ac:dyDescent="0.25">
      <c r="A8170" s="204">
        <v>44079</v>
      </c>
      <c r="B8170" s="29" t="s">
        <v>6485</v>
      </c>
      <c r="C8170" s="29" t="s">
        <v>41</v>
      </c>
      <c r="D8170" s="8">
        <v>51000</v>
      </c>
      <c r="E8170" s="8"/>
      <c r="F8170" s="92">
        <f t="shared" si="162"/>
        <v>14348.870967742056</v>
      </c>
    </row>
    <row r="8171" spans="1:6" x14ac:dyDescent="0.25">
      <c r="A8171" s="204">
        <v>44079</v>
      </c>
      <c r="B8171" s="29" t="s">
        <v>26</v>
      </c>
      <c r="C8171" s="29" t="s">
        <v>6853</v>
      </c>
      <c r="D8171" s="8">
        <v>4000</v>
      </c>
      <c r="E8171" s="8"/>
      <c r="F8171" s="92">
        <f t="shared" si="162"/>
        <v>10348.870967742056</v>
      </c>
    </row>
    <row r="8172" spans="1:6" x14ac:dyDescent="0.25">
      <c r="A8172" s="204">
        <v>44081</v>
      </c>
      <c r="B8172" s="26" t="s">
        <v>26</v>
      </c>
      <c r="C8172" s="26" t="s">
        <v>6795</v>
      </c>
      <c r="D8172" s="8">
        <f>700+310+140+40+160+90+70+280+40+100+100+300+40+450+300+70+330+80+90+140+500</f>
        <v>4330</v>
      </c>
      <c r="E8172" s="8"/>
      <c r="F8172" s="92">
        <f t="shared" si="162"/>
        <v>6018.8709677420557</v>
      </c>
    </row>
    <row r="8173" spans="1:6" x14ac:dyDescent="0.25">
      <c r="A8173" s="204">
        <v>44081</v>
      </c>
      <c r="B8173" s="26" t="s">
        <v>26</v>
      </c>
      <c r="C8173" s="26" t="s">
        <v>5093</v>
      </c>
      <c r="D8173" s="8">
        <v>2000</v>
      </c>
      <c r="E8173" s="8"/>
      <c r="F8173" s="92">
        <f t="shared" si="162"/>
        <v>4018.8709677420557</v>
      </c>
    </row>
    <row r="8174" spans="1:6" x14ac:dyDescent="0.25">
      <c r="A8174" s="204">
        <v>44081</v>
      </c>
      <c r="B8174" s="26" t="s">
        <v>26</v>
      </c>
      <c r="C8174" s="26" t="s">
        <v>6858</v>
      </c>
      <c r="D8174" s="8">
        <v>680</v>
      </c>
      <c r="E8174" s="8"/>
      <c r="F8174" s="92">
        <f t="shared" si="162"/>
        <v>3338.8709677420557</v>
      </c>
    </row>
    <row r="8175" spans="1:6" x14ac:dyDescent="0.25">
      <c r="A8175" s="204">
        <v>44081</v>
      </c>
      <c r="B8175" s="26" t="s">
        <v>6063</v>
      </c>
      <c r="C8175" s="26" t="s">
        <v>6854</v>
      </c>
      <c r="D8175" s="8">
        <v>460</v>
      </c>
      <c r="E8175" s="8"/>
      <c r="F8175" s="92">
        <f t="shared" si="162"/>
        <v>2878.8709677420557</v>
      </c>
    </row>
    <row r="8176" spans="1:6" x14ac:dyDescent="0.25">
      <c r="A8176" s="204">
        <v>44081</v>
      </c>
      <c r="B8176" s="452" t="s">
        <v>6847</v>
      </c>
      <c r="C8176" s="452"/>
      <c r="D8176" s="452"/>
      <c r="E8176" s="8">
        <v>400000</v>
      </c>
      <c r="F8176" s="92">
        <f t="shared" si="162"/>
        <v>402878.87096774206</v>
      </c>
    </row>
    <row r="8177" spans="1:6" ht="45" x14ac:dyDescent="0.25">
      <c r="A8177" s="204">
        <v>44081</v>
      </c>
      <c r="B8177" s="26" t="s">
        <v>0</v>
      </c>
      <c r="C8177" s="87" t="s">
        <v>6862</v>
      </c>
      <c r="D8177" s="8">
        <v>25000</v>
      </c>
      <c r="E8177" s="8"/>
      <c r="F8177" s="92">
        <f t="shared" si="162"/>
        <v>377878.87096774206</v>
      </c>
    </row>
    <row r="8178" spans="1:6" x14ac:dyDescent="0.25">
      <c r="A8178" s="204">
        <v>44081</v>
      </c>
      <c r="B8178" s="26" t="s">
        <v>6855</v>
      </c>
      <c r="C8178" s="26" t="s">
        <v>6856</v>
      </c>
      <c r="D8178" s="8">
        <v>31000</v>
      </c>
      <c r="E8178" s="8"/>
      <c r="F8178" s="92">
        <f t="shared" si="162"/>
        <v>346878.87096774206</v>
      </c>
    </row>
    <row r="8179" spans="1:6" x14ac:dyDescent="0.25">
      <c r="A8179" s="204">
        <v>44081</v>
      </c>
      <c r="B8179" s="29" t="s">
        <v>85</v>
      </c>
      <c r="C8179" s="29" t="s">
        <v>6859</v>
      </c>
      <c r="D8179" s="8">
        <v>5000</v>
      </c>
      <c r="E8179" s="8"/>
      <c r="F8179" s="92">
        <f t="shared" si="162"/>
        <v>341878.87096774206</v>
      </c>
    </row>
    <row r="8180" spans="1:6" x14ac:dyDescent="0.25">
      <c r="A8180" s="204">
        <v>44081</v>
      </c>
      <c r="B8180" s="29" t="s">
        <v>4776</v>
      </c>
      <c r="C8180" s="29" t="s">
        <v>295</v>
      </c>
      <c r="D8180" s="8">
        <v>10000</v>
      </c>
      <c r="E8180" s="8"/>
      <c r="F8180" s="92">
        <f t="shared" si="162"/>
        <v>331878.87096774206</v>
      </c>
    </row>
    <row r="8181" spans="1:6" x14ac:dyDescent="0.25">
      <c r="A8181" s="204">
        <v>44082</v>
      </c>
      <c r="B8181" s="26" t="s">
        <v>0</v>
      </c>
      <c r="C8181" s="26" t="s">
        <v>6863</v>
      </c>
      <c r="D8181" s="8">
        <f>2900+4000+100</f>
        <v>7000</v>
      </c>
      <c r="E8181" s="8"/>
      <c r="F8181" s="92">
        <f t="shared" si="162"/>
        <v>324878.87096774206</v>
      </c>
    </row>
    <row r="8182" spans="1:6" x14ac:dyDescent="0.25">
      <c r="A8182" s="204">
        <v>44082</v>
      </c>
      <c r="B8182" s="452" t="s">
        <v>6866</v>
      </c>
      <c r="C8182" s="452"/>
      <c r="D8182" s="452"/>
      <c r="E8182" s="8">
        <v>4840</v>
      </c>
      <c r="F8182" s="92">
        <f t="shared" si="162"/>
        <v>329718.87096774206</v>
      </c>
    </row>
    <row r="8183" spans="1:6" x14ac:dyDescent="0.25">
      <c r="A8183" s="204">
        <v>44082</v>
      </c>
      <c r="B8183" s="26" t="s">
        <v>2677</v>
      </c>
      <c r="C8183" s="26" t="s">
        <v>295</v>
      </c>
      <c r="D8183" s="8">
        <v>100</v>
      </c>
      <c r="E8183" s="8"/>
      <c r="F8183" s="92">
        <f t="shared" si="162"/>
        <v>329618.87096774206</v>
      </c>
    </row>
    <row r="8184" spans="1:6" x14ac:dyDescent="0.25">
      <c r="A8184" s="204">
        <v>44082</v>
      </c>
      <c r="B8184" s="262" t="s">
        <v>55</v>
      </c>
      <c r="C8184" s="262" t="s">
        <v>6868</v>
      </c>
      <c r="D8184" s="263">
        <v>17020</v>
      </c>
      <c r="E8184" s="8"/>
      <c r="F8184" s="92">
        <f t="shared" si="162"/>
        <v>312598.87096774206</v>
      </c>
    </row>
    <row r="8185" spans="1:6" ht="45" x14ac:dyDescent="0.25">
      <c r="A8185" s="204">
        <v>44082</v>
      </c>
      <c r="B8185" s="26" t="s">
        <v>6468</v>
      </c>
      <c r="C8185" s="87" t="s">
        <v>6869</v>
      </c>
      <c r="D8185" s="8">
        <v>50000</v>
      </c>
      <c r="E8185" s="8"/>
      <c r="F8185" s="92">
        <f t="shared" si="162"/>
        <v>262598.87096774206</v>
      </c>
    </row>
    <row r="8186" spans="1:6" x14ac:dyDescent="0.25">
      <c r="A8186" s="204">
        <v>44082</v>
      </c>
      <c r="B8186" s="26" t="s">
        <v>6526</v>
      </c>
      <c r="C8186" s="26" t="s">
        <v>295</v>
      </c>
      <c r="D8186" s="8">
        <v>50000</v>
      </c>
      <c r="E8186" s="8"/>
      <c r="F8186" s="92">
        <f t="shared" si="162"/>
        <v>212598.87096774206</v>
      </c>
    </row>
    <row r="8187" spans="1:6" x14ac:dyDescent="0.25">
      <c r="A8187" s="204">
        <v>44082</v>
      </c>
      <c r="B8187" s="26" t="s">
        <v>542</v>
      </c>
      <c r="C8187" s="26" t="s">
        <v>41</v>
      </c>
      <c r="D8187" s="8">
        <v>100000</v>
      </c>
      <c r="E8187" s="8"/>
      <c r="F8187" s="92">
        <f t="shared" si="162"/>
        <v>112598.87096774206</v>
      </c>
    </row>
    <row r="8188" spans="1:6" x14ac:dyDescent="0.25">
      <c r="A8188" s="204">
        <v>44082</v>
      </c>
      <c r="B8188" s="26" t="s">
        <v>6285</v>
      </c>
      <c r="C8188" s="26" t="s">
        <v>6871</v>
      </c>
      <c r="D8188" s="8">
        <v>15600</v>
      </c>
      <c r="E8188" s="8"/>
      <c r="F8188" s="92">
        <f t="shared" si="162"/>
        <v>96998.870967742056</v>
      </c>
    </row>
    <row r="8189" spans="1:6" ht="30" x14ac:dyDescent="0.25">
      <c r="A8189" s="204">
        <v>44082</v>
      </c>
      <c r="B8189" s="26" t="s">
        <v>542</v>
      </c>
      <c r="C8189" s="87" t="s">
        <v>6870</v>
      </c>
      <c r="D8189" s="8">
        <v>11607</v>
      </c>
      <c r="E8189" s="8"/>
      <c r="F8189" s="92">
        <f t="shared" si="162"/>
        <v>85391.870967742056</v>
      </c>
    </row>
    <row r="8190" spans="1:6" x14ac:dyDescent="0.25">
      <c r="A8190" s="204">
        <v>44082</v>
      </c>
      <c r="B8190" s="26" t="s">
        <v>3563</v>
      </c>
      <c r="C8190" s="26" t="s">
        <v>6641</v>
      </c>
      <c r="D8190" s="8">
        <v>4780</v>
      </c>
      <c r="E8190" s="8"/>
      <c r="F8190" s="92">
        <f t="shared" si="162"/>
        <v>80611.870967742056</v>
      </c>
    </row>
    <row r="8191" spans="1:6" x14ac:dyDescent="0.25">
      <c r="A8191" s="204">
        <v>44083</v>
      </c>
      <c r="B8191" s="26" t="s">
        <v>26</v>
      </c>
      <c r="C8191" s="26" t="s">
        <v>6875</v>
      </c>
      <c r="D8191" s="8">
        <f>1390-500</f>
        <v>890</v>
      </c>
      <c r="E8191" s="8"/>
      <c r="F8191" s="92">
        <f t="shared" si="162"/>
        <v>79721.870967742056</v>
      </c>
    </row>
    <row r="8192" spans="1:6" x14ac:dyDescent="0.25">
      <c r="A8192" s="204">
        <v>44083</v>
      </c>
      <c r="B8192" s="26" t="s">
        <v>1840</v>
      </c>
      <c r="C8192" s="137" t="s">
        <v>6949</v>
      </c>
      <c r="D8192" s="8">
        <v>4500</v>
      </c>
      <c r="E8192" s="8"/>
      <c r="F8192" s="92">
        <f t="shared" si="162"/>
        <v>75221.870967742056</v>
      </c>
    </row>
    <row r="8193" spans="1:6" x14ac:dyDescent="0.25">
      <c r="A8193" s="204">
        <v>44083</v>
      </c>
      <c r="B8193" s="26" t="s">
        <v>6784</v>
      </c>
      <c r="C8193" s="26" t="s">
        <v>6876</v>
      </c>
      <c r="D8193" s="8">
        <v>1000</v>
      </c>
      <c r="E8193" s="8"/>
      <c r="F8193" s="92">
        <f t="shared" si="162"/>
        <v>74221.870967742056</v>
      </c>
    </row>
    <row r="8194" spans="1:6" x14ac:dyDescent="0.25">
      <c r="A8194" s="204">
        <v>44083</v>
      </c>
      <c r="B8194" s="26" t="s">
        <v>26</v>
      </c>
      <c r="C8194" s="137" t="s">
        <v>6916</v>
      </c>
      <c r="D8194" s="8">
        <v>4000</v>
      </c>
      <c r="E8194" s="8"/>
      <c r="F8194" s="92">
        <f t="shared" si="162"/>
        <v>70221.870967742056</v>
      </c>
    </row>
    <row r="8195" spans="1:6" x14ac:dyDescent="0.25">
      <c r="A8195" s="204">
        <v>44083</v>
      </c>
      <c r="B8195" s="26" t="s">
        <v>6877</v>
      </c>
      <c r="C8195" s="26" t="s">
        <v>6878</v>
      </c>
      <c r="D8195" s="8">
        <v>28200</v>
      </c>
      <c r="E8195" s="8"/>
      <c r="F8195" s="92">
        <f t="shared" si="162"/>
        <v>42021.870967742056</v>
      </c>
    </row>
    <row r="8196" spans="1:6" x14ac:dyDescent="0.25">
      <c r="A8196" s="204">
        <v>44083</v>
      </c>
      <c r="B8196" s="26" t="s">
        <v>248</v>
      </c>
      <c r="C8196" s="26" t="s">
        <v>2016</v>
      </c>
      <c r="D8196" s="8">
        <v>100</v>
      </c>
      <c r="E8196" s="8"/>
      <c r="F8196" s="92">
        <f t="shared" si="162"/>
        <v>41921.870967742056</v>
      </c>
    </row>
    <row r="8197" spans="1:6" x14ac:dyDescent="0.25">
      <c r="A8197" s="204">
        <v>44084</v>
      </c>
      <c r="B8197" s="29" t="s">
        <v>4776</v>
      </c>
      <c r="C8197" s="29" t="s">
        <v>295</v>
      </c>
      <c r="D8197" s="8">
        <v>10000</v>
      </c>
      <c r="E8197" s="8"/>
      <c r="F8197" s="92">
        <f t="shared" ref="F8197:F8260" si="163">F8196+E8197-D8197</f>
        <v>31921.870967742056</v>
      </c>
    </row>
    <row r="8198" spans="1:6" x14ac:dyDescent="0.25">
      <c r="A8198" s="204">
        <v>44084</v>
      </c>
      <c r="B8198" s="26" t="s">
        <v>1015</v>
      </c>
      <c r="C8198" s="137" t="s">
        <v>6883</v>
      </c>
      <c r="D8198" s="8">
        <v>2500</v>
      </c>
      <c r="E8198" s="8"/>
      <c r="F8198" s="92">
        <f t="shared" si="163"/>
        <v>29421.870967742056</v>
      </c>
    </row>
    <row r="8199" spans="1:6" x14ac:dyDescent="0.25">
      <c r="A8199" s="204">
        <v>44085</v>
      </c>
      <c r="B8199" s="26" t="s">
        <v>6788</v>
      </c>
      <c r="C8199" s="26" t="s">
        <v>6884</v>
      </c>
      <c r="D8199" s="8">
        <v>500</v>
      </c>
      <c r="E8199" s="8"/>
      <c r="F8199" s="92">
        <f t="shared" si="163"/>
        <v>28921.870967742056</v>
      </c>
    </row>
    <row r="8200" spans="1:6" x14ac:dyDescent="0.25">
      <c r="A8200" s="204">
        <v>44085</v>
      </c>
      <c r="B8200" s="26" t="s">
        <v>6293</v>
      </c>
      <c r="C8200" s="26" t="s">
        <v>599</v>
      </c>
      <c r="D8200" s="8">
        <f>20000+430</f>
        <v>20430</v>
      </c>
      <c r="E8200" s="8"/>
      <c r="F8200" s="92">
        <f t="shared" si="163"/>
        <v>8491.8709677420557</v>
      </c>
    </row>
    <row r="8201" spans="1:6" x14ac:dyDescent="0.25">
      <c r="A8201" s="204">
        <v>44085</v>
      </c>
      <c r="B8201" s="29" t="s">
        <v>14</v>
      </c>
      <c r="C8201" s="29" t="s">
        <v>641</v>
      </c>
      <c r="D8201" s="8">
        <v>1000</v>
      </c>
      <c r="E8201" s="8"/>
      <c r="F8201" s="92">
        <f t="shared" si="163"/>
        <v>7491.8709677420557</v>
      </c>
    </row>
    <row r="8202" spans="1:6" x14ac:dyDescent="0.25">
      <c r="A8202" s="204">
        <v>44085</v>
      </c>
      <c r="B8202" s="29" t="s">
        <v>26</v>
      </c>
      <c r="C8202" s="29" t="s">
        <v>6795</v>
      </c>
      <c r="D8202" s="8">
        <f>1100+100+40+60+120+500+120+50+120+90+1000+600+20+400</f>
        <v>4320</v>
      </c>
      <c r="E8202" s="8"/>
      <c r="F8202" s="92">
        <f t="shared" si="163"/>
        <v>3171.8709677420557</v>
      </c>
    </row>
    <row r="8203" spans="1:6" x14ac:dyDescent="0.25">
      <c r="A8203" s="204">
        <v>44085</v>
      </c>
      <c r="B8203" s="452" t="s">
        <v>6886</v>
      </c>
      <c r="C8203" s="452"/>
      <c r="D8203" s="452"/>
      <c r="E8203" s="8">
        <v>50000</v>
      </c>
      <c r="F8203" s="92">
        <f t="shared" si="163"/>
        <v>53171.870967742056</v>
      </c>
    </row>
    <row r="8204" spans="1:6" x14ac:dyDescent="0.25">
      <c r="A8204" s="204">
        <v>44085</v>
      </c>
      <c r="B8204" s="26" t="s">
        <v>6770</v>
      </c>
      <c r="C8204" s="26" t="s">
        <v>6885</v>
      </c>
      <c r="D8204" s="8">
        <v>30000</v>
      </c>
      <c r="E8204" s="8"/>
      <c r="F8204" s="92">
        <f t="shared" si="163"/>
        <v>23171.870967742056</v>
      </c>
    </row>
    <row r="8205" spans="1:6" x14ac:dyDescent="0.25">
      <c r="A8205" s="204">
        <v>44085</v>
      </c>
      <c r="B8205" s="262" t="s">
        <v>55</v>
      </c>
      <c r="C8205" s="262" t="s">
        <v>6887</v>
      </c>
      <c r="D8205" s="263">
        <v>17000</v>
      </c>
      <c r="E8205" s="8"/>
      <c r="F8205" s="92">
        <f t="shared" si="163"/>
        <v>6171.8709677420557</v>
      </c>
    </row>
    <row r="8206" spans="1:6" x14ac:dyDescent="0.25">
      <c r="A8206" s="204">
        <v>44085</v>
      </c>
      <c r="B8206" s="452" t="s">
        <v>6007</v>
      </c>
      <c r="C8206" s="452"/>
      <c r="D8206" s="452"/>
      <c r="E8206" s="8">
        <v>100000</v>
      </c>
      <c r="F8206" s="92">
        <f t="shared" si="163"/>
        <v>106171.87096774206</v>
      </c>
    </row>
    <row r="8207" spans="1:6" x14ac:dyDescent="0.25">
      <c r="A8207" s="204">
        <v>44085</v>
      </c>
      <c r="B8207" s="262" t="s">
        <v>55</v>
      </c>
      <c r="C8207" s="262" t="s">
        <v>6888</v>
      </c>
      <c r="D8207" s="263">
        <v>19871</v>
      </c>
      <c r="E8207" s="8"/>
      <c r="F8207" s="92">
        <f t="shared" si="163"/>
        <v>86300.870967742056</v>
      </c>
    </row>
    <row r="8208" spans="1:6" x14ac:dyDescent="0.25">
      <c r="A8208" s="204">
        <v>44085</v>
      </c>
      <c r="B8208" s="262" t="s">
        <v>55</v>
      </c>
      <c r="C8208" s="262" t="s">
        <v>6889</v>
      </c>
      <c r="D8208" s="263">
        <v>18661</v>
      </c>
      <c r="E8208" s="8"/>
      <c r="F8208" s="92">
        <f t="shared" si="163"/>
        <v>67639.870967742056</v>
      </c>
    </row>
    <row r="8209" spans="1:6" x14ac:dyDescent="0.25">
      <c r="A8209" s="204">
        <v>44085</v>
      </c>
      <c r="B8209" s="262" t="s">
        <v>55</v>
      </c>
      <c r="C8209" s="262" t="s">
        <v>6890</v>
      </c>
      <c r="D8209" s="263">
        <v>23548</v>
      </c>
      <c r="E8209" s="8"/>
      <c r="F8209" s="92">
        <f t="shared" si="163"/>
        <v>44091.870967742056</v>
      </c>
    </row>
    <row r="8210" spans="1:6" x14ac:dyDescent="0.25">
      <c r="A8210" s="204">
        <v>44085</v>
      </c>
      <c r="B8210" s="26" t="s">
        <v>19</v>
      </c>
      <c r="C8210" s="26" t="s">
        <v>295</v>
      </c>
      <c r="D8210" s="8">
        <v>5000</v>
      </c>
      <c r="E8210" s="8"/>
      <c r="F8210" s="92">
        <f t="shared" si="163"/>
        <v>39091.870967742056</v>
      </c>
    </row>
    <row r="8211" spans="1:6" x14ac:dyDescent="0.25">
      <c r="A8211" s="204">
        <v>44085</v>
      </c>
      <c r="B8211" s="26" t="s">
        <v>26</v>
      </c>
      <c r="C8211" s="26" t="s">
        <v>5995</v>
      </c>
      <c r="D8211" s="8">
        <v>600</v>
      </c>
      <c r="E8211" s="8"/>
      <c r="F8211" s="92">
        <f t="shared" si="163"/>
        <v>38491.870967742056</v>
      </c>
    </row>
    <row r="8212" spans="1:6" x14ac:dyDescent="0.25">
      <c r="A8212" s="204">
        <v>44088</v>
      </c>
      <c r="B8212" s="269" t="s">
        <v>6063</v>
      </c>
      <c r="C8212" s="269" t="s">
        <v>6896</v>
      </c>
      <c r="D8212" s="8">
        <v>4000</v>
      </c>
      <c r="E8212" s="8"/>
      <c r="F8212" s="92">
        <f t="shared" si="163"/>
        <v>34491.870967742056</v>
      </c>
    </row>
    <row r="8213" spans="1:6" x14ac:dyDescent="0.25">
      <c r="A8213" s="204">
        <v>44088</v>
      </c>
      <c r="B8213" s="26" t="s">
        <v>14</v>
      </c>
      <c r="C8213" s="26" t="s">
        <v>295</v>
      </c>
      <c r="D8213" s="8">
        <v>25000</v>
      </c>
      <c r="E8213" s="8"/>
      <c r="F8213" s="92">
        <f t="shared" si="163"/>
        <v>9491.8709677420557</v>
      </c>
    </row>
    <row r="8214" spans="1:6" x14ac:dyDescent="0.25">
      <c r="A8214" s="204">
        <v>44089</v>
      </c>
      <c r="B8214" s="26" t="s">
        <v>11</v>
      </c>
      <c r="C8214" s="26" t="s">
        <v>6897</v>
      </c>
      <c r="D8214" s="8">
        <v>710</v>
      </c>
      <c r="E8214" s="8"/>
      <c r="F8214" s="92">
        <f t="shared" si="163"/>
        <v>8781.8709677420557</v>
      </c>
    </row>
    <row r="8215" spans="1:6" x14ac:dyDescent="0.25">
      <c r="A8215" s="204">
        <v>44089</v>
      </c>
      <c r="B8215" s="452" t="s">
        <v>6886</v>
      </c>
      <c r="C8215" s="452"/>
      <c r="D8215" s="452"/>
      <c r="E8215" s="8">
        <v>50000</v>
      </c>
      <c r="F8215" s="92">
        <f t="shared" si="163"/>
        <v>58781.870967742056</v>
      </c>
    </row>
    <row r="8216" spans="1:6" x14ac:dyDescent="0.25">
      <c r="A8216" s="204">
        <v>44089</v>
      </c>
      <c r="B8216" s="26" t="s">
        <v>14</v>
      </c>
      <c r="C8216" s="26" t="s">
        <v>295</v>
      </c>
      <c r="D8216" s="8">
        <v>30000</v>
      </c>
      <c r="E8216" s="8"/>
      <c r="F8216" s="92">
        <f t="shared" si="163"/>
        <v>28781.870967742056</v>
      </c>
    </row>
    <row r="8217" spans="1:6" x14ac:dyDescent="0.25">
      <c r="A8217" s="204">
        <v>44089</v>
      </c>
      <c r="B8217" s="26" t="s">
        <v>26</v>
      </c>
      <c r="C8217" s="26" t="s">
        <v>6898</v>
      </c>
      <c r="D8217" s="8">
        <v>800</v>
      </c>
      <c r="E8217" s="8"/>
      <c r="F8217" s="92">
        <f t="shared" si="163"/>
        <v>27981.870967742056</v>
      </c>
    </row>
    <row r="8218" spans="1:6" x14ac:dyDescent="0.25">
      <c r="A8218" s="204">
        <v>44089</v>
      </c>
      <c r="B8218" s="26" t="s">
        <v>1790</v>
      </c>
      <c r="C8218" s="26" t="s">
        <v>6899</v>
      </c>
      <c r="D8218" s="8">
        <v>1500</v>
      </c>
      <c r="E8218" s="8"/>
      <c r="F8218" s="92">
        <f t="shared" si="163"/>
        <v>26481.870967742056</v>
      </c>
    </row>
    <row r="8219" spans="1:6" x14ac:dyDescent="0.25">
      <c r="A8219" s="204">
        <v>44090</v>
      </c>
      <c r="B8219" s="452" t="s">
        <v>6847</v>
      </c>
      <c r="C8219" s="452"/>
      <c r="D8219" s="452"/>
      <c r="E8219" s="8">
        <v>437000</v>
      </c>
      <c r="F8219" s="92">
        <f t="shared" si="163"/>
        <v>463481.87096774206</v>
      </c>
    </row>
    <row r="8220" spans="1:6" ht="30" x14ac:dyDescent="0.25">
      <c r="A8220" s="204">
        <v>44090</v>
      </c>
      <c r="B8220" s="26" t="s">
        <v>6788</v>
      </c>
      <c r="C8220" s="87" t="s">
        <v>6904</v>
      </c>
      <c r="D8220" s="8">
        <v>300</v>
      </c>
      <c r="E8220" s="8"/>
      <c r="F8220" s="92">
        <f t="shared" si="163"/>
        <v>463181.87096774206</v>
      </c>
    </row>
    <row r="8221" spans="1:6" x14ac:dyDescent="0.25">
      <c r="A8221" s="204">
        <v>44090</v>
      </c>
      <c r="B8221" s="26" t="s">
        <v>6905</v>
      </c>
      <c r="C8221" s="26" t="s">
        <v>6906</v>
      </c>
      <c r="D8221" s="8">
        <v>97800</v>
      </c>
      <c r="E8221" s="8"/>
      <c r="F8221" s="92">
        <f t="shared" si="163"/>
        <v>365381.87096774206</v>
      </c>
    </row>
    <row r="8222" spans="1:6" x14ac:dyDescent="0.25">
      <c r="A8222" s="204">
        <v>44090</v>
      </c>
      <c r="B8222" s="26" t="s">
        <v>6063</v>
      </c>
      <c r="C8222" s="26" t="s">
        <v>6907</v>
      </c>
      <c r="D8222" s="8">
        <v>1000</v>
      </c>
      <c r="E8222" s="8"/>
      <c r="F8222" s="92">
        <f t="shared" si="163"/>
        <v>364381.87096774206</v>
      </c>
    </row>
    <row r="8223" spans="1:6" x14ac:dyDescent="0.25">
      <c r="A8223" s="204">
        <v>44090</v>
      </c>
      <c r="B8223" s="29" t="s">
        <v>26</v>
      </c>
      <c r="C8223" s="29" t="s">
        <v>6795</v>
      </c>
      <c r="D8223" s="8">
        <f>500+40+30+330+60+90+160+500+80+250+100+60+330+50+20+100+120+80+140</f>
        <v>3040</v>
      </c>
      <c r="E8223" s="8"/>
      <c r="F8223" s="92">
        <f t="shared" si="163"/>
        <v>361341.87096774206</v>
      </c>
    </row>
    <row r="8224" spans="1:6" x14ac:dyDescent="0.25">
      <c r="A8224" s="204">
        <v>44091</v>
      </c>
      <c r="B8224" s="26" t="s">
        <v>6550</v>
      </c>
      <c r="C8224" s="26" t="s">
        <v>6908</v>
      </c>
      <c r="D8224" s="8">
        <v>2000</v>
      </c>
      <c r="E8224" s="8"/>
      <c r="F8224" s="92">
        <f t="shared" si="163"/>
        <v>359341.87096774206</v>
      </c>
    </row>
    <row r="8225" spans="1:8" x14ac:dyDescent="0.25">
      <c r="A8225" s="204">
        <v>44091</v>
      </c>
      <c r="B8225" s="26" t="s">
        <v>85</v>
      </c>
      <c r="C8225" s="26" t="s">
        <v>6909</v>
      </c>
      <c r="D8225" s="8">
        <v>3000</v>
      </c>
      <c r="E8225" s="8"/>
      <c r="F8225" s="92">
        <f t="shared" si="163"/>
        <v>356341.87096774206</v>
      </c>
    </row>
    <row r="8226" spans="1:8" ht="28.5" x14ac:dyDescent="0.45">
      <c r="A8226" s="204">
        <v>44091</v>
      </c>
      <c r="B8226" s="26" t="s">
        <v>1015</v>
      </c>
      <c r="C8226" s="26" t="s">
        <v>6910</v>
      </c>
      <c r="D8226" s="8">
        <v>4500</v>
      </c>
      <c r="E8226" s="8"/>
      <c r="F8226" s="92">
        <f t="shared" si="163"/>
        <v>351841.87096774206</v>
      </c>
      <c r="H8226" s="271"/>
    </row>
    <row r="8227" spans="1:8" x14ac:dyDescent="0.25">
      <c r="A8227" s="204">
        <v>44091</v>
      </c>
      <c r="B8227" s="26" t="s">
        <v>2351</v>
      </c>
      <c r="C8227" s="26" t="s">
        <v>295</v>
      </c>
      <c r="D8227" s="8">
        <v>5000</v>
      </c>
      <c r="E8227" s="8"/>
      <c r="F8227" s="92">
        <f t="shared" si="163"/>
        <v>346841.87096774206</v>
      </c>
    </row>
    <row r="8228" spans="1:8" x14ac:dyDescent="0.25">
      <c r="A8228" s="204">
        <v>44091</v>
      </c>
      <c r="B8228" s="26" t="s">
        <v>6334</v>
      </c>
      <c r="C8228" s="26" t="s">
        <v>6911</v>
      </c>
      <c r="D8228" s="8">
        <v>3500</v>
      </c>
      <c r="E8228" s="8"/>
      <c r="F8228" s="92">
        <f t="shared" si="163"/>
        <v>343341.87096774206</v>
      </c>
    </row>
    <row r="8229" spans="1:8" x14ac:dyDescent="0.25">
      <c r="A8229" s="204">
        <v>44091</v>
      </c>
      <c r="B8229" s="26" t="s">
        <v>4776</v>
      </c>
      <c r="C8229" s="26" t="s">
        <v>4334</v>
      </c>
      <c r="D8229" s="8">
        <v>3000</v>
      </c>
      <c r="E8229" s="8"/>
      <c r="F8229" s="92">
        <f t="shared" si="163"/>
        <v>340341.87096774206</v>
      </c>
    </row>
    <row r="8230" spans="1:8" x14ac:dyDescent="0.25">
      <c r="A8230" s="204">
        <v>44091</v>
      </c>
      <c r="B8230" s="26" t="s">
        <v>85</v>
      </c>
      <c r="C8230" s="26" t="s">
        <v>6912</v>
      </c>
      <c r="D8230" s="8">
        <v>60000</v>
      </c>
      <c r="E8230" s="8"/>
      <c r="F8230" s="92">
        <f t="shared" si="163"/>
        <v>280341.87096774206</v>
      </c>
    </row>
    <row r="8231" spans="1:8" x14ac:dyDescent="0.25">
      <c r="A8231" s="204">
        <v>44091</v>
      </c>
      <c r="B8231" s="26" t="s">
        <v>5479</v>
      </c>
      <c r="C8231" s="26" t="s">
        <v>6914</v>
      </c>
      <c r="D8231" s="8">
        <f>600+1950</f>
        <v>2550</v>
      </c>
      <c r="E8231" s="8"/>
      <c r="F8231" s="92">
        <f t="shared" si="163"/>
        <v>277791.87096774206</v>
      </c>
    </row>
    <row r="8232" spans="1:8" x14ac:dyDescent="0.25">
      <c r="A8232" s="204">
        <v>44092</v>
      </c>
      <c r="B8232" s="262" t="s">
        <v>55</v>
      </c>
      <c r="C8232" s="262" t="s">
        <v>6915</v>
      </c>
      <c r="D8232" s="263">
        <v>10000</v>
      </c>
      <c r="E8232" s="8"/>
      <c r="F8232" s="92">
        <f t="shared" si="163"/>
        <v>267791.87096774206</v>
      </c>
    </row>
    <row r="8233" spans="1:8" ht="30" x14ac:dyDescent="0.25">
      <c r="A8233" s="204">
        <v>44092</v>
      </c>
      <c r="B8233" s="26" t="s">
        <v>26</v>
      </c>
      <c r="C8233" s="87" t="s">
        <v>6917</v>
      </c>
      <c r="D8233" s="8">
        <v>1500</v>
      </c>
      <c r="E8233" s="8"/>
      <c r="F8233" s="92">
        <f t="shared" si="163"/>
        <v>266291.87096774206</v>
      </c>
    </row>
    <row r="8234" spans="1:8" x14ac:dyDescent="0.25">
      <c r="A8234" s="241">
        <v>44092</v>
      </c>
      <c r="B8234" s="33" t="s">
        <v>14</v>
      </c>
      <c r="C8234" s="272" t="s">
        <v>295</v>
      </c>
      <c r="D8234" s="27">
        <v>150000</v>
      </c>
      <c r="E8234" s="12"/>
      <c r="F8234" s="92">
        <f t="shared" si="163"/>
        <v>116291.87096774206</v>
      </c>
    </row>
    <row r="8235" spans="1:8" x14ac:dyDescent="0.25">
      <c r="A8235" s="204">
        <v>44092</v>
      </c>
      <c r="B8235" s="273" t="s">
        <v>26</v>
      </c>
      <c r="C8235" s="273" t="s">
        <v>6922</v>
      </c>
      <c r="D8235" s="274">
        <v>600</v>
      </c>
      <c r="E8235" s="140"/>
      <c r="F8235" s="92">
        <f t="shared" si="163"/>
        <v>115691.87096774206</v>
      </c>
    </row>
    <row r="8236" spans="1:8" x14ac:dyDescent="0.25">
      <c r="A8236" s="204">
        <v>44093</v>
      </c>
      <c r="B8236" s="273" t="s">
        <v>14</v>
      </c>
      <c r="C8236" s="273" t="s">
        <v>295</v>
      </c>
      <c r="D8236" s="274">
        <v>50000</v>
      </c>
      <c r="E8236" s="140"/>
      <c r="F8236" s="92">
        <f t="shared" si="163"/>
        <v>65691.870967742056</v>
      </c>
    </row>
    <row r="8237" spans="1:8" x14ac:dyDescent="0.25">
      <c r="A8237" s="204">
        <v>44093</v>
      </c>
      <c r="B8237" s="46" t="s">
        <v>14</v>
      </c>
      <c r="C8237" s="40" t="s">
        <v>295</v>
      </c>
      <c r="D8237" s="140">
        <v>15000</v>
      </c>
      <c r="E8237" s="140"/>
      <c r="F8237" s="92">
        <f t="shared" si="163"/>
        <v>50691.870967742056</v>
      </c>
    </row>
    <row r="8238" spans="1:8" x14ac:dyDescent="0.25">
      <c r="A8238" s="204">
        <v>44093</v>
      </c>
      <c r="B8238" s="46" t="s">
        <v>1077</v>
      </c>
      <c r="C8238" s="40" t="s">
        <v>6926</v>
      </c>
      <c r="D8238" s="140">
        <f>1280+5040</f>
        <v>6320</v>
      </c>
      <c r="E8238" s="140"/>
      <c r="F8238" s="92">
        <f t="shared" si="163"/>
        <v>44371.870967742056</v>
      </c>
    </row>
    <row r="8239" spans="1:8" x14ac:dyDescent="0.25">
      <c r="A8239" s="204">
        <v>44093</v>
      </c>
      <c r="B8239" s="46" t="s">
        <v>1077</v>
      </c>
      <c r="C8239" s="40" t="s">
        <v>6927</v>
      </c>
      <c r="D8239" s="140">
        <f>580+1270</f>
        <v>1850</v>
      </c>
      <c r="E8239" s="140"/>
      <c r="F8239" s="92">
        <f t="shared" si="163"/>
        <v>42521.870967742056</v>
      </c>
    </row>
    <row r="8240" spans="1:8" x14ac:dyDescent="0.25">
      <c r="A8240" s="204">
        <v>44095</v>
      </c>
      <c r="B8240" s="46" t="s">
        <v>2351</v>
      </c>
      <c r="C8240" s="40" t="s">
        <v>6928</v>
      </c>
      <c r="D8240" s="140">
        <v>20000</v>
      </c>
      <c r="E8240" s="140"/>
      <c r="F8240" s="92">
        <f t="shared" si="163"/>
        <v>22521.870967742056</v>
      </c>
    </row>
    <row r="8241" spans="1:10" x14ac:dyDescent="0.25">
      <c r="A8241" s="204">
        <v>44095</v>
      </c>
      <c r="B8241" s="46" t="s">
        <v>14</v>
      </c>
      <c r="C8241" s="40" t="s">
        <v>295</v>
      </c>
      <c r="D8241" s="140">
        <v>5000</v>
      </c>
      <c r="E8241" s="140"/>
      <c r="F8241" s="92">
        <f t="shared" si="163"/>
        <v>17521.870967742056</v>
      </c>
    </row>
    <row r="8242" spans="1:10" ht="30" x14ac:dyDescent="0.25">
      <c r="A8242" s="204">
        <v>44095</v>
      </c>
      <c r="B8242" s="46" t="s">
        <v>26</v>
      </c>
      <c r="C8242" s="76" t="s">
        <v>6930</v>
      </c>
      <c r="D8242" s="140">
        <v>500</v>
      </c>
      <c r="E8242" s="140"/>
      <c r="F8242" s="92">
        <f t="shared" si="163"/>
        <v>17021.870967742056</v>
      </c>
    </row>
    <row r="8243" spans="1:10" x14ac:dyDescent="0.25">
      <c r="A8243" s="204">
        <v>44095</v>
      </c>
      <c r="B8243" s="46" t="s">
        <v>6931</v>
      </c>
      <c r="C8243" s="76" t="s">
        <v>6932</v>
      </c>
      <c r="D8243" s="140">
        <v>100</v>
      </c>
      <c r="E8243" s="140"/>
      <c r="F8243" s="92">
        <f t="shared" si="163"/>
        <v>16921.870967742056</v>
      </c>
    </row>
    <row r="8244" spans="1:10" x14ac:dyDescent="0.25">
      <c r="A8244" s="204">
        <v>44095</v>
      </c>
      <c r="B8244" s="452" t="s">
        <v>6007</v>
      </c>
      <c r="C8244" s="452"/>
      <c r="D8244" s="452"/>
      <c r="E8244" s="8">
        <v>50000</v>
      </c>
      <c r="F8244" s="92">
        <f t="shared" si="163"/>
        <v>66921.870967742056</v>
      </c>
    </row>
    <row r="8245" spans="1:10" x14ac:dyDescent="0.25">
      <c r="A8245" s="204">
        <v>44095</v>
      </c>
      <c r="B8245" s="452" t="s">
        <v>6007</v>
      </c>
      <c r="C8245" s="452"/>
      <c r="D8245" s="452"/>
      <c r="E8245" s="8">
        <v>25000</v>
      </c>
      <c r="F8245" s="92">
        <f t="shared" si="163"/>
        <v>91921.870967742056</v>
      </c>
    </row>
    <row r="8246" spans="1:10" x14ac:dyDescent="0.25">
      <c r="A8246" s="204">
        <v>44095</v>
      </c>
      <c r="B8246" s="452" t="s">
        <v>6007</v>
      </c>
      <c r="C8246" s="452"/>
      <c r="D8246" s="452"/>
      <c r="E8246" s="8">
        <v>10000</v>
      </c>
      <c r="F8246" s="92">
        <f t="shared" si="163"/>
        <v>101921.87096774206</v>
      </c>
    </row>
    <row r="8247" spans="1:10" x14ac:dyDescent="0.25">
      <c r="A8247" s="204">
        <v>44095</v>
      </c>
      <c r="B8247" s="40" t="s">
        <v>6468</v>
      </c>
      <c r="C8247" s="40" t="s">
        <v>6936</v>
      </c>
      <c r="D8247" s="41">
        <v>75000</v>
      </c>
      <c r="E8247" s="41"/>
      <c r="F8247" s="92">
        <f t="shared" si="163"/>
        <v>26921.870967742056</v>
      </c>
    </row>
    <row r="8248" spans="1:10" s="49" customFormat="1" x14ac:dyDescent="0.25">
      <c r="A8248" s="204">
        <v>44095</v>
      </c>
      <c r="B8248" s="40" t="s">
        <v>248</v>
      </c>
      <c r="C8248" s="40" t="s">
        <v>2016</v>
      </c>
      <c r="D8248" s="275">
        <v>100</v>
      </c>
      <c r="E8248" s="41"/>
      <c r="F8248" s="92">
        <f t="shared" si="163"/>
        <v>26821.870967742056</v>
      </c>
      <c r="H8248" s="116"/>
      <c r="I8248" s="116"/>
      <c r="J8248" s="116"/>
    </row>
    <row r="8249" spans="1:10" s="49" customFormat="1" x14ac:dyDescent="0.25">
      <c r="A8249" s="204">
        <v>44095</v>
      </c>
      <c r="B8249" s="278" t="s">
        <v>85</v>
      </c>
      <c r="C8249" s="278" t="s">
        <v>6937</v>
      </c>
      <c r="D8249" s="275">
        <v>350</v>
      </c>
      <c r="E8249" s="41"/>
      <c r="F8249" s="92">
        <f t="shared" si="163"/>
        <v>26471.870967742056</v>
      </c>
      <c r="H8249" s="116"/>
      <c r="I8249" s="116"/>
      <c r="J8249" s="116"/>
    </row>
    <row r="8250" spans="1:10" s="49" customFormat="1" x14ac:dyDescent="0.25">
      <c r="A8250" s="204">
        <v>44095</v>
      </c>
      <c r="B8250" s="278" t="s">
        <v>26</v>
      </c>
      <c r="C8250" s="40" t="s">
        <v>6795</v>
      </c>
      <c r="D8250" s="41">
        <f>170+120+300+80+30+100+90+40+250+60+100+110+80+100+500</f>
        <v>2130</v>
      </c>
      <c r="E8250" s="41"/>
      <c r="F8250" s="92">
        <f t="shared" si="163"/>
        <v>24341.870967742056</v>
      </c>
      <c r="H8250" s="116"/>
      <c r="I8250" s="116"/>
      <c r="J8250" s="116"/>
    </row>
    <row r="8251" spans="1:10" x14ac:dyDescent="0.25">
      <c r="A8251" s="204">
        <v>44096</v>
      </c>
      <c r="B8251" s="262" t="s">
        <v>55</v>
      </c>
      <c r="C8251" s="262" t="s">
        <v>6938</v>
      </c>
      <c r="D8251" s="263">
        <v>9000</v>
      </c>
      <c r="E8251" s="8"/>
      <c r="F8251" s="92">
        <f t="shared" si="163"/>
        <v>15341.870967742056</v>
      </c>
    </row>
    <row r="8252" spans="1:10" s="49" customFormat="1" x14ac:dyDescent="0.25">
      <c r="A8252" s="204">
        <v>44096</v>
      </c>
      <c r="B8252" s="278" t="s">
        <v>14</v>
      </c>
      <c r="C8252" s="40" t="s">
        <v>6939</v>
      </c>
      <c r="D8252" s="41">
        <v>5000</v>
      </c>
      <c r="E8252" s="41"/>
      <c r="F8252" s="92">
        <f t="shared" si="163"/>
        <v>10341.870967742056</v>
      </c>
      <c r="H8252" s="116"/>
      <c r="I8252" s="116"/>
      <c r="J8252" s="116"/>
    </row>
    <row r="8253" spans="1:10" x14ac:dyDescent="0.25">
      <c r="A8253" s="204">
        <v>44096</v>
      </c>
      <c r="B8253" s="452" t="s">
        <v>6007</v>
      </c>
      <c r="C8253" s="452"/>
      <c r="D8253" s="452"/>
      <c r="E8253" s="8">
        <v>150000</v>
      </c>
      <c r="F8253" s="92">
        <f t="shared" si="163"/>
        <v>160341.87096774206</v>
      </c>
    </row>
    <row r="8254" spans="1:10" s="49" customFormat="1" x14ac:dyDescent="0.25">
      <c r="A8254" s="204">
        <v>44096</v>
      </c>
      <c r="B8254" s="40" t="s">
        <v>85</v>
      </c>
      <c r="C8254" s="40" t="s">
        <v>6937</v>
      </c>
      <c r="D8254" s="41">
        <v>5000</v>
      </c>
      <c r="E8254" s="41"/>
      <c r="F8254" s="92">
        <f t="shared" si="163"/>
        <v>155341.87096774206</v>
      </c>
      <c r="H8254" s="116"/>
      <c r="I8254" s="116"/>
      <c r="J8254" s="116"/>
    </row>
    <row r="8255" spans="1:10" s="49" customFormat="1" ht="30" x14ac:dyDescent="0.25">
      <c r="A8255" s="204">
        <v>44096</v>
      </c>
      <c r="B8255" s="76" t="s">
        <v>6942</v>
      </c>
      <c r="C8255" s="40" t="s">
        <v>3336</v>
      </c>
      <c r="D8255" s="41">
        <v>5000</v>
      </c>
      <c r="E8255" s="41"/>
      <c r="F8255" s="92">
        <f t="shared" si="163"/>
        <v>150341.87096774206</v>
      </c>
      <c r="H8255" s="116"/>
      <c r="I8255" s="116"/>
      <c r="J8255" s="116"/>
    </row>
    <row r="8256" spans="1:10" x14ac:dyDescent="0.25">
      <c r="A8256" s="204">
        <v>44096</v>
      </c>
      <c r="B8256" s="262" t="s">
        <v>55</v>
      </c>
      <c r="C8256" s="262" t="s">
        <v>6943</v>
      </c>
      <c r="D8256" s="263">
        <v>21290</v>
      </c>
      <c r="E8256" s="8"/>
      <c r="F8256" s="92">
        <f t="shared" si="163"/>
        <v>129051.87096774206</v>
      </c>
    </row>
    <row r="8257" spans="1:10" s="49" customFormat="1" x14ac:dyDescent="0.25">
      <c r="A8257" s="204">
        <v>44096</v>
      </c>
      <c r="B8257" s="40" t="s">
        <v>4776</v>
      </c>
      <c r="C8257" s="40" t="s">
        <v>295</v>
      </c>
      <c r="D8257" s="41">
        <v>15000</v>
      </c>
      <c r="E8257" s="41"/>
      <c r="F8257" s="92">
        <f t="shared" si="163"/>
        <v>114051.87096774206</v>
      </c>
      <c r="H8257" s="116"/>
      <c r="I8257" s="116"/>
      <c r="J8257" s="116"/>
    </row>
    <row r="8258" spans="1:10" x14ac:dyDescent="0.25">
      <c r="A8258" s="204">
        <v>44097</v>
      </c>
      <c r="B8258" s="262" t="s">
        <v>55</v>
      </c>
      <c r="C8258" s="262" t="s">
        <v>6944</v>
      </c>
      <c r="D8258" s="263">
        <v>20050</v>
      </c>
      <c r="E8258" s="8"/>
      <c r="F8258" s="92">
        <f t="shared" si="163"/>
        <v>94001.870967742056</v>
      </c>
    </row>
    <row r="8259" spans="1:10" s="49" customFormat="1" x14ac:dyDescent="0.25">
      <c r="A8259" s="204">
        <v>44097</v>
      </c>
      <c r="B8259" s="40" t="s">
        <v>6485</v>
      </c>
      <c r="C8259" s="40" t="s">
        <v>41</v>
      </c>
      <c r="D8259" s="41">
        <v>35380</v>
      </c>
      <c r="E8259" s="41"/>
      <c r="F8259" s="92">
        <f t="shared" si="163"/>
        <v>58621.870967742056</v>
      </c>
      <c r="H8259" s="116"/>
      <c r="I8259" s="116"/>
      <c r="J8259" s="116"/>
    </row>
    <row r="8260" spans="1:10" ht="30" x14ac:dyDescent="0.25">
      <c r="A8260" s="204">
        <v>44097</v>
      </c>
      <c r="B8260" s="40" t="s">
        <v>6945</v>
      </c>
      <c r="C8260" s="76" t="s">
        <v>6946</v>
      </c>
      <c r="D8260" s="41">
        <v>35000</v>
      </c>
      <c r="E8260" s="13"/>
      <c r="F8260" s="92">
        <f t="shared" si="163"/>
        <v>23621.870967742056</v>
      </c>
    </row>
    <row r="8261" spans="1:10" x14ac:dyDescent="0.25">
      <c r="A8261" s="204">
        <v>44097</v>
      </c>
      <c r="B8261" s="40" t="s">
        <v>0</v>
      </c>
      <c r="C8261" s="40" t="s">
        <v>6948</v>
      </c>
      <c r="D8261" s="41">
        <v>5000</v>
      </c>
      <c r="E8261" s="13"/>
      <c r="F8261" s="92">
        <f t="shared" ref="F8261:F8320" si="164">F8260+E8261-D8261</f>
        <v>18621.870967742056</v>
      </c>
    </row>
    <row r="8262" spans="1:10" x14ac:dyDescent="0.25">
      <c r="A8262" s="204">
        <v>44097</v>
      </c>
      <c r="B8262" s="40" t="s">
        <v>6063</v>
      </c>
      <c r="C8262" s="41" t="s">
        <v>6952</v>
      </c>
      <c r="D8262" s="41">
        <v>7000</v>
      </c>
      <c r="E8262" s="8"/>
      <c r="F8262" s="92">
        <f t="shared" si="164"/>
        <v>11621.870967742056</v>
      </c>
    </row>
    <row r="8263" spans="1:10" x14ac:dyDescent="0.25">
      <c r="A8263" s="204">
        <v>44098</v>
      </c>
      <c r="B8263" s="40" t="s">
        <v>26</v>
      </c>
      <c r="C8263" s="40" t="s">
        <v>6959</v>
      </c>
      <c r="D8263" s="41">
        <f>975+170</f>
        <v>1145</v>
      </c>
      <c r="E8263" s="8"/>
      <c r="F8263" s="92">
        <f t="shared" si="164"/>
        <v>10476.870967742056</v>
      </c>
    </row>
    <row r="8264" spans="1:10" x14ac:dyDescent="0.25">
      <c r="A8264" s="204">
        <v>44098</v>
      </c>
      <c r="B8264" s="40" t="s">
        <v>26</v>
      </c>
      <c r="C8264" s="40" t="s">
        <v>6956</v>
      </c>
      <c r="D8264" s="41">
        <v>1000</v>
      </c>
      <c r="E8264" s="8"/>
      <c r="F8264" s="92">
        <f t="shared" si="164"/>
        <v>9476.8709677420557</v>
      </c>
    </row>
    <row r="8265" spans="1:10" s="49" customFormat="1" x14ac:dyDescent="0.25">
      <c r="A8265" s="204">
        <v>44098</v>
      </c>
      <c r="B8265" s="40" t="s">
        <v>26</v>
      </c>
      <c r="C8265" s="40" t="s">
        <v>6957</v>
      </c>
      <c r="D8265" s="41">
        <v>230</v>
      </c>
      <c r="E8265" s="41"/>
      <c r="F8265" s="92">
        <f t="shared" si="164"/>
        <v>9246.8709677420557</v>
      </c>
      <c r="H8265" s="116"/>
      <c r="I8265" s="116"/>
      <c r="J8265" s="116"/>
    </row>
    <row r="8266" spans="1:10" s="49" customFormat="1" x14ac:dyDescent="0.25">
      <c r="A8266" s="204">
        <v>44098</v>
      </c>
      <c r="B8266" s="40" t="s">
        <v>26</v>
      </c>
      <c r="C8266" s="40" t="s">
        <v>6958</v>
      </c>
      <c r="D8266" s="41">
        <v>100</v>
      </c>
      <c r="E8266" s="41"/>
      <c r="F8266" s="92">
        <f t="shared" si="164"/>
        <v>9146.8709677420557</v>
      </c>
      <c r="H8266" s="116"/>
      <c r="I8266" s="116"/>
      <c r="J8266" s="116"/>
    </row>
    <row r="8267" spans="1:10" x14ac:dyDescent="0.25">
      <c r="A8267" s="204">
        <v>44098</v>
      </c>
      <c r="B8267" s="452" t="s">
        <v>6960</v>
      </c>
      <c r="C8267" s="452"/>
      <c r="D8267" s="452"/>
      <c r="E8267" s="8">
        <v>800</v>
      </c>
      <c r="F8267" s="92">
        <f t="shared" si="164"/>
        <v>9946.8709677420557</v>
      </c>
    </row>
    <row r="8268" spans="1:10" s="49" customFormat="1" x14ac:dyDescent="0.25">
      <c r="A8268" s="204">
        <v>44098</v>
      </c>
      <c r="B8268" s="46" t="s">
        <v>6063</v>
      </c>
      <c r="C8268" s="46" t="s">
        <v>6961</v>
      </c>
      <c r="D8268" s="140">
        <v>1120</v>
      </c>
      <c r="E8268" s="41"/>
      <c r="F8268" s="92">
        <f t="shared" si="164"/>
        <v>8826.8709677420557</v>
      </c>
      <c r="H8268" s="116"/>
      <c r="I8268" s="116"/>
      <c r="J8268" s="116"/>
    </row>
    <row r="8269" spans="1:10" x14ac:dyDescent="0.25">
      <c r="A8269" s="204">
        <v>44099</v>
      </c>
      <c r="B8269" s="452" t="s">
        <v>6007</v>
      </c>
      <c r="C8269" s="452"/>
      <c r="D8269" s="452"/>
      <c r="E8269" s="8">
        <v>20000</v>
      </c>
      <c r="F8269" s="92">
        <f t="shared" si="164"/>
        <v>28826.870967742056</v>
      </c>
    </row>
    <row r="8270" spans="1:10" s="49" customFormat="1" x14ac:dyDescent="0.25">
      <c r="A8270" s="204">
        <v>44099</v>
      </c>
      <c r="B8270" s="46" t="s">
        <v>14</v>
      </c>
      <c r="C8270" s="46" t="s">
        <v>6967</v>
      </c>
      <c r="D8270" s="140">
        <v>18660</v>
      </c>
      <c r="E8270" s="41"/>
      <c r="F8270" s="92">
        <f t="shared" si="164"/>
        <v>10166.870967742056</v>
      </c>
      <c r="H8270" s="116"/>
      <c r="I8270" s="116"/>
      <c r="J8270" s="116"/>
    </row>
    <row r="8271" spans="1:10" x14ac:dyDescent="0.25">
      <c r="A8271" s="204">
        <v>44100</v>
      </c>
      <c r="B8271" s="46" t="s">
        <v>1840</v>
      </c>
      <c r="C8271" s="46" t="s">
        <v>6971</v>
      </c>
      <c r="D8271" s="140">
        <v>2000</v>
      </c>
      <c r="E8271" s="140"/>
      <c r="F8271" s="92">
        <f t="shared" si="164"/>
        <v>8166.8709677420557</v>
      </c>
    </row>
    <row r="8272" spans="1:10" x14ac:dyDescent="0.25">
      <c r="A8272" s="204">
        <v>44100</v>
      </c>
      <c r="B8272" s="26" t="s">
        <v>26</v>
      </c>
      <c r="C8272" s="26" t="s">
        <v>6795</v>
      </c>
      <c r="D8272" s="8">
        <f>100+110+50+200+70+60+100+50+60+250+100+100+500</f>
        <v>1750</v>
      </c>
      <c r="E8272" s="140"/>
      <c r="F8272" s="92">
        <f t="shared" si="164"/>
        <v>6416.8709677420557</v>
      </c>
    </row>
    <row r="8273" spans="1:6" x14ac:dyDescent="0.25">
      <c r="A8273" s="204">
        <v>44100</v>
      </c>
      <c r="B8273" s="26" t="s">
        <v>3563</v>
      </c>
      <c r="C8273" s="26" t="s">
        <v>92</v>
      </c>
      <c r="D8273" s="8">
        <v>600</v>
      </c>
      <c r="E8273" s="140"/>
      <c r="F8273" s="92">
        <f t="shared" si="164"/>
        <v>5816.8709677420557</v>
      </c>
    </row>
    <row r="8274" spans="1:6" x14ac:dyDescent="0.25">
      <c r="A8274" s="204">
        <v>44100</v>
      </c>
      <c r="B8274" s="26" t="s">
        <v>4015</v>
      </c>
      <c r="C8274" s="26" t="s">
        <v>6972</v>
      </c>
      <c r="D8274" s="8">
        <v>1200</v>
      </c>
      <c r="E8274" s="140"/>
      <c r="F8274" s="92">
        <f t="shared" si="164"/>
        <v>4616.8709677420557</v>
      </c>
    </row>
    <row r="8275" spans="1:6" x14ac:dyDescent="0.25">
      <c r="A8275" s="204">
        <v>44100</v>
      </c>
      <c r="B8275" s="26" t="s">
        <v>26</v>
      </c>
      <c r="C8275" s="26" t="s">
        <v>2028</v>
      </c>
      <c r="D8275" s="8">
        <v>200</v>
      </c>
      <c r="E8275" s="8"/>
      <c r="F8275" s="92">
        <f t="shared" si="164"/>
        <v>4416.8709677420557</v>
      </c>
    </row>
    <row r="8276" spans="1:6" x14ac:dyDescent="0.25">
      <c r="A8276" s="204">
        <v>44102</v>
      </c>
      <c r="B8276" s="26" t="s">
        <v>26</v>
      </c>
      <c r="C8276" s="26" t="s">
        <v>6973</v>
      </c>
      <c r="D8276" s="8">
        <v>50</v>
      </c>
      <c r="E8276" s="8"/>
      <c r="F8276" s="92">
        <f t="shared" si="164"/>
        <v>4366.8709677420557</v>
      </c>
    </row>
    <row r="8277" spans="1:6" x14ac:dyDescent="0.25">
      <c r="A8277" s="204">
        <v>44102</v>
      </c>
      <c r="B8277" s="452" t="s">
        <v>3448</v>
      </c>
      <c r="C8277" s="452"/>
      <c r="D8277" s="452"/>
      <c r="E8277" s="8">
        <v>500000</v>
      </c>
      <c r="F8277" s="92">
        <f t="shared" si="164"/>
        <v>504366.87096774206</v>
      </c>
    </row>
    <row r="8278" spans="1:6" x14ac:dyDescent="0.25">
      <c r="A8278" s="204">
        <v>44102</v>
      </c>
      <c r="B8278" s="26" t="s">
        <v>4312</v>
      </c>
      <c r="C8278" s="26" t="s">
        <v>41</v>
      </c>
      <c r="D8278" s="8">
        <v>40000</v>
      </c>
      <c r="E8278" s="8"/>
      <c r="F8278" s="92">
        <f t="shared" si="164"/>
        <v>464366.87096774206</v>
      </c>
    </row>
    <row r="8279" spans="1:6" x14ac:dyDescent="0.25">
      <c r="A8279" s="204">
        <v>44102</v>
      </c>
      <c r="B8279" s="26" t="s">
        <v>1077</v>
      </c>
      <c r="C8279" s="26" t="s">
        <v>7006</v>
      </c>
      <c r="D8279" s="8">
        <f>23118+14229</f>
        <v>37347</v>
      </c>
      <c r="E8279" s="8"/>
      <c r="F8279" s="92">
        <f t="shared" si="164"/>
        <v>427019.87096774206</v>
      </c>
    </row>
    <row r="8280" spans="1:6" x14ac:dyDescent="0.25">
      <c r="A8280" s="204">
        <v>44102</v>
      </c>
      <c r="B8280" s="26" t="s">
        <v>1077</v>
      </c>
      <c r="C8280" s="26" t="s">
        <v>6974</v>
      </c>
      <c r="D8280" s="8">
        <v>170098</v>
      </c>
      <c r="E8280" s="8"/>
      <c r="F8280" s="92">
        <f t="shared" si="164"/>
        <v>256921.87096774206</v>
      </c>
    </row>
    <row r="8281" spans="1:6" ht="30" x14ac:dyDescent="0.25">
      <c r="A8281" s="204">
        <v>44102</v>
      </c>
      <c r="B8281" s="26" t="s">
        <v>6063</v>
      </c>
      <c r="C8281" s="259" t="s">
        <v>6975</v>
      </c>
      <c r="D8281" s="139">
        <v>1000</v>
      </c>
      <c r="E8281" s="8"/>
      <c r="F8281" s="92">
        <f t="shared" si="164"/>
        <v>255921.87096774206</v>
      </c>
    </row>
    <row r="8282" spans="1:6" x14ac:dyDescent="0.25">
      <c r="A8282" s="204">
        <v>44102</v>
      </c>
      <c r="B8282" s="26" t="s">
        <v>6541</v>
      </c>
      <c r="C8282" s="26" t="s">
        <v>4800</v>
      </c>
      <c r="D8282" s="8">
        <v>6800</v>
      </c>
      <c r="E8282" s="8"/>
      <c r="F8282" s="92">
        <f t="shared" si="164"/>
        <v>249121.87096774206</v>
      </c>
    </row>
    <row r="8283" spans="1:6" x14ac:dyDescent="0.25">
      <c r="A8283" s="204">
        <v>44102</v>
      </c>
      <c r="B8283" s="26" t="s">
        <v>6976</v>
      </c>
      <c r="C8283" s="26" t="s">
        <v>295</v>
      </c>
      <c r="D8283" s="8">
        <v>98743</v>
      </c>
      <c r="E8283" s="8"/>
      <c r="F8283" s="92">
        <f t="shared" si="164"/>
        <v>150378.87096774206</v>
      </c>
    </row>
    <row r="8284" spans="1:6" x14ac:dyDescent="0.25">
      <c r="A8284" s="204">
        <v>44102</v>
      </c>
      <c r="B8284" s="26" t="s">
        <v>14</v>
      </c>
      <c r="C8284" s="26" t="s">
        <v>295</v>
      </c>
      <c r="D8284" s="8">
        <v>25000</v>
      </c>
      <c r="E8284" s="8"/>
      <c r="F8284" s="92">
        <f t="shared" si="164"/>
        <v>125378.87096774206</v>
      </c>
    </row>
    <row r="8285" spans="1:6" x14ac:dyDescent="0.25">
      <c r="A8285" s="204">
        <v>44102</v>
      </c>
      <c r="B8285" s="26" t="s">
        <v>248</v>
      </c>
      <c r="C8285" s="26" t="s">
        <v>6977</v>
      </c>
      <c r="D8285" s="8">
        <v>100</v>
      </c>
      <c r="E8285" s="8"/>
      <c r="F8285" s="92">
        <f t="shared" si="164"/>
        <v>125278.87096774206</v>
      </c>
    </row>
    <row r="8286" spans="1:6" x14ac:dyDescent="0.25">
      <c r="A8286" s="204">
        <v>44102</v>
      </c>
      <c r="B8286" s="26" t="s">
        <v>0</v>
      </c>
      <c r="C8286" s="26" t="s">
        <v>6981</v>
      </c>
      <c r="D8286" s="8">
        <v>5000</v>
      </c>
      <c r="E8286" s="8"/>
      <c r="F8286" s="92">
        <f t="shared" si="164"/>
        <v>120278.87096774206</v>
      </c>
    </row>
    <row r="8287" spans="1:6" x14ac:dyDescent="0.25">
      <c r="A8287" s="204">
        <v>44102</v>
      </c>
      <c r="B8287" s="26" t="s">
        <v>6770</v>
      </c>
      <c r="C8287" s="26" t="s">
        <v>6982</v>
      </c>
      <c r="D8287" s="8">
        <v>10000</v>
      </c>
      <c r="E8287" s="8"/>
      <c r="F8287" s="92">
        <f t="shared" si="164"/>
        <v>110278.87096774206</v>
      </c>
    </row>
    <row r="8288" spans="1:6" x14ac:dyDescent="0.25">
      <c r="A8288" s="204">
        <v>44102</v>
      </c>
      <c r="B8288" s="26" t="s">
        <v>542</v>
      </c>
      <c r="C8288" s="26" t="s">
        <v>6983</v>
      </c>
      <c r="D8288" s="8">
        <v>100000</v>
      </c>
      <c r="E8288" s="8"/>
      <c r="F8288" s="92">
        <f t="shared" si="164"/>
        <v>10278.870967742056</v>
      </c>
    </row>
    <row r="8289" spans="1:8" x14ac:dyDescent="0.25">
      <c r="A8289" s="204">
        <v>44102</v>
      </c>
      <c r="B8289" s="452" t="s">
        <v>6980</v>
      </c>
      <c r="C8289" s="452"/>
      <c r="D8289" s="452"/>
      <c r="E8289" s="8">
        <v>20000</v>
      </c>
      <c r="F8289" s="92">
        <f t="shared" si="164"/>
        <v>30278.870967742056</v>
      </c>
    </row>
    <row r="8290" spans="1:8" x14ac:dyDescent="0.25">
      <c r="A8290" s="204">
        <v>44102</v>
      </c>
      <c r="B8290" s="452" t="s">
        <v>6980</v>
      </c>
      <c r="C8290" s="452"/>
      <c r="D8290" s="452"/>
      <c r="E8290" s="8">
        <v>1500</v>
      </c>
      <c r="F8290" s="92">
        <f t="shared" si="164"/>
        <v>31778.870967742056</v>
      </c>
    </row>
    <row r="8291" spans="1:8" x14ac:dyDescent="0.25">
      <c r="A8291" s="204">
        <v>44102</v>
      </c>
      <c r="B8291" s="26" t="s">
        <v>1015</v>
      </c>
      <c r="C8291" s="26" t="s">
        <v>6986</v>
      </c>
      <c r="D8291" s="8">
        <v>8000</v>
      </c>
      <c r="E8291" s="8"/>
      <c r="F8291" s="92">
        <f t="shared" si="164"/>
        <v>23778.870967742056</v>
      </c>
    </row>
    <row r="8292" spans="1:8" x14ac:dyDescent="0.25">
      <c r="A8292" s="204">
        <v>44102</v>
      </c>
      <c r="B8292" s="26" t="s">
        <v>26</v>
      </c>
      <c r="C8292" s="26" t="s">
        <v>6989</v>
      </c>
      <c r="D8292" s="8">
        <v>600</v>
      </c>
      <c r="E8292" s="8"/>
      <c r="F8292" s="92">
        <f t="shared" si="164"/>
        <v>23178.870967742056</v>
      </c>
    </row>
    <row r="8293" spans="1:8" x14ac:dyDescent="0.25">
      <c r="A8293" s="204">
        <v>44103</v>
      </c>
      <c r="B8293" s="452" t="s">
        <v>6007</v>
      </c>
      <c r="C8293" s="452"/>
      <c r="D8293" s="452"/>
      <c r="E8293" s="8">
        <v>500000</v>
      </c>
      <c r="F8293" s="92">
        <f t="shared" si="164"/>
        <v>523178.87096774206</v>
      </c>
    </row>
    <row r="8294" spans="1:8" x14ac:dyDescent="0.25">
      <c r="A8294" s="204">
        <v>44103</v>
      </c>
      <c r="B8294" s="26" t="s">
        <v>6990</v>
      </c>
      <c r="C8294" s="26" t="s">
        <v>6991</v>
      </c>
      <c r="D8294" s="8">
        <v>13000</v>
      </c>
      <c r="E8294" s="8"/>
      <c r="F8294" s="92">
        <f t="shared" si="164"/>
        <v>510178.87096774206</v>
      </c>
    </row>
    <row r="8295" spans="1:8" ht="26.25" x14ac:dyDescent="0.4">
      <c r="A8295" s="204">
        <v>44103</v>
      </c>
      <c r="B8295" s="29" t="s">
        <v>542</v>
      </c>
      <c r="C8295" s="29" t="s">
        <v>6993</v>
      </c>
      <c r="D8295" s="8">
        <v>10000</v>
      </c>
      <c r="E8295" s="8"/>
      <c r="F8295" s="92">
        <f t="shared" si="164"/>
        <v>500178.87096774206</v>
      </c>
      <c r="H8295" s="280"/>
    </row>
    <row r="8296" spans="1:8" x14ac:dyDescent="0.25">
      <c r="A8296" s="204">
        <v>44103</v>
      </c>
      <c r="B8296" s="26" t="s">
        <v>26</v>
      </c>
      <c r="C8296" s="26" t="s">
        <v>6994</v>
      </c>
      <c r="D8296" s="8">
        <v>120</v>
      </c>
      <c r="E8296" s="8"/>
      <c r="F8296" s="92">
        <f t="shared" si="164"/>
        <v>500058.87096774206</v>
      </c>
    </row>
    <row r="8297" spans="1:8" x14ac:dyDescent="0.25">
      <c r="A8297" s="204">
        <v>44103</v>
      </c>
      <c r="B8297" s="26" t="s">
        <v>6995</v>
      </c>
      <c r="C8297" s="26" t="s">
        <v>6996</v>
      </c>
      <c r="D8297" s="8">
        <v>300000</v>
      </c>
      <c r="E8297" s="8"/>
      <c r="F8297" s="92">
        <f t="shared" si="164"/>
        <v>200058.87096774206</v>
      </c>
    </row>
    <row r="8298" spans="1:8" x14ac:dyDescent="0.25">
      <c r="A8298" s="204">
        <v>44103</v>
      </c>
      <c r="B8298" s="26" t="s">
        <v>2351</v>
      </c>
      <c r="C8298" s="26" t="s">
        <v>6997</v>
      </c>
      <c r="D8298" s="8">
        <v>27000</v>
      </c>
      <c r="E8298" s="8"/>
      <c r="F8298" s="92">
        <f t="shared" si="164"/>
        <v>173058.87096774206</v>
      </c>
    </row>
    <row r="8299" spans="1:8" x14ac:dyDescent="0.25">
      <c r="A8299" s="204">
        <v>44103</v>
      </c>
      <c r="B8299" s="26" t="s">
        <v>6788</v>
      </c>
      <c r="C8299" s="26" t="s">
        <v>6998</v>
      </c>
      <c r="D8299" s="8">
        <v>400</v>
      </c>
      <c r="E8299" s="8"/>
      <c r="F8299" s="92">
        <f t="shared" si="164"/>
        <v>172658.87096774206</v>
      </c>
    </row>
    <row r="8300" spans="1:8" x14ac:dyDescent="0.25">
      <c r="A8300" s="204">
        <v>44104</v>
      </c>
      <c r="B8300" s="29" t="s">
        <v>26</v>
      </c>
      <c r="C8300" s="29" t="s">
        <v>6795</v>
      </c>
      <c r="D8300" s="8">
        <f>400+70+20+20+60+150+40+40+110+120+180+80+150+70+110+90+250</f>
        <v>1960</v>
      </c>
      <c r="E8300" s="8"/>
      <c r="F8300" s="92">
        <f t="shared" si="164"/>
        <v>170698.87096774206</v>
      </c>
    </row>
    <row r="8301" spans="1:8" x14ac:dyDescent="0.25">
      <c r="A8301" s="204">
        <v>44104</v>
      </c>
      <c r="B8301" s="29" t="s">
        <v>5201</v>
      </c>
      <c r="C8301" s="29" t="s">
        <v>6999</v>
      </c>
      <c r="D8301" s="8">
        <v>5000</v>
      </c>
      <c r="E8301" s="8"/>
      <c r="F8301" s="92">
        <f t="shared" si="164"/>
        <v>165698.87096774206</v>
      </c>
    </row>
    <row r="8302" spans="1:8" x14ac:dyDescent="0.25">
      <c r="A8302" s="204">
        <v>44105</v>
      </c>
      <c r="B8302" s="26" t="s">
        <v>14</v>
      </c>
      <c r="C8302" s="26" t="s">
        <v>295</v>
      </c>
      <c r="D8302" s="8">
        <v>5000</v>
      </c>
      <c r="E8302" s="8"/>
      <c r="F8302" s="92">
        <f t="shared" si="164"/>
        <v>160698.87096774206</v>
      </c>
    </row>
    <row r="8303" spans="1:8" x14ac:dyDescent="0.25">
      <c r="A8303" s="204">
        <v>44105</v>
      </c>
      <c r="B8303" s="29" t="s">
        <v>85</v>
      </c>
      <c r="C8303" s="29" t="s">
        <v>7001</v>
      </c>
      <c r="D8303" s="8">
        <v>10000</v>
      </c>
      <c r="E8303" s="8"/>
      <c r="F8303" s="92">
        <f t="shared" si="164"/>
        <v>150698.87096774206</v>
      </c>
      <c r="G8303" s="25"/>
    </row>
    <row r="8304" spans="1:8" x14ac:dyDescent="0.25">
      <c r="A8304" s="204">
        <v>44105</v>
      </c>
      <c r="B8304" s="26" t="s">
        <v>6877</v>
      </c>
      <c r="C8304" s="26" t="s">
        <v>7007</v>
      </c>
      <c r="D8304" s="8">
        <v>1000</v>
      </c>
      <c r="E8304" s="8"/>
      <c r="F8304" s="92">
        <f t="shared" si="164"/>
        <v>149698.87096774206</v>
      </c>
    </row>
    <row r="8305" spans="1:6" x14ac:dyDescent="0.25">
      <c r="A8305" s="204">
        <v>44105</v>
      </c>
      <c r="B8305" s="26" t="s">
        <v>6877</v>
      </c>
      <c r="C8305" s="26" t="s">
        <v>7008</v>
      </c>
      <c r="D8305" s="8">
        <v>40000</v>
      </c>
      <c r="E8305" s="8"/>
      <c r="F8305" s="92">
        <f t="shared" si="164"/>
        <v>109698.87096774206</v>
      </c>
    </row>
    <row r="8306" spans="1:6" x14ac:dyDescent="0.25">
      <c r="A8306" s="204">
        <v>44105</v>
      </c>
      <c r="B8306" s="452" t="s">
        <v>6007</v>
      </c>
      <c r="C8306" s="452"/>
      <c r="D8306" s="452"/>
      <c r="E8306" s="8">
        <v>50000</v>
      </c>
      <c r="F8306" s="92">
        <f t="shared" si="164"/>
        <v>159698.87096774206</v>
      </c>
    </row>
    <row r="8307" spans="1:6" x14ac:dyDescent="0.25">
      <c r="A8307" s="204">
        <v>44105</v>
      </c>
      <c r="B8307" s="26" t="s">
        <v>7002</v>
      </c>
      <c r="C8307" s="26" t="s">
        <v>7003</v>
      </c>
      <c r="D8307" s="8">
        <v>30000</v>
      </c>
      <c r="E8307" s="8"/>
      <c r="F8307" s="92">
        <f t="shared" si="164"/>
        <v>129698.87096774206</v>
      </c>
    </row>
    <row r="8308" spans="1:6" x14ac:dyDescent="0.25">
      <c r="A8308" s="204">
        <v>44105</v>
      </c>
      <c r="B8308" s="26" t="s">
        <v>85</v>
      </c>
      <c r="C8308" s="26" t="s">
        <v>6937</v>
      </c>
      <c r="D8308" s="8">
        <v>200</v>
      </c>
      <c r="E8308" s="8"/>
      <c r="F8308" s="92">
        <f t="shared" si="164"/>
        <v>129498.87096774206</v>
      </c>
    </row>
    <row r="8309" spans="1:6" x14ac:dyDescent="0.25">
      <c r="A8309" s="204">
        <v>44106</v>
      </c>
      <c r="B8309" s="26" t="s">
        <v>14</v>
      </c>
      <c r="C8309" s="26" t="s">
        <v>295</v>
      </c>
      <c r="D8309" s="8">
        <v>50000</v>
      </c>
      <c r="E8309" s="8"/>
      <c r="F8309" s="92">
        <f t="shared" si="164"/>
        <v>79498.870967742056</v>
      </c>
    </row>
    <row r="8310" spans="1:6" x14ac:dyDescent="0.25">
      <c r="A8310" s="204">
        <v>44106</v>
      </c>
      <c r="B8310" s="26" t="s">
        <v>5140</v>
      </c>
      <c r="C8310" s="26" t="s">
        <v>41</v>
      </c>
      <c r="D8310" s="8">
        <v>4162</v>
      </c>
      <c r="E8310" s="8"/>
      <c r="F8310" s="92">
        <f t="shared" si="164"/>
        <v>75336.870967742056</v>
      </c>
    </row>
    <row r="8311" spans="1:6" x14ac:dyDescent="0.25">
      <c r="A8311" s="204">
        <v>44106</v>
      </c>
      <c r="B8311" s="26" t="s">
        <v>1077</v>
      </c>
      <c r="C8311" s="26" t="s">
        <v>7005</v>
      </c>
      <c r="D8311" s="8">
        <v>1785</v>
      </c>
      <c r="E8311" s="8"/>
      <c r="F8311" s="92">
        <f t="shared" si="164"/>
        <v>73551.870967742056</v>
      </c>
    </row>
    <row r="8312" spans="1:6" x14ac:dyDescent="0.25">
      <c r="A8312" s="204">
        <v>44106</v>
      </c>
      <c r="B8312" s="26" t="s">
        <v>542</v>
      </c>
      <c r="C8312" s="26" t="s">
        <v>7009</v>
      </c>
      <c r="D8312" s="8">
        <v>1020</v>
      </c>
      <c r="E8312" s="8"/>
      <c r="F8312" s="92">
        <f t="shared" si="164"/>
        <v>72531.870967742056</v>
      </c>
    </row>
    <row r="8313" spans="1:6" x14ac:dyDescent="0.25">
      <c r="A8313" s="204">
        <v>44107</v>
      </c>
      <c r="B8313" s="26" t="s">
        <v>1015</v>
      </c>
      <c r="C8313" s="26" t="s">
        <v>7013</v>
      </c>
      <c r="D8313" s="8">
        <v>2500</v>
      </c>
      <c r="E8313" s="8"/>
      <c r="F8313" s="92">
        <f t="shared" si="164"/>
        <v>70031.870967742056</v>
      </c>
    </row>
    <row r="8314" spans="1:6" x14ac:dyDescent="0.25">
      <c r="A8314" s="204">
        <v>44107</v>
      </c>
      <c r="B8314" s="26" t="s">
        <v>19</v>
      </c>
      <c r="C8314" s="26" t="s">
        <v>7014</v>
      </c>
      <c r="D8314" s="8">
        <v>7000</v>
      </c>
      <c r="E8314" s="8"/>
      <c r="F8314" s="92">
        <f t="shared" si="164"/>
        <v>63031.870967742056</v>
      </c>
    </row>
    <row r="8315" spans="1:6" x14ac:dyDescent="0.25">
      <c r="A8315" s="204">
        <v>44107</v>
      </c>
      <c r="B8315" s="26" t="s">
        <v>6877</v>
      </c>
      <c r="C8315" s="26" t="s">
        <v>7015</v>
      </c>
      <c r="D8315" s="8">
        <v>10000</v>
      </c>
      <c r="E8315" s="8"/>
      <c r="F8315" s="92">
        <f t="shared" si="164"/>
        <v>53031.870967742056</v>
      </c>
    </row>
    <row r="8316" spans="1:6" x14ac:dyDescent="0.25">
      <c r="A8316" s="204">
        <v>44107</v>
      </c>
      <c r="B8316" s="26" t="s">
        <v>85</v>
      </c>
      <c r="C8316" s="26" t="s">
        <v>6937</v>
      </c>
      <c r="D8316" s="8">
        <v>100</v>
      </c>
      <c r="E8316" s="8"/>
      <c r="F8316" s="92">
        <f t="shared" si="164"/>
        <v>52931.870967742056</v>
      </c>
    </row>
    <row r="8317" spans="1:6" x14ac:dyDescent="0.25">
      <c r="A8317" s="204">
        <v>44107</v>
      </c>
      <c r="B8317" s="26" t="s">
        <v>5485</v>
      </c>
      <c r="C8317" s="26" t="s">
        <v>7058</v>
      </c>
      <c r="D8317" s="8">
        <v>600</v>
      </c>
      <c r="E8317" s="8"/>
      <c r="F8317" s="92">
        <f t="shared" si="164"/>
        <v>52331.870967742056</v>
      </c>
    </row>
    <row r="8318" spans="1:6" x14ac:dyDescent="0.25">
      <c r="A8318" s="204">
        <v>44109</v>
      </c>
      <c r="B8318" s="26" t="s">
        <v>14</v>
      </c>
      <c r="C8318" s="26" t="s">
        <v>7016</v>
      </c>
      <c r="D8318" s="8">
        <v>23634</v>
      </c>
      <c r="E8318" s="8"/>
      <c r="F8318" s="92">
        <f t="shared" si="164"/>
        <v>28697.870967742056</v>
      </c>
    </row>
    <row r="8319" spans="1:6" x14ac:dyDescent="0.25">
      <c r="A8319" s="204">
        <v>44109</v>
      </c>
      <c r="B8319" s="26" t="s">
        <v>26</v>
      </c>
      <c r="C8319" s="26" t="s">
        <v>6795</v>
      </c>
      <c r="D8319" s="8">
        <f>500+510+40+100+40+120+30+330+40+40+450+20+110+150+120+500+140+300+100+120+100</f>
        <v>3860</v>
      </c>
      <c r="E8319" s="8"/>
      <c r="F8319" s="92">
        <f t="shared" si="164"/>
        <v>24837.870967742056</v>
      </c>
    </row>
    <row r="8320" spans="1:6" x14ac:dyDescent="0.25">
      <c r="A8320" s="204">
        <v>44109</v>
      </c>
      <c r="B8320" s="26" t="s">
        <v>248</v>
      </c>
      <c r="C8320" s="26" t="s">
        <v>6977</v>
      </c>
      <c r="D8320" s="8">
        <v>100</v>
      </c>
      <c r="E8320" s="8"/>
      <c r="F8320" s="92">
        <f t="shared" si="164"/>
        <v>24737.870967742056</v>
      </c>
    </row>
    <row r="8321" spans="1:6" x14ac:dyDescent="0.25">
      <c r="A8321" s="204">
        <v>44109</v>
      </c>
      <c r="B8321" s="452" t="s">
        <v>6007</v>
      </c>
      <c r="C8321" s="452"/>
      <c r="D8321" s="452"/>
      <c r="E8321" s="8">
        <v>400000</v>
      </c>
      <c r="F8321" s="92">
        <f t="shared" ref="F8321:F8384" si="165">F8320+E8321-D8321</f>
        <v>424737.87096774206</v>
      </c>
    </row>
    <row r="8322" spans="1:6" x14ac:dyDescent="0.25">
      <c r="A8322" s="204">
        <v>44109</v>
      </c>
      <c r="B8322" s="162" t="s">
        <v>1515</v>
      </c>
      <c r="C8322" s="162" t="s">
        <v>7018</v>
      </c>
      <c r="D8322" s="163">
        <v>41730</v>
      </c>
      <c r="E8322" s="8"/>
      <c r="F8322" s="92">
        <f t="shared" si="165"/>
        <v>383007.87096774206</v>
      </c>
    </row>
    <row r="8323" spans="1:6" x14ac:dyDescent="0.25">
      <c r="A8323" s="204">
        <v>44109</v>
      </c>
      <c r="B8323" s="162" t="s">
        <v>1515</v>
      </c>
      <c r="C8323" s="162" t="s">
        <v>7019</v>
      </c>
      <c r="D8323" s="163">
        <v>5000</v>
      </c>
      <c r="E8323" s="8"/>
      <c r="F8323" s="92">
        <f t="shared" si="165"/>
        <v>378007.87096774206</v>
      </c>
    </row>
    <row r="8324" spans="1:6" x14ac:dyDescent="0.25">
      <c r="A8324" s="204">
        <v>44109</v>
      </c>
      <c r="B8324" s="26" t="s">
        <v>26</v>
      </c>
      <c r="C8324" s="26" t="s">
        <v>7020</v>
      </c>
      <c r="D8324" s="8">
        <v>100</v>
      </c>
      <c r="E8324" s="8"/>
      <c r="F8324" s="92">
        <f t="shared" si="165"/>
        <v>377907.87096774206</v>
      </c>
    </row>
    <row r="8325" spans="1:6" x14ac:dyDescent="0.25">
      <c r="A8325" s="204">
        <v>44109</v>
      </c>
      <c r="B8325" s="26" t="s">
        <v>0</v>
      </c>
      <c r="C8325" s="26" t="s">
        <v>295</v>
      </c>
      <c r="D8325" s="8">
        <v>5000</v>
      </c>
      <c r="E8325" s="8"/>
      <c r="F8325" s="92">
        <f t="shared" si="165"/>
        <v>372907.87096774206</v>
      </c>
    </row>
    <row r="8326" spans="1:6" x14ac:dyDescent="0.25">
      <c r="A8326" s="204">
        <v>44109</v>
      </c>
      <c r="B8326" s="26" t="s">
        <v>1790</v>
      </c>
      <c r="C8326" s="26" t="s">
        <v>7021</v>
      </c>
      <c r="D8326" s="8">
        <v>1500</v>
      </c>
      <c r="E8326" s="8"/>
      <c r="F8326" s="92">
        <f t="shared" si="165"/>
        <v>371407.87096774206</v>
      </c>
    </row>
    <row r="8327" spans="1:6" ht="30" x14ac:dyDescent="0.25">
      <c r="A8327" s="204">
        <v>44109</v>
      </c>
      <c r="B8327" s="26" t="s">
        <v>1973</v>
      </c>
      <c r="C8327" s="87" t="s">
        <v>7022</v>
      </c>
      <c r="D8327" s="8">
        <v>25000</v>
      </c>
      <c r="E8327" s="8"/>
      <c r="F8327" s="92">
        <f t="shared" si="165"/>
        <v>346407.87096774206</v>
      </c>
    </row>
    <row r="8328" spans="1:6" x14ac:dyDescent="0.25">
      <c r="A8328" s="204">
        <v>44109</v>
      </c>
      <c r="B8328" s="26" t="s">
        <v>6569</v>
      </c>
      <c r="C8328" s="26" t="s">
        <v>7023</v>
      </c>
      <c r="D8328" s="8">
        <v>15000</v>
      </c>
      <c r="E8328" s="8"/>
      <c r="F8328" s="92">
        <f t="shared" si="165"/>
        <v>331407.87096774206</v>
      </c>
    </row>
    <row r="8329" spans="1:6" x14ac:dyDescent="0.25">
      <c r="A8329" s="204">
        <v>44109</v>
      </c>
      <c r="B8329" s="162" t="s">
        <v>1515</v>
      </c>
      <c r="C8329" s="162" t="s">
        <v>7024</v>
      </c>
      <c r="D8329" s="163">
        <v>34700</v>
      </c>
      <c r="E8329" s="8"/>
      <c r="F8329" s="92">
        <f t="shared" si="165"/>
        <v>296707.87096774206</v>
      </c>
    </row>
    <row r="8330" spans="1:6" x14ac:dyDescent="0.25">
      <c r="A8330" s="204">
        <v>44109</v>
      </c>
      <c r="B8330" s="26" t="s">
        <v>26</v>
      </c>
      <c r="C8330" s="26" t="s">
        <v>3567</v>
      </c>
      <c r="D8330" s="8">
        <v>5000</v>
      </c>
      <c r="E8330" s="8"/>
      <c r="F8330" s="92">
        <f t="shared" si="165"/>
        <v>291707.87096774206</v>
      </c>
    </row>
    <row r="8331" spans="1:6" x14ac:dyDescent="0.25">
      <c r="A8331" s="204">
        <v>44110</v>
      </c>
      <c r="B8331" s="26" t="s">
        <v>14</v>
      </c>
      <c r="C8331" s="26" t="s">
        <v>295</v>
      </c>
      <c r="D8331" s="8">
        <v>50000</v>
      </c>
      <c r="E8331" s="8"/>
      <c r="F8331" s="92">
        <f t="shared" si="165"/>
        <v>241707.87096774206</v>
      </c>
    </row>
    <row r="8332" spans="1:6" x14ac:dyDescent="0.25">
      <c r="A8332" s="204">
        <v>44110</v>
      </c>
      <c r="B8332" s="29" t="s">
        <v>26</v>
      </c>
      <c r="C8332" s="29" t="s">
        <v>7026</v>
      </c>
      <c r="D8332" s="8">
        <v>4006</v>
      </c>
      <c r="E8332" s="8"/>
      <c r="F8332" s="92">
        <f t="shared" si="165"/>
        <v>237701.87096774206</v>
      </c>
    </row>
    <row r="8333" spans="1:6" x14ac:dyDescent="0.25">
      <c r="A8333" s="204">
        <v>44110</v>
      </c>
      <c r="B8333" s="29" t="s">
        <v>0</v>
      </c>
      <c r="C8333" s="29" t="s">
        <v>7027</v>
      </c>
      <c r="D8333" s="8">
        <v>100</v>
      </c>
      <c r="E8333" s="8"/>
      <c r="F8333" s="92">
        <f t="shared" si="165"/>
        <v>237601.87096774206</v>
      </c>
    </row>
    <row r="8334" spans="1:6" x14ac:dyDescent="0.25">
      <c r="A8334" s="204">
        <v>44110</v>
      </c>
      <c r="B8334" s="29" t="s">
        <v>7028</v>
      </c>
      <c r="C8334" s="29" t="s">
        <v>7029</v>
      </c>
      <c r="D8334" s="8">
        <v>3500</v>
      </c>
      <c r="E8334" s="8"/>
      <c r="F8334" s="92">
        <f t="shared" si="165"/>
        <v>234101.87096774206</v>
      </c>
    </row>
    <row r="8335" spans="1:6" x14ac:dyDescent="0.25">
      <c r="A8335" s="204">
        <v>44110</v>
      </c>
      <c r="B8335" s="26" t="s">
        <v>85</v>
      </c>
      <c r="C8335" s="26" t="s">
        <v>6937</v>
      </c>
      <c r="D8335" s="8">
        <f>100+100+1000</f>
        <v>1200</v>
      </c>
      <c r="E8335" s="8"/>
      <c r="F8335" s="92">
        <f t="shared" si="165"/>
        <v>232901.87096774206</v>
      </c>
    </row>
    <row r="8336" spans="1:6" x14ac:dyDescent="0.25">
      <c r="A8336" s="204">
        <v>44110</v>
      </c>
      <c r="B8336" s="26" t="s">
        <v>19</v>
      </c>
      <c r="C8336" s="26" t="s">
        <v>7032</v>
      </c>
      <c r="D8336" s="8">
        <v>730</v>
      </c>
      <c r="E8336" s="8"/>
      <c r="F8336" s="92">
        <f t="shared" si="165"/>
        <v>232171.87096774206</v>
      </c>
    </row>
    <row r="8337" spans="1:6" x14ac:dyDescent="0.25">
      <c r="A8337" s="204">
        <v>44110</v>
      </c>
      <c r="B8337" s="26" t="s">
        <v>85</v>
      </c>
      <c r="C8337" s="26" t="s">
        <v>7030</v>
      </c>
      <c r="D8337" s="8">
        <v>10000</v>
      </c>
      <c r="E8337" s="8"/>
      <c r="F8337" s="92">
        <f t="shared" si="165"/>
        <v>222171.87096774206</v>
      </c>
    </row>
    <row r="8338" spans="1:6" x14ac:dyDescent="0.25">
      <c r="A8338" s="204">
        <v>44111</v>
      </c>
      <c r="B8338" s="26" t="s">
        <v>26</v>
      </c>
      <c r="C8338" s="26" t="s">
        <v>7031</v>
      </c>
      <c r="D8338" s="8">
        <v>2000</v>
      </c>
      <c r="E8338" s="8"/>
      <c r="F8338" s="92">
        <f t="shared" si="165"/>
        <v>220171.87096774206</v>
      </c>
    </row>
    <row r="8339" spans="1:6" x14ac:dyDescent="0.25">
      <c r="A8339" s="204">
        <v>44111</v>
      </c>
      <c r="B8339" s="26" t="s">
        <v>641</v>
      </c>
      <c r="C8339" s="26" t="s">
        <v>14</v>
      </c>
      <c r="D8339" s="8">
        <v>1000</v>
      </c>
      <c r="E8339" s="8"/>
      <c r="F8339" s="92">
        <f t="shared" si="165"/>
        <v>219171.87096774206</v>
      </c>
    </row>
    <row r="8340" spans="1:6" x14ac:dyDescent="0.25">
      <c r="A8340" s="204">
        <v>44111</v>
      </c>
      <c r="B8340" s="29" t="s">
        <v>11</v>
      </c>
      <c r="C8340" s="29" t="s">
        <v>7033</v>
      </c>
      <c r="D8340" s="8">
        <v>400</v>
      </c>
      <c r="E8340" s="8"/>
      <c r="F8340" s="92">
        <f t="shared" si="165"/>
        <v>218771.87096774206</v>
      </c>
    </row>
    <row r="8341" spans="1:6" x14ac:dyDescent="0.25">
      <c r="A8341" s="204">
        <v>44111</v>
      </c>
      <c r="B8341" s="162" t="s">
        <v>1515</v>
      </c>
      <c r="C8341" s="162" t="s">
        <v>7034</v>
      </c>
      <c r="D8341" s="163">
        <v>109842</v>
      </c>
      <c r="E8341" s="8"/>
      <c r="F8341" s="92">
        <f t="shared" si="165"/>
        <v>108929.87096774206</v>
      </c>
    </row>
    <row r="8342" spans="1:6" x14ac:dyDescent="0.25">
      <c r="A8342" s="204">
        <v>44111</v>
      </c>
      <c r="B8342" s="162" t="s">
        <v>1515</v>
      </c>
      <c r="C8342" s="254" t="s">
        <v>6826</v>
      </c>
      <c r="D8342" s="163">
        <v>91267</v>
      </c>
      <c r="E8342" s="8"/>
      <c r="F8342" s="92">
        <f t="shared" si="165"/>
        <v>17662.870967742056</v>
      </c>
    </row>
    <row r="8343" spans="1:6" x14ac:dyDescent="0.25">
      <c r="A8343" s="204">
        <v>44111</v>
      </c>
      <c r="B8343" s="26" t="s">
        <v>10</v>
      </c>
      <c r="C8343" s="26" t="s">
        <v>7035</v>
      </c>
      <c r="D8343" s="8">
        <v>2000</v>
      </c>
      <c r="E8343" s="8"/>
      <c r="F8343" s="92">
        <f t="shared" si="165"/>
        <v>15662.870967742056</v>
      </c>
    </row>
    <row r="8344" spans="1:6" ht="30" x14ac:dyDescent="0.25">
      <c r="A8344" s="204">
        <v>44111</v>
      </c>
      <c r="B8344" s="282" t="s">
        <v>10</v>
      </c>
      <c r="C8344" s="283" t="s">
        <v>7036</v>
      </c>
      <c r="D8344" s="8">
        <v>2000</v>
      </c>
      <c r="E8344" s="8"/>
      <c r="F8344" s="92">
        <f t="shared" si="165"/>
        <v>13662.870967742056</v>
      </c>
    </row>
    <row r="8345" spans="1:6" x14ac:dyDescent="0.25">
      <c r="A8345" s="204">
        <v>44111</v>
      </c>
      <c r="B8345" s="26" t="s">
        <v>85</v>
      </c>
      <c r="C8345" s="26" t="s">
        <v>7037</v>
      </c>
      <c r="D8345" s="8">
        <v>500</v>
      </c>
      <c r="E8345" s="8"/>
      <c r="F8345" s="92">
        <f t="shared" si="165"/>
        <v>13162.870967742056</v>
      </c>
    </row>
    <row r="8346" spans="1:6" x14ac:dyDescent="0.25">
      <c r="A8346" s="204">
        <v>44111</v>
      </c>
      <c r="B8346" s="29" t="s">
        <v>5479</v>
      </c>
      <c r="C8346" s="29" t="s">
        <v>6937</v>
      </c>
      <c r="D8346" s="14">
        <v>900</v>
      </c>
      <c r="E8346" s="8"/>
      <c r="F8346" s="92">
        <f t="shared" si="165"/>
        <v>12262.870967742056</v>
      </c>
    </row>
    <row r="8347" spans="1:6" x14ac:dyDescent="0.25">
      <c r="A8347" s="204">
        <v>44112</v>
      </c>
      <c r="B8347" s="26" t="s">
        <v>14</v>
      </c>
      <c r="C8347" s="26" t="s">
        <v>295</v>
      </c>
      <c r="D8347" s="8">
        <v>3000</v>
      </c>
      <c r="E8347" s="8"/>
      <c r="F8347" s="92">
        <f t="shared" si="165"/>
        <v>9262.8709677420557</v>
      </c>
    </row>
    <row r="8348" spans="1:6" x14ac:dyDescent="0.25">
      <c r="A8348" s="204">
        <v>44112</v>
      </c>
      <c r="B8348" s="452" t="s">
        <v>6007</v>
      </c>
      <c r="C8348" s="452"/>
      <c r="D8348" s="452"/>
      <c r="E8348" s="8">
        <v>299000</v>
      </c>
      <c r="F8348" s="92">
        <f t="shared" si="165"/>
        <v>308262.87096774206</v>
      </c>
    </row>
    <row r="8349" spans="1:6" x14ac:dyDescent="0.25">
      <c r="A8349" s="204">
        <v>44112</v>
      </c>
      <c r="B8349" s="452" t="s">
        <v>6007</v>
      </c>
      <c r="C8349" s="452"/>
      <c r="D8349" s="452"/>
      <c r="E8349" s="8">
        <v>500000</v>
      </c>
      <c r="F8349" s="92">
        <f t="shared" si="165"/>
        <v>808262.87096774206</v>
      </c>
    </row>
    <row r="8350" spans="1:6" x14ac:dyDescent="0.25">
      <c r="A8350" s="204">
        <v>44112</v>
      </c>
      <c r="B8350" s="26" t="s">
        <v>19</v>
      </c>
      <c r="C8350" s="26" t="s">
        <v>7041</v>
      </c>
      <c r="D8350" s="8">
        <v>2000</v>
      </c>
      <c r="E8350" s="8"/>
      <c r="F8350" s="92">
        <f t="shared" si="165"/>
        <v>806262.87096774206</v>
      </c>
    </row>
    <row r="8351" spans="1:6" x14ac:dyDescent="0.25">
      <c r="A8351" s="204">
        <v>44112</v>
      </c>
      <c r="B8351" s="26" t="s">
        <v>542</v>
      </c>
      <c r="C8351" s="26" t="s">
        <v>7042</v>
      </c>
      <c r="D8351" s="8">
        <v>680</v>
      </c>
      <c r="E8351" s="8"/>
      <c r="F8351" s="92">
        <f t="shared" si="165"/>
        <v>805582.87096774206</v>
      </c>
    </row>
    <row r="8352" spans="1:6" x14ac:dyDescent="0.25">
      <c r="A8352" s="204">
        <v>44113</v>
      </c>
      <c r="B8352" s="26" t="s">
        <v>14</v>
      </c>
      <c r="C8352" s="26" t="s">
        <v>7045</v>
      </c>
      <c r="D8352" s="8">
        <v>5000</v>
      </c>
      <c r="E8352" s="8"/>
      <c r="F8352" s="92">
        <f t="shared" si="165"/>
        <v>800582.87096774206</v>
      </c>
    </row>
    <row r="8353" spans="1:6" x14ac:dyDescent="0.25">
      <c r="A8353" s="204">
        <v>44113</v>
      </c>
      <c r="B8353" s="26" t="s">
        <v>0</v>
      </c>
      <c r="C8353" s="26" t="s">
        <v>7046</v>
      </c>
      <c r="D8353" s="8">
        <v>5000</v>
      </c>
      <c r="E8353" s="8"/>
      <c r="F8353" s="92">
        <f t="shared" si="165"/>
        <v>795582.87096774206</v>
      </c>
    </row>
    <row r="8354" spans="1:6" x14ac:dyDescent="0.25">
      <c r="A8354" s="204">
        <v>44113</v>
      </c>
      <c r="B8354" s="26" t="s">
        <v>26</v>
      </c>
      <c r="C8354" s="26" t="s">
        <v>6795</v>
      </c>
      <c r="D8354" s="8">
        <f>400+60+1400+870+270+120+350+140+90+110+70+190+320+90+120+120+200</f>
        <v>4920</v>
      </c>
      <c r="E8354" s="8"/>
      <c r="F8354" s="92">
        <f t="shared" si="165"/>
        <v>790662.87096774206</v>
      </c>
    </row>
    <row r="8355" spans="1:6" x14ac:dyDescent="0.25">
      <c r="A8355" s="204">
        <v>44113</v>
      </c>
      <c r="B8355" s="162" t="s">
        <v>1515</v>
      </c>
      <c r="C8355" s="254" t="s">
        <v>7047</v>
      </c>
      <c r="D8355" s="163">
        <v>74175</v>
      </c>
      <c r="E8355" s="8"/>
      <c r="F8355" s="92">
        <f t="shared" si="165"/>
        <v>716487.87096774206</v>
      </c>
    </row>
    <row r="8356" spans="1:6" x14ac:dyDescent="0.25">
      <c r="A8356" s="204">
        <v>44113</v>
      </c>
      <c r="B8356" s="162" t="s">
        <v>1515</v>
      </c>
      <c r="C8356" s="254" t="s">
        <v>7048</v>
      </c>
      <c r="D8356" s="163">
        <v>99416</v>
      </c>
      <c r="E8356" s="8"/>
      <c r="F8356" s="92">
        <f t="shared" si="165"/>
        <v>617071.87096774206</v>
      </c>
    </row>
    <row r="8357" spans="1:6" x14ac:dyDescent="0.25">
      <c r="A8357" s="204">
        <v>44113</v>
      </c>
      <c r="B8357" s="162" t="s">
        <v>1515</v>
      </c>
      <c r="C8357" s="254" t="s">
        <v>7049</v>
      </c>
      <c r="D8357" s="163">
        <v>29300</v>
      </c>
      <c r="E8357" s="8"/>
      <c r="F8357" s="92">
        <f t="shared" si="165"/>
        <v>587771.87096774206</v>
      </c>
    </row>
    <row r="8358" spans="1:6" x14ac:dyDescent="0.25">
      <c r="A8358" s="204">
        <v>44113</v>
      </c>
      <c r="B8358" s="162" t="s">
        <v>1515</v>
      </c>
      <c r="C8358" s="254" t="s">
        <v>7050</v>
      </c>
      <c r="D8358" s="163">
        <v>84190</v>
      </c>
      <c r="E8358" s="8"/>
      <c r="F8358" s="92">
        <f t="shared" si="165"/>
        <v>503581.87096774206</v>
      </c>
    </row>
    <row r="8359" spans="1:6" x14ac:dyDescent="0.25">
      <c r="A8359" s="204">
        <v>44113</v>
      </c>
      <c r="B8359" s="162" t="s">
        <v>1515</v>
      </c>
      <c r="C8359" s="254" t="s">
        <v>7051</v>
      </c>
      <c r="D8359" s="163">
        <v>258278</v>
      </c>
      <c r="E8359" s="8"/>
      <c r="F8359" s="92">
        <f t="shared" si="165"/>
        <v>245303.87096774206</v>
      </c>
    </row>
    <row r="8360" spans="1:6" x14ac:dyDescent="0.25">
      <c r="A8360" s="204">
        <v>44113</v>
      </c>
      <c r="B8360" s="162" t="s">
        <v>1515</v>
      </c>
      <c r="C8360" s="254" t="s">
        <v>7052</v>
      </c>
      <c r="D8360" s="163">
        <v>20190</v>
      </c>
      <c r="E8360" s="8"/>
      <c r="F8360" s="92">
        <f t="shared" si="165"/>
        <v>225113.87096774206</v>
      </c>
    </row>
    <row r="8361" spans="1:6" x14ac:dyDescent="0.25">
      <c r="A8361" s="204">
        <v>44113</v>
      </c>
      <c r="B8361" s="26" t="s">
        <v>5485</v>
      </c>
      <c r="C8361" s="26" t="s">
        <v>2016</v>
      </c>
      <c r="D8361" s="8">
        <v>100</v>
      </c>
      <c r="E8361" s="8"/>
      <c r="F8361" s="92">
        <f t="shared" si="165"/>
        <v>225013.87096774206</v>
      </c>
    </row>
    <row r="8362" spans="1:6" x14ac:dyDescent="0.25">
      <c r="A8362" s="204">
        <v>44113</v>
      </c>
      <c r="B8362" s="26" t="s">
        <v>1619</v>
      </c>
      <c r="C8362" s="26" t="s">
        <v>5853</v>
      </c>
      <c r="D8362" s="8">
        <v>1845</v>
      </c>
      <c r="E8362" s="8"/>
      <c r="F8362" s="92">
        <f t="shared" si="165"/>
        <v>223168.87096774206</v>
      </c>
    </row>
    <row r="8363" spans="1:6" x14ac:dyDescent="0.25">
      <c r="A8363" s="204">
        <v>44113</v>
      </c>
      <c r="B8363" s="26" t="s">
        <v>111</v>
      </c>
      <c r="C8363" s="26" t="s">
        <v>7053</v>
      </c>
      <c r="D8363" s="8">
        <v>31150</v>
      </c>
      <c r="E8363" s="8"/>
      <c r="F8363" s="92">
        <f t="shared" si="165"/>
        <v>192018.87096774206</v>
      </c>
    </row>
    <row r="8364" spans="1:6" x14ac:dyDescent="0.25">
      <c r="A8364" s="204">
        <v>44114</v>
      </c>
      <c r="B8364" s="26" t="s">
        <v>14</v>
      </c>
      <c r="C8364" s="26" t="s">
        <v>295</v>
      </c>
      <c r="D8364" s="8">
        <v>15000</v>
      </c>
      <c r="E8364" s="8"/>
      <c r="F8364" s="92">
        <f t="shared" si="165"/>
        <v>177018.87096774206</v>
      </c>
    </row>
    <row r="8365" spans="1:6" x14ac:dyDescent="0.25">
      <c r="A8365" s="204">
        <v>44114</v>
      </c>
      <c r="B8365" s="26" t="s">
        <v>85</v>
      </c>
      <c r="C8365" s="26" t="s">
        <v>7054</v>
      </c>
      <c r="D8365" s="8">
        <v>1500</v>
      </c>
      <c r="E8365" s="8"/>
      <c r="F8365" s="92">
        <f t="shared" si="165"/>
        <v>175518.87096774206</v>
      </c>
    </row>
    <row r="8366" spans="1:6" x14ac:dyDescent="0.25">
      <c r="A8366" s="204">
        <v>44114</v>
      </c>
      <c r="B8366" s="26" t="s">
        <v>1619</v>
      </c>
      <c r="C8366" s="26" t="s">
        <v>3707</v>
      </c>
      <c r="D8366" s="8">
        <v>1500</v>
      </c>
      <c r="E8366" s="8"/>
      <c r="F8366" s="92">
        <f t="shared" si="165"/>
        <v>174018.87096774206</v>
      </c>
    </row>
    <row r="8367" spans="1:6" x14ac:dyDescent="0.25">
      <c r="A8367" s="204">
        <v>44114</v>
      </c>
      <c r="B8367" s="26" t="s">
        <v>85</v>
      </c>
      <c r="C8367" s="26" t="s">
        <v>6937</v>
      </c>
      <c r="D8367" s="8">
        <v>500</v>
      </c>
      <c r="E8367" s="8"/>
      <c r="F8367" s="92">
        <f t="shared" si="165"/>
        <v>173518.87096774206</v>
      </c>
    </row>
    <row r="8368" spans="1:6" x14ac:dyDescent="0.25">
      <c r="A8368" s="204">
        <v>44114</v>
      </c>
      <c r="B8368" s="26" t="s">
        <v>0</v>
      </c>
      <c r="C8368" s="26" t="s">
        <v>7014</v>
      </c>
      <c r="D8368" s="8">
        <v>100000</v>
      </c>
      <c r="E8368" s="8"/>
      <c r="F8368" s="92">
        <f t="shared" si="165"/>
        <v>73518.870967742056</v>
      </c>
    </row>
    <row r="8369" spans="1:6" x14ac:dyDescent="0.25">
      <c r="A8369" s="204">
        <v>44114</v>
      </c>
      <c r="B8369" s="162" t="s">
        <v>1515</v>
      </c>
      <c r="C8369" s="254" t="s">
        <v>7055</v>
      </c>
      <c r="D8369" s="163">
        <v>19300</v>
      </c>
      <c r="E8369" s="8"/>
      <c r="F8369" s="92">
        <f t="shared" si="165"/>
        <v>54218.870967742056</v>
      </c>
    </row>
    <row r="8370" spans="1:6" x14ac:dyDescent="0.25">
      <c r="A8370" s="204">
        <v>44114</v>
      </c>
      <c r="B8370" s="162" t="s">
        <v>1515</v>
      </c>
      <c r="C8370" s="254" t="s">
        <v>7090</v>
      </c>
      <c r="D8370" s="163">
        <v>22230</v>
      </c>
      <c r="E8370" s="8"/>
      <c r="F8370" s="92">
        <f t="shared" si="165"/>
        <v>31988.870967742056</v>
      </c>
    </row>
    <row r="8371" spans="1:6" x14ac:dyDescent="0.25">
      <c r="A8371" s="204">
        <v>44114</v>
      </c>
      <c r="B8371" s="452" t="s">
        <v>6007</v>
      </c>
      <c r="C8371" s="452"/>
      <c r="D8371" s="452"/>
      <c r="E8371" s="8">
        <v>200000</v>
      </c>
      <c r="F8371" s="92">
        <f t="shared" si="165"/>
        <v>231988.87096774206</v>
      </c>
    </row>
    <row r="8372" spans="1:6" x14ac:dyDescent="0.25">
      <c r="A8372" s="204">
        <v>44116</v>
      </c>
      <c r="B8372" s="137" t="s">
        <v>58</v>
      </c>
      <c r="C8372" s="137" t="s">
        <v>7056</v>
      </c>
      <c r="D8372" s="8">
        <v>25000</v>
      </c>
      <c r="E8372" s="8"/>
      <c r="F8372" s="92">
        <f t="shared" si="165"/>
        <v>206988.87096774206</v>
      </c>
    </row>
    <row r="8373" spans="1:6" x14ac:dyDescent="0.25">
      <c r="A8373" s="204">
        <v>44116</v>
      </c>
      <c r="B8373" s="26" t="s">
        <v>7064</v>
      </c>
      <c r="C8373" s="26" t="s">
        <v>7065</v>
      </c>
      <c r="D8373" s="8">
        <v>72500</v>
      </c>
      <c r="E8373" s="8"/>
      <c r="F8373" s="92">
        <f t="shared" si="165"/>
        <v>134488.87096774206</v>
      </c>
    </row>
    <row r="8374" spans="1:6" x14ac:dyDescent="0.25">
      <c r="A8374" s="204">
        <v>44116</v>
      </c>
      <c r="B8374" s="456" t="s">
        <v>7057</v>
      </c>
      <c r="C8374" s="457"/>
      <c r="D8374" s="458"/>
      <c r="E8374" s="8">
        <v>700</v>
      </c>
      <c r="F8374" s="92">
        <f t="shared" si="165"/>
        <v>135188.87096774206</v>
      </c>
    </row>
    <row r="8375" spans="1:6" x14ac:dyDescent="0.25">
      <c r="A8375" s="204">
        <v>44116</v>
      </c>
      <c r="B8375" s="26" t="s">
        <v>5485</v>
      </c>
      <c r="C8375" s="26" t="s">
        <v>7059</v>
      </c>
      <c r="D8375" s="8">
        <v>600</v>
      </c>
      <c r="E8375" s="8"/>
      <c r="F8375" s="92">
        <f t="shared" si="165"/>
        <v>134588.87096774206</v>
      </c>
    </row>
    <row r="8376" spans="1:6" x14ac:dyDescent="0.25">
      <c r="A8376" s="204">
        <v>44116</v>
      </c>
      <c r="B8376" s="26" t="s">
        <v>7061</v>
      </c>
      <c r="C8376" s="26" t="s">
        <v>7062</v>
      </c>
      <c r="D8376" s="8">
        <v>50000</v>
      </c>
      <c r="E8376" s="8"/>
      <c r="F8376" s="92">
        <f t="shared" si="165"/>
        <v>84588.870967742056</v>
      </c>
    </row>
    <row r="8377" spans="1:6" x14ac:dyDescent="0.25">
      <c r="A8377" s="204">
        <v>44116</v>
      </c>
      <c r="B8377" s="26" t="s">
        <v>19</v>
      </c>
      <c r="C8377" s="26" t="s">
        <v>7060</v>
      </c>
      <c r="D8377" s="8">
        <v>3000</v>
      </c>
      <c r="E8377" s="8"/>
      <c r="F8377" s="92">
        <f t="shared" si="165"/>
        <v>81588.870967742056</v>
      </c>
    </row>
    <row r="8378" spans="1:6" x14ac:dyDescent="0.25">
      <c r="A8378" s="204">
        <v>44116</v>
      </c>
      <c r="B8378" s="26" t="s">
        <v>6293</v>
      </c>
      <c r="C8378" s="26" t="s">
        <v>41</v>
      </c>
      <c r="D8378" s="8">
        <v>20400</v>
      </c>
      <c r="E8378" s="8"/>
      <c r="F8378" s="92">
        <f t="shared" si="165"/>
        <v>61188.870967742056</v>
      </c>
    </row>
    <row r="8379" spans="1:6" x14ac:dyDescent="0.25">
      <c r="A8379" s="204">
        <v>44116</v>
      </c>
      <c r="B8379" s="26" t="s">
        <v>14</v>
      </c>
      <c r="C8379" s="26" t="s">
        <v>7066</v>
      </c>
      <c r="D8379" s="8">
        <v>16500</v>
      </c>
      <c r="E8379" s="8"/>
      <c r="F8379" s="92">
        <f t="shared" si="165"/>
        <v>44688.870967742056</v>
      </c>
    </row>
    <row r="8380" spans="1:6" x14ac:dyDescent="0.25">
      <c r="A8380" s="204">
        <v>44116</v>
      </c>
      <c r="B8380" s="26" t="s">
        <v>248</v>
      </c>
      <c r="C8380" s="26" t="s">
        <v>6977</v>
      </c>
      <c r="D8380" s="8">
        <v>50</v>
      </c>
      <c r="E8380" s="8"/>
      <c r="F8380" s="92">
        <f t="shared" si="165"/>
        <v>44638.870967742056</v>
      </c>
    </row>
    <row r="8381" spans="1:6" x14ac:dyDescent="0.25">
      <c r="A8381" s="204">
        <v>44116</v>
      </c>
      <c r="B8381" s="452" t="s">
        <v>7068</v>
      </c>
      <c r="C8381" s="452"/>
      <c r="D8381" s="452"/>
      <c r="E8381" s="8">
        <v>500000</v>
      </c>
      <c r="F8381" s="92">
        <f t="shared" si="165"/>
        <v>544638.87096774206</v>
      </c>
    </row>
    <row r="8382" spans="1:6" x14ac:dyDescent="0.25">
      <c r="A8382" s="204">
        <v>44116</v>
      </c>
      <c r="B8382" s="26" t="s">
        <v>85</v>
      </c>
      <c r="C8382" s="26" t="s">
        <v>7087</v>
      </c>
      <c r="D8382" s="8">
        <v>1000</v>
      </c>
      <c r="E8382" s="8"/>
      <c r="F8382" s="92">
        <f t="shared" si="165"/>
        <v>543638.87096774206</v>
      </c>
    </row>
    <row r="8383" spans="1:6" x14ac:dyDescent="0.25">
      <c r="A8383" s="204">
        <v>44116</v>
      </c>
      <c r="B8383" s="26" t="s">
        <v>542</v>
      </c>
      <c r="C8383" s="26" t="s">
        <v>295</v>
      </c>
      <c r="D8383" s="8">
        <v>20000</v>
      </c>
      <c r="E8383" s="8"/>
      <c r="F8383" s="92">
        <f t="shared" si="165"/>
        <v>523638.87096774206</v>
      </c>
    </row>
    <row r="8384" spans="1:6" x14ac:dyDescent="0.25">
      <c r="A8384" s="204">
        <v>44116</v>
      </c>
      <c r="B8384" s="26" t="s">
        <v>14</v>
      </c>
      <c r="C8384" s="26" t="s">
        <v>295</v>
      </c>
      <c r="D8384" s="8">
        <v>100000</v>
      </c>
      <c r="E8384" s="8"/>
      <c r="F8384" s="92">
        <f t="shared" si="165"/>
        <v>423638.87096774206</v>
      </c>
    </row>
    <row r="8385" spans="1:6" x14ac:dyDescent="0.25">
      <c r="A8385" s="204">
        <v>44117</v>
      </c>
      <c r="B8385" s="26" t="s">
        <v>7069</v>
      </c>
      <c r="C8385" s="26" t="s">
        <v>41</v>
      </c>
      <c r="D8385" s="8">
        <v>25000</v>
      </c>
      <c r="E8385" s="8"/>
      <c r="F8385" s="92">
        <f t="shared" ref="F8385:F8448" si="166">F8384+E8385-D8385</f>
        <v>398638.87096774206</v>
      </c>
    </row>
    <row r="8386" spans="1:6" x14ac:dyDescent="0.25">
      <c r="A8386" s="204">
        <v>44117</v>
      </c>
      <c r="B8386" s="26" t="s">
        <v>6626</v>
      </c>
      <c r="C8386" s="26" t="s">
        <v>7070</v>
      </c>
      <c r="D8386" s="8">
        <v>64000</v>
      </c>
      <c r="E8386" s="8"/>
      <c r="F8386" s="92">
        <f t="shared" si="166"/>
        <v>334638.87096774206</v>
      </c>
    </row>
    <row r="8387" spans="1:6" x14ac:dyDescent="0.25">
      <c r="A8387" s="204">
        <v>44117</v>
      </c>
      <c r="B8387" s="26" t="s">
        <v>11</v>
      </c>
      <c r="C8387" s="26" t="s">
        <v>7071</v>
      </c>
      <c r="D8387" s="8">
        <v>750</v>
      </c>
      <c r="E8387" s="8"/>
      <c r="F8387" s="92">
        <f t="shared" si="166"/>
        <v>333888.87096774206</v>
      </c>
    </row>
    <row r="8388" spans="1:6" x14ac:dyDescent="0.25">
      <c r="A8388" s="204">
        <v>44118</v>
      </c>
      <c r="B8388" s="26" t="s">
        <v>542</v>
      </c>
      <c r="C8388" s="26" t="s">
        <v>7072</v>
      </c>
      <c r="D8388" s="8">
        <v>5000</v>
      </c>
      <c r="E8388" s="8"/>
      <c r="F8388" s="92">
        <f t="shared" si="166"/>
        <v>328888.87096774206</v>
      </c>
    </row>
    <row r="8389" spans="1:6" x14ac:dyDescent="0.25">
      <c r="A8389" s="204">
        <v>44118</v>
      </c>
      <c r="B8389" s="26" t="s">
        <v>6200</v>
      </c>
      <c r="C8389" s="26" t="s">
        <v>7074</v>
      </c>
      <c r="D8389" s="8">
        <v>300</v>
      </c>
      <c r="E8389" s="8"/>
      <c r="F8389" s="92">
        <f t="shared" si="166"/>
        <v>328588.87096774206</v>
      </c>
    </row>
    <row r="8390" spans="1:6" x14ac:dyDescent="0.25">
      <c r="A8390" s="204">
        <v>44118</v>
      </c>
      <c r="B8390" s="26" t="s">
        <v>85</v>
      </c>
      <c r="C8390" s="26" t="s">
        <v>7075</v>
      </c>
      <c r="D8390" s="8">
        <v>3000</v>
      </c>
      <c r="E8390" s="8"/>
      <c r="F8390" s="92">
        <f t="shared" si="166"/>
        <v>325588.87096774206</v>
      </c>
    </row>
    <row r="8391" spans="1:6" x14ac:dyDescent="0.25">
      <c r="A8391" s="204">
        <v>44118</v>
      </c>
      <c r="B8391" s="452" t="s">
        <v>7076</v>
      </c>
      <c r="C8391" s="452"/>
      <c r="D8391" s="452"/>
      <c r="E8391" s="8">
        <v>400000</v>
      </c>
      <c r="F8391" s="92">
        <f t="shared" si="166"/>
        <v>725588.87096774206</v>
      </c>
    </row>
    <row r="8392" spans="1:6" ht="30" x14ac:dyDescent="0.25">
      <c r="A8392" s="204">
        <v>44118</v>
      </c>
      <c r="B8392" s="26" t="s">
        <v>6063</v>
      </c>
      <c r="C8392" s="87" t="s">
        <v>7077</v>
      </c>
      <c r="D8392" s="8">
        <v>1000</v>
      </c>
      <c r="E8392" s="8"/>
      <c r="F8392" s="92">
        <f t="shared" si="166"/>
        <v>724588.87096774206</v>
      </c>
    </row>
    <row r="8393" spans="1:6" x14ac:dyDescent="0.25">
      <c r="A8393" s="204">
        <v>44118</v>
      </c>
      <c r="B8393" s="26" t="s">
        <v>19</v>
      </c>
      <c r="C8393" s="26" t="s">
        <v>7078</v>
      </c>
      <c r="D8393" s="8">
        <v>4000</v>
      </c>
      <c r="E8393" s="8"/>
      <c r="F8393" s="92">
        <f t="shared" si="166"/>
        <v>720588.87096774206</v>
      </c>
    </row>
    <row r="8394" spans="1:6" x14ac:dyDescent="0.25">
      <c r="A8394" s="204">
        <v>44118</v>
      </c>
      <c r="B8394" s="162" t="s">
        <v>1515</v>
      </c>
      <c r="C8394" s="254" t="s">
        <v>7079</v>
      </c>
      <c r="D8394" s="163">
        <v>15518</v>
      </c>
      <c r="E8394" s="8"/>
      <c r="F8394" s="92">
        <f t="shared" si="166"/>
        <v>705070.87096774206</v>
      </c>
    </row>
    <row r="8395" spans="1:6" x14ac:dyDescent="0.25">
      <c r="A8395" s="204">
        <v>44118</v>
      </c>
      <c r="B8395" s="137" t="s">
        <v>19</v>
      </c>
      <c r="C8395" s="137" t="s">
        <v>7080</v>
      </c>
      <c r="D8395" s="8">
        <v>3500</v>
      </c>
      <c r="E8395" s="8"/>
      <c r="F8395" s="92">
        <f t="shared" si="166"/>
        <v>701570.87096774206</v>
      </c>
    </row>
    <row r="8396" spans="1:6" x14ac:dyDescent="0.25">
      <c r="A8396" s="204">
        <v>44119</v>
      </c>
      <c r="B8396" s="26" t="s">
        <v>6285</v>
      </c>
      <c r="C8396" s="26" t="s">
        <v>3336</v>
      </c>
      <c r="D8396" s="8">
        <v>101743</v>
      </c>
      <c r="E8396" s="8"/>
      <c r="F8396" s="92">
        <f t="shared" si="166"/>
        <v>599827.87096774206</v>
      </c>
    </row>
    <row r="8397" spans="1:6" x14ac:dyDescent="0.25">
      <c r="A8397" s="204">
        <v>44119</v>
      </c>
      <c r="B8397" s="26" t="s">
        <v>6877</v>
      </c>
      <c r="C8397" s="26" t="s">
        <v>7083</v>
      </c>
      <c r="D8397" s="8">
        <v>5000</v>
      </c>
      <c r="E8397" s="8"/>
      <c r="F8397" s="92">
        <f t="shared" si="166"/>
        <v>594827.87096774206</v>
      </c>
    </row>
    <row r="8398" spans="1:6" x14ac:dyDescent="0.25">
      <c r="A8398" s="204">
        <v>44119</v>
      </c>
      <c r="B8398" s="26" t="s">
        <v>4776</v>
      </c>
      <c r="C8398" s="26" t="s">
        <v>295</v>
      </c>
      <c r="D8398" s="8">
        <v>50000</v>
      </c>
      <c r="E8398" s="8"/>
      <c r="F8398" s="92">
        <f t="shared" si="166"/>
        <v>544827.87096774206</v>
      </c>
    </row>
    <row r="8399" spans="1:6" x14ac:dyDescent="0.25">
      <c r="A8399" s="204">
        <v>44119</v>
      </c>
      <c r="B8399" s="137" t="s">
        <v>2227</v>
      </c>
      <c r="C8399" s="137" t="s">
        <v>7086</v>
      </c>
      <c r="D8399" s="139">
        <v>4000</v>
      </c>
      <c r="E8399" s="8"/>
      <c r="F8399" s="92">
        <f t="shared" si="166"/>
        <v>540827.87096774206</v>
      </c>
    </row>
    <row r="8400" spans="1:6" x14ac:dyDescent="0.25">
      <c r="A8400" s="204">
        <v>44119</v>
      </c>
      <c r="B8400" s="26" t="s">
        <v>26</v>
      </c>
      <c r="C8400" s="26" t="s">
        <v>6795</v>
      </c>
      <c r="D8400" s="8">
        <f>600+20+320+50+170+1110+270+350+120+110+20+60+90+80+80+100+700+70+20+60+1020</f>
        <v>5420</v>
      </c>
      <c r="E8400" s="8"/>
      <c r="F8400" s="92">
        <f t="shared" si="166"/>
        <v>535407.87096774206</v>
      </c>
    </row>
    <row r="8401" spans="1:6" x14ac:dyDescent="0.25">
      <c r="A8401" s="204">
        <v>44119</v>
      </c>
      <c r="B8401" s="284" t="s">
        <v>85</v>
      </c>
      <c r="C8401" s="284" t="s">
        <v>7089</v>
      </c>
      <c r="D8401" s="285">
        <v>30000</v>
      </c>
      <c r="E8401" s="8"/>
      <c r="F8401" s="92">
        <f t="shared" si="166"/>
        <v>505407.87096774206</v>
      </c>
    </row>
    <row r="8402" spans="1:6" x14ac:dyDescent="0.25">
      <c r="A8402" s="204">
        <v>44119</v>
      </c>
      <c r="B8402" s="26" t="s">
        <v>85</v>
      </c>
      <c r="C8402" s="26" t="s">
        <v>7088</v>
      </c>
      <c r="D8402" s="8">
        <v>10000</v>
      </c>
      <c r="E8402" s="8"/>
      <c r="F8402" s="92">
        <f t="shared" si="166"/>
        <v>495407.87096774206</v>
      </c>
    </row>
    <row r="8403" spans="1:6" x14ac:dyDescent="0.25">
      <c r="A8403" s="204">
        <v>44119</v>
      </c>
      <c r="B8403" s="162" t="s">
        <v>1515</v>
      </c>
      <c r="C8403" s="254" t="s">
        <v>7091</v>
      </c>
      <c r="D8403" s="163">
        <v>29500</v>
      </c>
      <c r="E8403" s="8"/>
      <c r="F8403" s="92">
        <f t="shared" si="166"/>
        <v>465907.87096774206</v>
      </c>
    </row>
    <row r="8404" spans="1:6" x14ac:dyDescent="0.25">
      <c r="A8404" s="204">
        <v>44119</v>
      </c>
      <c r="B8404" s="162" t="s">
        <v>1515</v>
      </c>
      <c r="C8404" s="254" t="s">
        <v>7092</v>
      </c>
      <c r="D8404" s="8">
        <v>24000</v>
      </c>
      <c r="E8404" s="8"/>
      <c r="F8404" s="92">
        <f t="shared" si="166"/>
        <v>441907.87096774206</v>
      </c>
    </row>
    <row r="8405" spans="1:6" x14ac:dyDescent="0.25">
      <c r="A8405" s="204">
        <v>44120</v>
      </c>
      <c r="B8405" s="137" t="s">
        <v>2227</v>
      </c>
      <c r="C8405" s="137" t="s">
        <v>7086</v>
      </c>
      <c r="D8405" s="139">
        <v>1500</v>
      </c>
      <c r="E8405" s="8"/>
      <c r="F8405" s="92">
        <f t="shared" si="166"/>
        <v>440407.87096774206</v>
      </c>
    </row>
    <row r="8406" spans="1:6" x14ac:dyDescent="0.25">
      <c r="A8406" s="204">
        <v>44120</v>
      </c>
      <c r="B8406" s="26" t="s">
        <v>26</v>
      </c>
      <c r="C8406" s="26" t="s">
        <v>7093</v>
      </c>
      <c r="D8406" s="8">
        <v>800</v>
      </c>
      <c r="E8406" s="8"/>
      <c r="F8406" s="92">
        <f t="shared" si="166"/>
        <v>439607.87096774206</v>
      </c>
    </row>
    <row r="8407" spans="1:6" ht="44.45" customHeight="1" x14ac:dyDescent="0.25">
      <c r="A8407" s="204">
        <v>44120</v>
      </c>
      <c r="B8407" s="199" t="s">
        <v>1077</v>
      </c>
      <c r="C8407" s="87" t="s">
        <v>7094</v>
      </c>
      <c r="D8407" s="8">
        <v>9650</v>
      </c>
      <c r="E8407" s="8"/>
      <c r="F8407" s="92">
        <f t="shared" si="166"/>
        <v>429957.87096774206</v>
      </c>
    </row>
    <row r="8408" spans="1:6" x14ac:dyDescent="0.25">
      <c r="A8408" s="204">
        <v>44120</v>
      </c>
      <c r="B8408" s="137" t="s">
        <v>5479</v>
      </c>
      <c r="C8408" s="137" t="s">
        <v>7095</v>
      </c>
      <c r="D8408" s="139">
        <v>1000</v>
      </c>
      <c r="E8408" s="8"/>
      <c r="F8408" s="92">
        <f t="shared" si="166"/>
        <v>428957.87096774206</v>
      </c>
    </row>
    <row r="8409" spans="1:6" x14ac:dyDescent="0.25">
      <c r="A8409" s="204">
        <v>44120</v>
      </c>
      <c r="B8409" s="26" t="s">
        <v>248</v>
      </c>
      <c r="C8409" s="26" t="s">
        <v>2016</v>
      </c>
      <c r="D8409" s="8">
        <v>100</v>
      </c>
      <c r="E8409" s="8"/>
      <c r="F8409" s="92">
        <f t="shared" si="166"/>
        <v>428857.87096774206</v>
      </c>
    </row>
    <row r="8410" spans="1:6" x14ac:dyDescent="0.25">
      <c r="A8410" s="204">
        <v>44120</v>
      </c>
      <c r="B8410" s="26" t="s">
        <v>26</v>
      </c>
      <c r="C8410" s="26" t="s">
        <v>7097</v>
      </c>
      <c r="D8410" s="8">
        <v>200</v>
      </c>
      <c r="E8410" s="8"/>
      <c r="F8410" s="92">
        <f t="shared" si="166"/>
        <v>428657.87096774206</v>
      </c>
    </row>
    <row r="8411" spans="1:6" x14ac:dyDescent="0.25">
      <c r="A8411" s="204">
        <v>44121</v>
      </c>
      <c r="B8411" s="26" t="s">
        <v>4776</v>
      </c>
      <c r="C8411" s="26" t="s">
        <v>4334</v>
      </c>
      <c r="D8411" s="8">
        <v>35000</v>
      </c>
      <c r="E8411" s="8"/>
      <c r="F8411" s="92">
        <f t="shared" si="166"/>
        <v>393657.87096774206</v>
      </c>
    </row>
    <row r="8412" spans="1:6" ht="30" x14ac:dyDescent="0.25">
      <c r="A8412" s="204">
        <v>44121</v>
      </c>
      <c r="B8412" s="26" t="s">
        <v>7098</v>
      </c>
      <c r="C8412" s="87" t="s">
        <v>7099</v>
      </c>
      <c r="D8412" s="8">
        <v>35000</v>
      </c>
      <c r="E8412" s="8"/>
      <c r="F8412" s="92">
        <f t="shared" si="166"/>
        <v>358657.87096774206</v>
      </c>
    </row>
    <row r="8413" spans="1:6" x14ac:dyDescent="0.25">
      <c r="A8413" s="204">
        <v>44121</v>
      </c>
      <c r="B8413" s="26" t="s">
        <v>6063</v>
      </c>
      <c r="C8413" s="26" t="s">
        <v>7100</v>
      </c>
      <c r="D8413" s="8">
        <v>7000</v>
      </c>
      <c r="E8413" s="8"/>
      <c r="F8413" s="92">
        <f t="shared" si="166"/>
        <v>351657.87096774206</v>
      </c>
    </row>
    <row r="8414" spans="1:6" x14ac:dyDescent="0.25">
      <c r="A8414" s="204">
        <v>44121</v>
      </c>
      <c r="B8414" s="26" t="s">
        <v>7101</v>
      </c>
      <c r="C8414" s="26" t="s">
        <v>7102</v>
      </c>
      <c r="D8414" s="8">
        <v>2060</v>
      </c>
      <c r="E8414" s="8"/>
      <c r="F8414" s="92">
        <f t="shared" si="166"/>
        <v>349597.87096774206</v>
      </c>
    </row>
    <row r="8415" spans="1:6" x14ac:dyDescent="0.25">
      <c r="A8415" s="204">
        <v>44121</v>
      </c>
      <c r="B8415" s="26" t="s">
        <v>1840</v>
      </c>
      <c r="C8415" s="26" t="s">
        <v>295</v>
      </c>
      <c r="D8415" s="8">
        <v>1850</v>
      </c>
      <c r="E8415" s="8"/>
      <c r="F8415" s="92">
        <f t="shared" si="166"/>
        <v>347747.87096774206</v>
      </c>
    </row>
    <row r="8416" spans="1:6" x14ac:dyDescent="0.25">
      <c r="A8416" s="204">
        <v>44121</v>
      </c>
      <c r="B8416" s="26" t="s">
        <v>6334</v>
      </c>
      <c r="C8416" s="26" t="s">
        <v>3198</v>
      </c>
      <c r="D8416" s="8">
        <v>16000</v>
      </c>
      <c r="E8416" s="8"/>
      <c r="F8416" s="92">
        <f t="shared" si="166"/>
        <v>331747.87096774206</v>
      </c>
    </row>
    <row r="8417" spans="1:10" x14ac:dyDescent="0.25">
      <c r="A8417" s="204">
        <v>44121</v>
      </c>
      <c r="B8417" s="26" t="s">
        <v>85</v>
      </c>
      <c r="C8417" s="26" t="s">
        <v>7103</v>
      </c>
      <c r="D8417" s="8">
        <v>10000</v>
      </c>
      <c r="E8417" s="8"/>
      <c r="F8417" s="92">
        <f t="shared" si="166"/>
        <v>321747.87096774206</v>
      </c>
    </row>
    <row r="8418" spans="1:10" x14ac:dyDescent="0.25">
      <c r="A8418" s="204">
        <v>44123</v>
      </c>
      <c r="B8418" s="26" t="s">
        <v>7104</v>
      </c>
      <c r="C8418" s="26" t="s">
        <v>7105</v>
      </c>
      <c r="D8418" s="8">
        <v>23850</v>
      </c>
      <c r="E8418" s="8"/>
      <c r="F8418" s="92">
        <f t="shared" si="166"/>
        <v>297897.87096774206</v>
      </c>
    </row>
    <row r="8419" spans="1:10" x14ac:dyDescent="0.25">
      <c r="A8419" s="204">
        <v>44123</v>
      </c>
      <c r="B8419" s="26" t="s">
        <v>7104</v>
      </c>
      <c r="C8419" s="26" t="s">
        <v>7106</v>
      </c>
      <c r="D8419" s="8">
        <v>100000</v>
      </c>
      <c r="E8419" s="8"/>
      <c r="F8419" s="92">
        <f t="shared" si="166"/>
        <v>197897.87096774206</v>
      </c>
    </row>
    <row r="8420" spans="1:10" x14ac:dyDescent="0.25">
      <c r="A8420" s="204">
        <v>44123</v>
      </c>
      <c r="B8420" s="26" t="s">
        <v>85</v>
      </c>
      <c r="C8420" s="26" t="s">
        <v>7108</v>
      </c>
      <c r="D8420" s="8">
        <v>500</v>
      </c>
      <c r="E8420" s="8"/>
      <c r="F8420" s="92">
        <f t="shared" si="166"/>
        <v>197397.87096774206</v>
      </c>
    </row>
    <row r="8421" spans="1:10" x14ac:dyDescent="0.25">
      <c r="A8421" s="204">
        <v>44123</v>
      </c>
      <c r="B8421" s="26" t="s">
        <v>19</v>
      </c>
      <c r="C8421" s="26" t="s">
        <v>7109</v>
      </c>
      <c r="D8421" s="8">
        <v>7000</v>
      </c>
      <c r="E8421" s="8"/>
      <c r="F8421" s="92">
        <f t="shared" si="166"/>
        <v>190397.87096774206</v>
      </c>
    </row>
    <row r="8422" spans="1:10" x14ac:dyDescent="0.25">
      <c r="A8422" s="204">
        <v>44123</v>
      </c>
      <c r="B8422" s="26" t="s">
        <v>5479</v>
      </c>
      <c r="C8422" s="26" t="s">
        <v>7110</v>
      </c>
      <c r="D8422" s="8">
        <v>1600</v>
      </c>
      <c r="E8422" s="8"/>
      <c r="F8422" s="92">
        <f t="shared" si="166"/>
        <v>188797.87096774206</v>
      </c>
    </row>
    <row r="8423" spans="1:10" ht="30" x14ac:dyDescent="0.25">
      <c r="A8423" s="204">
        <v>44123</v>
      </c>
      <c r="B8423" s="26" t="s">
        <v>7111</v>
      </c>
      <c r="C8423" s="87" t="s">
        <v>7112</v>
      </c>
      <c r="D8423" s="8">
        <v>23050</v>
      </c>
      <c r="E8423" s="8"/>
      <c r="F8423" s="92">
        <f t="shared" si="166"/>
        <v>165747.87096774206</v>
      </c>
    </row>
    <row r="8424" spans="1:10" x14ac:dyDescent="0.25">
      <c r="A8424" s="204">
        <v>44123</v>
      </c>
      <c r="B8424" s="26" t="s">
        <v>248</v>
      </c>
      <c r="C8424" s="26" t="s">
        <v>6977</v>
      </c>
      <c r="D8424" s="8">
        <v>250</v>
      </c>
      <c r="E8424" s="8"/>
      <c r="F8424" s="92">
        <f t="shared" si="166"/>
        <v>165497.87096774206</v>
      </c>
    </row>
    <row r="8425" spans="1:10" x14ac:dyDescent="0.25">
      <c r="A8425" s="204">
        <v>44124</v>
      </c>
      <c r="B8425" s="26" t="s">
        <v>7113</v>
      </c>
      <c r="C8425" s="26" t="s">
        <v>7114</v>
      </c>
      <c r="D8425" s="8">
        <v>3500</v>
      </c>
      <c r="E8425" s="8"/>
      <c r="F8425" s="92">
        <f t="shared" si="166"/>
        <v>161997.87096774206</v>
      </c>
    </row>
    <row r="8426" spans="1:10" s="42" customFormat="1" x14ac:dyDescent="0.25">
      <c r="A8426" s="204">
        <v>44124</v>
      </c>
      <c r="B8426" s="46" t="s">
        <v>5479</v>
      </c>
      <c r="C8426" s="46" t="s">
        <v>7115</v>
      </c>
      <c r="D8426" s="140">
        <v>850</v>
      </c>
      <c r="E8426" s="140"/>
      <c r="F8426" s="92">
        <f t="shared" si="166"/>
        <v>161147.87096774206</v>
      </c>
      <c r="H8426" s="147"/>
      <c r="I8426" s="147"/>
      <c r="J8426" s="147"/>
    </row>
    <row r="8427" spans="1:10" x14ac:dyDescent="0.25">
      <c r="A8427" s="204">
        <v>44124</v>
      </c>
      <c r="B8427" s="26" t="s">
        <v>85</v>
      </c>
      <c r="C8427" s="26" t="s">
        <v>7116</v>
      </c>
      <c r="D8427" s="8">
        <v>17000</v>
      </c>
      <c r="E8427" s="8"/>
      <c r="F8427" s="92">
        <f t="shared" si="166"/>
        <v>144147.87096774206</v>
      </c>
    </row>
    <row r="8428" spans="1:10" x14ac:dyDescent="0.25">
      <c r="A8428" s="204">
        <v>44124</v>
      </c>
      <c r="B8428" s="26" t="s">
        <v>0</v>
      </c>
      <c r="C8428" s="26" t="s">
        <v>7118</v>
      </c>
      <c r="D8428" s="8">
        <v>10000</v>
      </c>
      <c r="E8428" s="8"/>
      <c r="F8428" s="92">
        <f t="shared" si="166"/>
        <v>134147.87096774206</v>
      </c>
    </row>
    <row r="8429" spans="1:10" x14ac:dyDescent="0.25">
      <c r="A8429" s="204">
        <v>44124</v>
      </c>
      <c r="B8429" s="162" t="s">
        <v>1515</v>
      </c>
      <c r="C8429" s="254" t="s">
        <v>7119</v>
      </c>
      <c r="D8429" s="8">
        <v>20542</v>
      </c>
      <c r="E8429" s="8"/>
      <c r="F8429" s="92">
        <f t="shared" si="166"/>
        <v>113605.87096774206</v>
      </c>
    </row>
    <row r="8430" spans="1:10" x14ac:dyDescent="0.25">
      <c r="A8430" s="204">
        <v>44124</v>
      </c>
      <c r="B8430" s="162" t="s">
        <v>1515</v>
      </c>
      <c r="C8430" s="254" t="s">
        <v>7120</v>
      </c>
      <c r="D8430" s="8">
        <v>18000</v>
      </c>
      <c r="E8430" s="8"/>
      <c r="F8430" s="92">
        <f t="shared" si="166"/>
        <v>95605.870967742056</v>
      </c>
    </row>
    <row r="8431" spans="1:10" x14ac:dyDescent="0.25">
      <c r="A8431" s="204">
        <v>44126</v>
      </c>
      <c r="B8431" s="26" t="s">
        <v>6063</v>
      </c>
      <c r="C8431" s="26" t="s">
        <v>7136</v>
      </c>
      <c r="D8431" s="8">
        <v>700</v>
      </c>
      <c r="E8431" s="8"/>
      <c r="F8431" s="92">
        <f t="shared" si="166"/>
        <v>94905.870967742056</v>
      </c>
    </row>
    <row r="8432" spans="1:10" ht="30" x14ac:dyDescent="0.25">
      <c r="A8432" s="204">
        <v>44126</v>
      </c>
      <c r="B8432" s="26" t="s">
        <v>6063</v>
      </c>
      <c r="C8432" s="87" t="s">
        <v>7124</v>
      </c>
      <c r="D8432" s="8">
        <v>800</v>
      </c>
      <c r="E8432" s="8"/>
      <c r="F8432" s="92">
        <f t="shared" si="166"/>
        <v>94105.870967742056</v>
      </c>
    </row>
    <row r="8433" spans="1:6" x14ac:dyDescent="0.25">
      <c r="A8433" s="204">
        <v>44126</v>
      </c>
      <c r="B8433" s="26" t="s">
        <v>85</v>
      </c>
      <c r="C8433" s="87" t="s">
        <v>7108</v>
      </c>
      <c r="D8433" s="8">
        <v>600</v>
      </c>
      <c r="E8433" s="8"/>
      <c r="F8433" s="92">
        <f t="shared" si="166"/>
        <v>93505.870967742056</v>
      </c>
    </row>
    <row r="8434" spans="1:6" x14ac:dyDescent="0.25">
      <c r="A8434" s="204">
        <v>44124</v>
      </c>
      <c r="B8434" s="162" t="s">
        <v>1515</v>
      </c>
      <c r="C8434" s="254" t="s">
        <v>7125</v>
      </c>
      <c r="D8434" s="8">
        <v>19830</v>
      </c>
      <c r="E8434" s="8"/>
      <c r="F8434" s="92">
        <f t="shared" si="166"/>
        <v>73675.870967742056</v>
      </c>
    </row>
    <row r="8435" spans="1:6" x14ac:dyDescent="0.25">
      <c r="A8435" s="204">
        <v>44127</v>
      </c>
      <c r="B8435" s="26" t="s">
        <v>0</v>
      </c>
      <c r="C8435" s="46" t="s">
        <v>5894</v>
      </c>
      <c r="D8435" s="140">
        <v>5000</v>
      </c>
      <c r="E8435" s="8"/>
      <c r="F8435" s="92">
        <f t="shared" si="166"/>
        <v>68675.870967742056</v>
      </c>
    </row>
    <row r="8436" spans="1:6" x14ac:dyDescent="0.25">
      <c r="A8436" s="204">
        <v>44127</v>
      </c>
      <c r="B8436" s="26" t="s">
        <v>4776</v>
      </c>
      <c r="C8436" s="26" t="s">
        <v>7130</v>
      </c>
      <c r="D8436" s="8">
        <v>65000</v>
      </c>
      <c r="E8436" s="8"/>
      <c r="F8436" s="92">
        <f t="shared" si="166"/>
        <v>3675.8709677420557</v>
      </c>
    </row>
    <row r="8437" spans="1:6" x14ac:dyDescent="0.25">
      <c r="A8437" s="204">
        <v>44127</v>
      </c>
      <c r="B8437" s="452" t="s">
        <v>3448</v>
      </c>
      <c r="C8437" s="452"/>
      <c r="D8437" s="452"/>
      <c r="E8437" s="8">
        <v>500000</v>
      </c>
      <c r="F8437" s="92">
        <f t="shared" si="166"/>
        <v>503675.87096774206</v>
      </c>
    </row>
    <row r="8438" spans="1:6" x14ac:dyDescent="0.25">
      <c r="A8438" s="204">
        <v>44127</v>
      </c>
      <c r="B8438" s="26" t="s">
        <v>6995</v>
      </c>
      <c r="C8438" s="26" t="s">
        <v>6997</v>
      </c>
      <c r="D8438" s="8">
        <v>250000</v>
      </c>
      <c r="E8438" s="8"/>
      <c r="F8438" s="92">
        <f t="shared" si="166"/>
        <v>253675.87096774206</v>
      </c>
    </row>
    <row r="8439" spans="1:6" x14ac:dyDescent="0.25">
      <c r="A8439" s="204">
        <v>44127</v>
      </c>
      <c r="B8439" s="26" t="s">
        <v>85</v>
      </c>
      <c r="C8439" s="26" t="s">
        <v>7108</v>
      </c>
      <c r="D8439" s="8">
        <f>100+150</f>
        <v>250</v>
      </c>
      <c r="E8439" s="8"/>
      <c r="F8439" s="92">
        <f t="shared" si="166"/>
        <v>253425.87096774206</v>
      </c>
    </row>
    <row r="8440" spans="1:6" x14ac:dyDescent="0.25">
      <c r="A8440" s="204">
        <v>44127</v>
      </c>
      <c r="B8440" s="26" t="s">
        <v>14</v>
      </c>
      <c r="C8440" s="39" t="s">
        <v>7166</v>
      </c>
      <c r="D8440" s="8">
        <v>150000</v>
      </c>
      <c r="E8440" s="8"/>
      <c r="F8440" s="92">
        <f t="shared" si="166"/>
        <v>103425.87096774206</v>
      </c>
    </row>
    <row r="8441" spans="1:6" x14ac:dyDescent="0.25">
      <c r="A8441" s="204">
        <v>44128</v>
      </c>
      <c r="B8441" s="26" t="s">
        <v>2951</v>
      </c>
      <c r="C8441" s="26" t="s">
        <v>65</v>
      </c>
      <c r="D8441" s="8">
        <v>2300</v>
      </c>
      <c r="E8441" s="8"/>
      <c r="F8441" s="92">
        <f t="shared" si="166"/>
        <v>101125.87096774206</v>
      </c>
    </row>
    <row r="8442" spans="1:6" x14ac:dyDescent="0.25">
      <c r="A8442" s="204">
        <v>44128</v>
      </c>
      <c r="B8442" s="26" t="s">
        <v>26</v>
      </c>
      <c r="C8442" s="26" t="s">
        <v>7132</v>
      </c>
      <c r="D8442" s="8">
        <v>4500</v>
      </c>
      <c r="E8442" s="8"/>
      <c r="F8442" s="92">
        <f t="shared" si="166"/>
        <v>96625.870967742056</v>
      </c>
    </row>
    <row r="8443" spans="1:6" x14ac:dyDescent="0.25">
      <c r="A8443" s="204">
        <v>44128</v>
      </c>
      <c r="B8443" s="26" t="s">
        <v>85</v>
      </c>
      <c r="C8443" s="26" t="s">
        <v>7133</v>
      </c>
      <c r="D8443" s="8">
        <v>500</v>
      </c>
      <c r="E8443" s="8"/>
      <c r="F8443" s="92">
        <f t="shared" si="166"/>
        <v>96125.870967742056</v>
      </c>
    </row>
    <row r="8444" spans="1:6" x14ac:dyDescent="0.25">
      <c r="A8444" s="204">
        <v>44128</v>
      </c>
      <c r="B8444" s="26" t="s">
        <v>6877</v>
      </c>
      <c r="C8444" s="26" t="s">
        <v>7134</v>
      </c>
      <c r="D8444" s="8">
        <v>7000</v>
      </c>
      <c r="E8444" s="8"/>
      <c r="F8444" s="92">
        <f t="shared" si="166"/>
        <v>89125.870967742056</v>
      </c>
    </row>
    <row r="8445" spans="1:6" x14ac:dyDescent="0.25">
      <c r="A8445" s="204">
        <v>44130</v>
      </c>
      <c r="B8445" s="26" t="s">
        <v>26</v>
      </c>
      <c r="C8445" s="26" t="s">
        <v>7138</v>
      </c>
      <c r="D8445" s="8">
        <v>5000</v>
      </c>
      <c r="E8445" s="8"/>
      <c r="F8445" s="92">
        <f t="shared" si="166"/>
        <v>84125.870967742056</v>
      </c>
    </row>
    <row r="8446" spans="1:6" x14ac:dyDescent="0.25">
      <c r="A8446" s="204">
        <v>44130</v>
      </c>
      <c r="B8446" s="26" t="s">
        <v>14</v>
      </c>
      <c r="C8446" s="26" t="s">
        <v>7147</v>
      </c>
      <c r="D8446" s="8">
        <v>8371</v>
      </c>
      <c r="E8446" s="8"/>
      <c r="F8446" s="92">
        <f t="shared" si="166"/>
        <v>75754.870967742056</v>
      </c>
    </row>
    <row r="8447" spans="1:6" x14ac:dyDescent="0.25">
      <c r="A8447" s="204">
        <v>44130</v>
      </c>
      <c r="B8447" s="26" t="s">
        <v>26</v>
      </c>
      <c r="C8447" s="26" t="s">
        <v>6430</v>
      </c>
      <c r="D8447" s="8">
        <v>100</v>
      </c>
      <c r="E8447" s="8"/>
      <c r="F8447" s="92">
        <f t="shared" si="166"/>
        <v>75654.870967742056</v>
      </c>
    </row>
    <row r="8448" spans="1:6" ht="30" x14ac:dyDescent="0.25">
      <c r="A8448" s="204">
        <v>44130</v>
      </c>
      <c r="B8448" s="26" t="s">
        <v>26</v>
      </c>
      <c r="C8448" s="87" t="s">
        <v>7139</v>
      </c>
      <c r="D8448" s="8">
        <v>200</v>
      </c>
      <c r="E8448" s="8"/>
      <c r="F8448" s="92">
        <f t="shared" si="166"/>
        <v>75454.870967742056</v>
      </c>
    </row>
    <row r="8449" spans="1:6" x14ac:dyDescent="0.25">
      <c r="A8449" s="204">
        <v>44130</v>
      </c>
      <c r="B8449" s="26" t="s">
        <v>1015</v>
      </c>
      <c r="C8449" s="26" t="s">
        <v>7141</v>
      </c>
      <c r="D8449" s="8">
        <v>8000</v>
      </c>
      <c r="E8449" s="8"/>
      <c r="F8449" s="92">
        <f t="shared" ref="F8449:F8456" si="167">F8448+E8449-D8449</f>
        <v>67454.870967742056</v>
      </c>
    </row>
    <row r="8450" spans="1:6" x14ac:dyDescent="0.25">
      <c r="A8450" s="204">
        <v>44130</v>
      </c>
      <c r="B8450" s="26" t="s">
        <v>26</v>
      </c>
      <c r="C8450" s="26" t="s">
        <v>6795</v>
      </c>
      <c r="D8450" s="8">
        <f>1100+250+20+50+50+450+60+100+50+350+50+100+170+20+50+230+170+260+90+200+50+60+40+95+140+600+750</f>
        <v>5555</v>
      </c>
      <c r="E8450" s="8"/>
      <c r="F8450" s="92">
        <f t="shared" si="167"/>
        <v>61899.870967742056</v>
      </c>
    </row>
    <row r="8451" spans="1:6" x14ac:dyDescent="0.25">
      <c r="A8451" s="204">
        <v>44130</v>
      </c>
      <c r="B8451" s="26" t="s">
        <v>3563</v>
      </c>
      <c r="C8451" s="26" t="s">
        <v>7142</v>
      </c>
      <c r="D8451" s="8">
        <v>3000</v>
      </c>
      <c r="E8451" s="8"/>
      <c r="F8451" s="92">
        <f t="shared" si="167"/>
        <v>58899.870967742056</v>
      </c>
    </row>
    <row r="8452" spans="1:6" x14ac:dyDescent="0.25">
      <c r="A8452" s="204">
        <v>44130</v>
      </c>
      <c r="B8452" s="452" t="s">
        <v>6007</v>
      </c>
      <c r="C8452" s="452"/>
      <c r="D8452" s="452"/>
      <c r="E8452" s="8">
        <v>100000</v>
      </c>
      <c r="F8452" s="92">
        <f t="shared" si="167"/>
        <v>158899.87096774206</v>
      </c>
    </row>
    <row r="8453" spans="1:6" x14ac:dyDescent="0.25">
      <c r="A8453" s="204">
        <v>44131</v>
      </c>
      <c r="B8453" s="26" t="s">
        <v>26</v>
      </c>
      <c r="C8453" s="26" t="s">
        <v>7146</v>
      </c>
      <c r="D8453" s="8">
        <v>2000</v>
      </c>
      <c r="E8453" s="8"/>
      <c r="F8453" s="92">
        <f t="shared" si="167"/>
        <v>156899.87096774206</v>
      </c>
    </row>
    <row r="8454" spans="1:6" x14ac:dyDescent="0.25">
      <c r="A8454" s="204">
        <v>44131</v>
      </c>
      <c r="B8454" s="29" t="s">
        <v>3563</v>
      </c>
      <c r="C8454" s="29" t="s">
        <v>7145</v>
      </c>
      <c r="D8454" s="8">
        <v>600</v>
      </c>
      <c r="E8454" s="8"/>
      <c r="F8454" s="92">
        <f t="shared" si="167"/>
        <v>156299.87096774206</v>
      </c>
    </row>
    <row r="8455" spans="1:6" x14ac:dyDescent="0.25">
      <c r="A8455" s="204">
        <v>44131</v>
      </c>
      <c r="B8455" s="26" t="s">
        <v>26</v>
      </c>
      <c r="C8455" s="26" t="s">
        <v>7150</v>
      </c>
      <c r="D8455" s="8">
        <v>150</v>
      </c>
      <c r="E8455" s="8"/>
      <c r="F8455" s="92">
        <f t="shared" si="167"/>
        <v>156149.87096774206</v>
      </c>
    </row>
    <row r="8456" spans="1:6" ht="30" x14ac:dyDescent="0.25">
      <c r="A8456" s="204">
        <v>44131</v>
      </c>
      <c r="B8456" s="26" t="s">
        <v>1790</v>
      </c>
      <c r="C8456" s="87" t="s">
        <v>7151</v>
      </c>
      <c r="D8456" s="8">
        <v>2700</v>
      </c>
      <c r="E8456" s="8"/>
      <c r="F8456" s="92">
        <f t="shared" si="167"/>
        <v>153449.87096774206</v>
      </c>
    </row>
    <row r="8457" spans="1:6" x14ac:dyDescent="0.25">
      <c r="A8457" s="204">
        <v>44132</v>
      </c>
      <c r="B8457" s="40" t="s">
        <v>1840</v>
      </c>
      <c r="C8457" s="40" t="s">
        <v>7152</v>
      </c>
      <c r="D8457" s="139">
        <v>1500</v>
      </c>
      <c r="E8457" s="8"/>
      <c r="F8457" s="92">
        <f t="shared" ref="F8457:F8518" si="168">F8456+E8457-D8457</f>
        <v>151949.87096774206</v>
      </c>
    </row>
    <row r="8458" spans="1:6" x14ac:dyDescent="0.25">
      <c r="A8458" s="204">
        <v>44132</v>
      </c>
      <c r="B8458" s="29" t="s">
        <v>7153</v>
      </c>
      <c r="C8458" s="29" t="s">
        <v>7154</v>
      </c>
      <c r="D8458" s="8">
        <v>400</v>
      </c>
      <c r="E8458" s="8"/>
      <c r="F8458" s="92">
        <f t="shared" si="168"/>
        <v>151549.87096774206</v>
      </c>
    </row>
    <row r="8459" spans="1:6" x14ac:dyDescent="0.25">
      <c r="A8459" s="204">
        <v>44132</v>
      </c>
      <c r="B8459" s="26" t="s">
        <v>1077</v>
      </c>
      <c r="C8459" s="26" t="s">
        <v>7155</v>
      </c>
      <c r="D8459" s="8">
        <f>590+11893+1776</f>
        <v>14259</v>
      </c>
      <c r="E8459" s="8"/>
      <c r="F8459" s="92">
        <f t="shared" si="168"/>
        <v>137290.87096774206</v>
      </c>
    </row>
    <row r="8460" spans="1:6" x14ac:dyDescent="0.25">
      <c r="A8460" s="204">
        <v>44132</v>
      </c>
      <c r="B8460" s="26" t="s">
        <v>1077</v>
      </c>
      <c r="C8460" s="26" t="s">
        <v>7156</v>
      </c>
      <c r="D8460" s="8">
        <f>21124+13375</f>
        <v>34499</v>
      </c>
      <c r="E8460" s="8"/>
      <c r="F8460" s="92">
        <f t="shared" si="168"/>
        <v>102791.87096774206</v>
      </c>
    </row>
    <row r="8461" spans="1:6" x14ac:dyDescent="0.25">
      <c r="A8461" s="204">
        <v>44132</v>
      </c>
      <c r="B8461" s="26" t="s">
        <v>5201</v>
      </c>
      <c r="C8461" s="26" t="s">
        <v>7157</v>
      </c>
      <c r="D8461" s="8">
        <v>24000</v>
      </c>
      <c r="E8461" s="8"/>
      <c r="F8461" s="92">
        <f t="shared" si="168"/>
        <v>78791.870967742056</v>
      </c>
    </row>
    <row r="8462" spans="1:6" x14ac:dyDescent="0.25">
      <c r="A8462" s="204">
        <v>44132</v>
      </c>
      <c r="B8462" s="26" t="s">
        <v>26</v>
      </c>
      <c r="C8462" s="26" t="s">
        <v>7158</v>
      </c>
      <c r="D8462" s="8">
        <v>200</v>
      </c>
      <c r="E8462" s="8"/>
      <c r="F8462" s="92">
        <f t="shared" si="168"/>
        <v>78591.870967742056</v>
      </c>
    </row>
    <row r="8463" spans="1:6" x14ac:dyDescent="0.25">
      <c r="A8463" s="204">
        <v>44132</v>
      </c>
      <c r="B8463" s="26" t="s">
        <v>26</v>
      </c>
      <c r="C8463" s="26" t="s">
        <v>6430</v>
      </c>
      <c r="D8463" s="8">
        <v>50</v>
      </c>
      <c r="E8463" s="8"/>
      <c r="F8463" s="92">
        <f t="shared" si="168"/>
        <v>78541.870967742056</v>
      </c>
    </row>
    <row r="8464" spans="1:6" x14ac:dyDescent="0.25">
      <c r="A8464" s="204">
        <v>44132</v>
      </c>
      <c r="B8464" s="29" t="s">
        <v>3563</v>
      </c>
      <c r="C8464" s="29" t="s">
        <v>5164</v>
      </c>
      <c r="D8464" s="8">
        <v>4200</v>
      </c>
      <c r="E8464" s="8"/>
      <c r="F8464" s="92">
        <f t="shared" si="168"/>
        <v>74341.870967742056</v>
      </c>
    </row>
    <row r="8465" spans="1:7" x14ac:dyDescent="0.25">
      <c r="A8465" s="204">
        <v>44132</v>
      </c>
      <c r="B8465" s="29" t="s">
        <v>2573</v>
      </c>
      <c r="C8465" s="29" t="s">
        <v>3563</v>
      </c>
      <c r="D8465" s="8">
        <v>270</v>
      </c>
      <c r="E8465" s="8"/>
      <c r="F8465" s="92">
        <f t="shared" si="168"/>
        <v>74071.870967742056</v>
      </c>
    </row>
    <row r="8466" spans="1:7" x14ac:dyDescent="0.25">
      <c r="A8466" s="204">
        <v>44133</v>
      </c>
      <c r="B8466" s="29" t="s">
        <v>1790</v>
      </c>
      <c r="C8466" s="29" t="s">
        <v>7159</v>
      </c>
      <c r="D8466" s="8">
        <v>1000</v>
      </c>
      <c r="E8466" s="8"/>
      <c r="F8466" s="92">
        <f t="shared" si="168"/>
        <v>73071.870967742056</v>
      </c>
    </row>
    <row r="8467" spans="1:7" x14ac:dyDescent="0.25">
      <c r="A8467" s="204">
        <v>44133</v>
      </c>
      <c r="B8467" s="26" t="s">
        <v>26</v>
      </c>
      <c r="C8467" s="26" t="s">
        <v>7160</v>
      </c>
      <c r="D8467" s="8">
        <v>300</v>
      </c>
      <c r="E8467" s="8"/>
      <c r="F8467" s="92">
        <f t="shared" si="168"/>
        <v>72771.870967742056</v>
      </c>
    </row>
    <row r="8468" spans="1:7" x14ac:dyDescent="0.25">
      <c r="A8468" s="204">
        <v>44133</v>
      </c>
      <c r="B8468" s="26" t="s">
        <v>4776</v>
      </c>
      <c r="C8468" s="26" t="s">
        <v>7161</v>
      </c>
      <c r="D8468" s="8">
        <v>20000</v>
      </c>
      <c r="E8468" s="8"/>
      <c r="F8468" s="92">
        <f t="shared" si="168"/>
        <v>52771.870967742056</v>
      </c>
    </row>
    <row r="8469" spans="1:7" ht="30" x14ac:dyDescent="0.25">
      <c r="A8469" s="204">
        <v>44133</v>
      </c>
      <c r="B8469" s="26" t="s">
        <v>19</v>
      </c>
      <c r="C8469" s="87" t="s">
        <v>7175</v>
      </c>
      <c r="D8469" s="8">
        <v>3000</v>
      </c>
      <c r="E8469" s="8"/>
      <c r="F8469" s="92">
        <f t="shared" si="168"/>
        <v>49771.870967742056</v>
      </c>
    </row>
    <row r="8470" spans="1:7" x14ac:dyDescent="0.25">
      <c r="A8470" s="204">
        <v>44133</v>
      </c>
      <c r="B8470" s="26" t="s">
        <v>14</v>
      </c>
      <c r="C8470" s="26" t="s">
        <v>295</v>
      </c>
      <c r="D8470" s="8">
        <v>10000</v>
      </c>
      <c r="E8470" s="8"/>
      <c r="F8470" s="92">
        <f t="shared" si="168"/>
        <v>39771.870967742056</v>
      </c>
    </row>
    <row r="8471" spans="1:7" x14ac:dyDescent="0.25">
      <c r="A8471" s="204">
        <v>44133</v>
      </c>
      <c r="B8471" s="26" t="s">
        <v>3563</v>
      </c>
      <c r="C8471" s="26" t="s">
        <v>92</v>
      </c>
      <c r="D8471" s="8">
        <v>650</v>
      </c>
      <c r="E8471" s="8"/>
      <c r="F8471" s="92">
        <f t="shared" si="168"/>
        <v>39121.870967742056</v>
      </c>
    </row>
    <row r="8472" spans="1:7" ht="45" x14ac:dyDescent="0.25">
      <c r="A8472" s="204">
        <v>44135</v>
      </c>
      <c r="B8472" s="137" t="s">
        <v>4250</v>
      </c>
      <c r="C8472" s="259" t="s">
        <v>7205</v>
      </c>
      <c r="D8472" s="139">
        <v>3750</v>
      </c>
      <c r="E8472" s="8"/>
      <c r="F8472" s="92">
        <f t="shared" si="168"/>
        <v>35371.870967742056</v>
      </c>
    </row>
    <row r="8473" spans="1:7" x14ac:dyDescent="0.25">
      <c r="A8473" s="204">
        <v>44135</v>
      </c>
      <c r="B8473" s="26" t="s">
        <v>6334</v>
      </c>
      <c r="C8473" s="26" t="s">
        <v>7167</v>
      </c>
      <c r="D8473" s="8">
        <v>4000</v>
      </c>
      <c r="E8473" s="8"/>
      <c r="F8473" s="92">
        <f t="shared" si="168"/>
        <v>31371.870967742056</v>
      </c>
    </row>
    <row r="8474" spans="1:7" x14ac:dyDescent="0.25">
      <c r="A8474" s="204">
        <v>44135</v>
      </c>
      <c r="B8474" s="26" t="s">
        <v>7169</v>
      </c>
      <c r="C8474" s="26" t="s">
        <v>7168</v>
      </c>
      <c r="D8474" s="8">
        <v>16500</v>
      </c>
      <c r="E8474" s="8"/>
      <c r="F8474" s="92">
        <f t="shared" si="168"/>
        <v>14871.870967742056</v>
      </c>
    </row>
    <row r="8475" spans="1:7" x14ac:dyDescent="0.25">
      <c r="A8475" s="204">
        <v>44135</v>
      </c>
      <c r="B8475" s="162" t="s">
        <v>5479</v>
      </c>
      <c r="C8475" s="162" t="s">
        <v>7170</v>
      </c>
      <c r="D8475" s="163">
        <v>5400</v>
      </c>
      <c r="E8475" s="8"/>
      <c r="F8475" s="92">
        <f t="shared" si="168"/>
        <v>9471.8709677420557</v>
      </c>
    </row>
    <row r="8476" spans="1:7" x14ac:dyDescent="0.25">
      <c r="A8476" s="204">
        <v>44137</v>
      </c>
      <c r="B8476" s="452" t="s">
        <v>6007</v>
      </c>
      <c r="C8476" s="452"/>
      <c r="D8476" s="452"/>
      <c r="E8476" s="8">
        <v>100000</v>
      </c>
      <c r="F8476" s="92">
        <f t="shared" si="168"/>
        <v>109471.87096774206</v>
      </c>
    </row>
    <row r="8477" spans="1:7" x14ac:dyDescent="0.25">
      <c r="A8477" s="204">
        <v>44137</v>
      </c>
      <c r="B8477" s="26" t="s">
        <v>7172</v>
      </c>
      <c r="C8477" s="26" t="s">
        <v>7171</v>
      </c>
      <c r="D8477" s="8">
        <v>20000</v>
      </c>
      <c r="E8477" s="8"/>
      <c r="F8477" s="92">
        <f t="shared" si="168"/>
        <v>89471.870967742056</v>
      </c>
      <c r="G8477" s="25"/>
    </row>
    <row r="8478" spans="1:7" x14ac:dyDescent="0.25">
      <c r="A8478" s="204">
        <v>44137</v>
      </c>
      <c r="B8478" s="26" t="s">
        <v>85</v>
      </c>
      <c r="C8478" s="26" t="s">
        <v>7108</v>
      </c>
      <c r="D8478" s="8">
        <f>200+100</f>
        <v>300</v>
      </c>
      <c r="E8478" s="8"/>
      <c r="F8478" s="92">
        <f t="shared" si="168"/>
        <v>89171.870967742056</v>
      </c>
    </row>
    <row r="8479" spans="1:7" x14ac:dyDescent="0.25">
      <c r="A8479" s="204">
        <v>44137</v>
      </c>
      <c r="B8479" s="26" t="s">
        <v>26</v>
      </c>
      <c r="C8479" s="26" t="s">
        <v>6430</v>
      </c>
      <c r="D8479" s="8">
        <v>100</v>
      </c>
      <c r="E8479" s="8"/>
      <c r="F8479" s="92">
        <f t="shared" si="168"/>
        <v>89071.870967742056</v>
      </c>
    </row>
    <row r="8480" spans="1:7" x14ac:dyDescent="0.25">
      <c r="A8480" s="204">
        <v>44137</v>
      </c>
      <c r="B8480" s="26" t="s">
        <v>14</v>
      </c>
      <c r="C8480" s="26" t="s">
        <v>295</v>
      </c>
      <c r="D8480" s="8">
        <v>5000</v>
      </c>
      <c r="E8480" s="8"/>
      <c r="F8480" s="92">
        <f t="shared" si="168"/>
        <v>84071.870967742056</v>
      </c>
    </row>
    <row r="8481" spans="1:6" x14ac:dyDescent="0.25">
      <c r="A8481" s="204">
        <v>44138</v>
      </c>
      <c r="B8481" s="26" t="s">
        <v>26</v>
      </c>
      <c r="C8481" s="26" t="s">
        <v>6795</v>
      </c>
      <c r="D8481" s="8">
        <f>700+290+60+290+60+540+60+280+760+130+290+160+300</f>
        <v>3920</v>
      </c>
      <c r="E8481" s="8"/>
      <c r="F8481" s="92">
        <f t="shared" si="168"/>
        <v>80151.870967742056</v>
      </c>
    </row>
    <row r="8482" spans="1:6" x14ac:dyDescent="0.25">
      <c r="A8482" s="204">
        <v>44138</v>
      </c>
      <c r="B8482" s="137" t="s">
        <v>4250</v>
      </c>
      <c r="C8482" s="137" t="s">
        <v>7173</v>
      </c>
      <c r="D8482" s="8">
        <v>1000</v>
      </c>
      <c r="E8482" s="8"/>
      <c r="F8482" s="92">
        <f t="shared" si="168"/>
        <v>79151.870967742056</v>
      </c>
    </row>
    <row r="8483" spans="1:6" x14ac:dyDescent="0.25">
      <c r="A8483" s="204">
        <v>44138</v>
      </c>
      <c r="B8483" s="26" t="s">
        <v>0</v>
      </c>
      <c r="C8483" s="26" t="s">
        <v>7126</v>
      </c>
      <c r="D8483" s="8">
        <v>5000</v>
      </c>
      <c r="E8483" s="8"/>
      <c r="F8483" s="92">
        <f t="shared" si="168"/>
        <v>74151.870967742056</v>
      </c>
    </row>
    <row r="8484" spans="1:6" ht="30" x14ac:dyDescent="0.25">
      <c r="A8484" s="204">
        <v>44138</v>
      </c>
      <c r="B8484" s="26" t="s">
        <v>19</v>
      </c>
      <c r="C8484" s="87" t="s">
        <v>7176</v>
      </c>
      <c r="D8484" s="8">
        <v>8500</v>
      </c>
      <c r="E8484" s="8"/>
      <c r="F8484" s="92">
        <f t="shared" si="168"/>
        <v>65651.870967742056</v>
      </c>
    </row>
    <row r="8485" spans="1:6" x14ac:dyDescent="0.25">
      <c r="A8485" s="204">
        <v>44139</v>
      </c>
      <c r="B8485" s="26" t="s">
        <v>2227</v>
      </c>
      <c r="C8485" s="26" t="s">
        <v>7177</v>
      </c>
      <c r="D8485" s="8">
        <v>20000</v>
      </c>
      <c r="E8485" s="8"/>
      <c r="F8485" s="92">
        <f t="shared" si="168"/>
        <v>45651.870967742056</v>
      </c>
    </row>
    <row r="8486" spans="1:6" x14ac:dyDescent="0.25">
      <c r="A8486" s="204">
        <v>44139</v>
      </c>
      <c r="B8486" s="26" t="s">
        <v>19</v>
      </c>
      <c r="C8486" s="26" t="s">
        <v>7181</v>
      </c>
      <c r="D8486" s="8">
        <v>1600</v>
      </c>
      <c r="E8486" s="8"/>
      <c r="F8486" s="92">
        <f t="shared" si="168"/>
        <v>44051.870967742056</v>
      </c>
    </row>
    <row r="8487" spans="1:6" x14ac:dyDescent="0.25">
      <c r="A8487" s="204">
        <v>44139</v>
      </c>
      <c r="B8487" s="26" t="s">
        <v>14</v>
      </c>
      <c r="C8487" s="26" t="s">
        <v>641</v>
      </c>
      <c r="D8487" s="8">
        <v>1000</v>
      </c>
      <c r="E8487" s="8"/>
      <c r="F8487" s="92">
        <f t="shared" si="168"/>
        <v>43051.870967742056</v>
      </c>
    </row>
    <row r="8488" spans="1:6" x14ac:dyDescent="0.25">
      <c r="A8488" s="204">
        <v>44139</v>
      </c>
      <c r="B8488" s="26" t="s">
        <v>85</v>
      </c>
      <c r="C8488" s="26" t="s">
        <v>7108</v>
      </c>
      <c r="D8488" s="8">
        <v>500</v>
      </c>
      <c r="E8488" s="8"/>
      <c r="F8488" s="92">
        <f t="shared" si="168"/>
        <v>42551.870967742056</v>
      </c>
    </row>
    <row r="8489" spans="1:6" x14ac:dyDescent="0.25">
      <c r="A8489" s="204">
        <v>44139</v>
      </c>
      <c r="B8489" s="26" t="s">
        <v>14</v>
      </c>
      <c r="C8489" s="26" t="s">
        <v>6500</v>
      </c>
      <c r="D8489" s="8">
        <v>9348</v>
      </c>
      <c r="E8489" s="8"/>
      <c r="F8489" s="92">
        <f t="shared" si="168"/>
        <v>33203.870967742056</v>
      </c>
    </row>
    <row r="8490" spans="1:6" x14ac:dyDescent="0.25">
      <c r="A8490" s="204">
        <v>44139</v>
      </c>
      <c r="B8490" s="26" t="s">
        <v>19</v>
      </c>
      <c r="C8490" s="26" t="s">
        <v>7180</v>
      </c>
      <c r="D8490" s="8">
        <v>5000</v>
      </c>
      <c r="E8490" s="8"/>
      <c r="F8490" s="92">
        <f t="shared" si="168"/>
        <v>28203.870967742056</v>
      </c>
    </row>
    <row r="8491" spans="1:6" x14ac:dyDescent="0.25">
      <c r="A8491" s="204">
        <v>44140</v>
      </c>
      <c r="B8491" s="26" t="s">
        <v>4776</v>
      </c>
      <c r="C8491" s="26" t="s">
        <v>295</v>
      </c>
      <c r="D8491" s="8">
        <v>20000</v>
      </c>
      <c r="E8491" s="8"/>
      <c r="F8491" s="92">
        <f t="shared" si="168"/>
        <v>8203.8709677420557</v>
      </c>
    </row>
    <row r="8492" spans="1:6" x14ac:dyDescent="0.25">
      <c r="A8492" s="204">
        <v>44140</v>
      </c>
      <c r="B8492" s="26" t="s">
        <v>19</v>
      </c>
      <c r="C8492" s="26" t="s">
        <v>3914</v>
      </c>
      <c r="D8492" s="8">
        <v>3000</v>
      </c>
      <c r="E8492" s="8"/>
      <c r="F8492" s="92">
        <f t="shared" si="168"/>
        <v>5203.8709677420557</v>
      </c>
    </row>
    <row r="8493" spans="1:6" x14ac:dyDescent="0.25">
      <c r="A8493" s="204">
        <v>44140</v>
      </c>
      <c r="B8493" s="26" t="s">
        <v>19</v>
      </c>
      <c r="C8493" s="26" t="s">
        <v>641</v>
      </c>
      <c r="D8493" s="8">
        <v>680</v>
      </c>
      <c r="E8493" s="8"/>
      <c r="F8493" s="92">
        <f t="shared" si="168"/>
        <v>4523.8709677420557</v>
      </c>
    </row>
    <row r="8494" spans="1:6" x14ac:dyDescent="0.25">
      <c r="A8494" s="204">
        <v>44141</v>
      </c>
      <c r="B8494" s="452" t="s">
        <v>7185</v>
      </c>
      <c r="C8494" s="452"/>
      <c r="D8494" s="452"/>
      <c r="E8494" s="8">
        <v>500000</v>
      </c>
      <c r="F8494" s="92">
        <f t="shared" si="168"/>
        <v>504523.87096774206</v>
      </c>
    </row>
    <row r="8495" spans="1:6" x14ac:dyDescent="0.25">
      <c r="A8495" s="204">
        <v>44141</v>
      </c>
      <c r="B8495" s="26" t="s">
        <v>5485</v>
      </c>
      <c r="C8495" s="26" t="s">
        <v>7184</v>
      </c>
      <c r="D8495" s="8">
        <v>3000</v>
      </c>
      <c r="E8495" s="8"/>
      <c r="F8495" s="92">
        <f t="shared" si="168"/>
        <v>501523.87096774206</v>
      </c>
    </row>
    <row r="8496" spans="1:6" x14ac:dyDescent="0.25">
      <c r="A8496" s="204">
        <v>44141</v>
      </c>
      <c r="B8496" s="162" t="s">
        <v>1515</v>
      </c>
      <c r="C8496" s="254" t="s">
        <v>7051</v>
      </c>
      <c r="D8496" s="8">
        <v>288039</v>
      </c>
      <c r="E8496" s="8"/>
      <c r="F8496" s="92">
        <f t="shared" si="168"/>
        <v>213484.87096774206</v>
      </c>
    </row>
    <row r="8497" spans="1:8" x14ac:dyDescent="0.25">
      <c r="A8497" s="204">
        <v>44141</v>
      </c>
      <c r="B8497" s="162" t="s">
        <v>1515</v>
      </c>
      <c r="C8497" s="254" t="s">
        <v>7034</v>
      </c>
      <c r="D8497" s="8">
        <v>117032</v>
      </c>
      <c r="E8497" s="8"/>
      <c r="F8497" s="92">
        <f t="shared" si="168"/>
        <v>96452.870967742056</v>
      </c>
    </row>
    <row r="8498" spans="1:8" x14ac:dyDescent="0.25">
      <c r="A8498" s="204">
        <v>44141</v>
      </c>
      <c r="B8498" s="162" t="s">
        <v>1515</v>
      </c>
      <c r="C8498" s="254" t="s">
        <v>6658</v>
      </c>
      <c r="D8498" s="8">
        <v>39556</v>
      </c>
      <c r="E8498" s="8"/>
      <c r="F8498" s="92">
        <f t="shared" si="168"/>
        <v>56896.870967742056</v>
      </c>
    </row>
    <row r="8499" spans="1:8" x14ac:dyDescent="0.25">
      <c r="A8499" s="204">
        <v>44141</v>
      </c>
      <c r="B8499" s="162" t="s">
        <v>1515</v>
      </c>
      <c r="C8499" s="254" t="s">
        <v>7186</v>
      </c>
      <c r="D8499" s="8">
        <v>35000</v>
      </c>
      <c r="E8499" s="8"/>
      <c r="F8499" s="92">
        <f t="shared" si="168"/>
        <v>21896.870967742056</v>
      </c>
      <c r="H8499" s="281"/>
    </row>
    <row r="8500" spans="1:8" x14ac:dyDescent="0.25">
      <c r="A8500" s="204">
        <v>44141</v>
      </c>
      <c r="B8500" s="162" t="s">
        <v>1515</v>
      </c>
      <c r="C8500" s="254" t="s">
        <v>75</v>
      </c>
      <c r="D8500" s="8">
        <v>6000</v>
      </c>
      <c r="E8500" s="8"/>
      <c r="F8500" s="92">
        <f t="shared" si="168"/>
        <v>15896.870967742056</v>
      </c>
    </row>
    <row r="8501" spans="1:8" x14ac:dyDescent="0.25">
      <c r="A8501" s="204">
        <v>44142</v>
      </c>
      <c r="B8501" s="452" t="s">
        <v>2963</v>
      </c>
      <c r="C8501" s="452"/>
      <c r="D8501" s="452"/>
      <c r="E8501" s="8">
        <v>400000</v>
      </c>
      <c r="F8501" s="92">
        <f t="shared" si="168"/>
        <v>415896.87096774206</v>
      </c>
    </row>
    <row r="8502" spans="1:8" x14ac:dyDescent="0.25">
      <c r="A8502" s="204">
        <v>44142</v>
      </c>
      <c r="B8502" s="162" t="s">
        <v>1515</v>
      </c>
      <c r="C8502" s="254" t="s">
        <v>14</v>
      </c>
      <c r="D8502" s="8">
        <v>50000</v>
      </c>
      <c r="E8502" s="8"/>
      <c r="F8502" s="92">
        <f t="shared" si="168"/>
        <v>365896.87096774206</v>
      </c>
    </row>
    <row r="8503" spans="1:8" x14ac:dyDescent="0.25">
      <c r="A8503" s="204">
        <v>44142</v>
      </c>
      <c r="B8503" s="26" t="s">
        <v>7188</v>
      </c>
      <c r="C8503" s="26" t="s">
        <v>7189</v>
      </c>
      <c r="D8503" s="8">
        <v>10000</v>
      </c>
      <c r="E8503" s="8"/>
      <c r="F8503" s="92">
        <f t="shared" si="168"/>
        <v>355896.87096774206</v>
      </c>
    </row>
    <row r="8504" spans="1:8" x14ac:dyDescent="0.25">
      <c r="A8504" s="204">
        <v>44142</v>
      </c>
      <c r="B8504" s="26" t="s">
        <v>1973</v>
      </c>
      <c r="C8504" s="26" t="s">
        <v>3615</v>
      </c>
      <c r="D8504" s="8">
        <v>50000</v>
      </c>
      <c r="E8504" s="8"/>
      <c r="F8504" s="92">
        <f t="shared" si="168"/>
        <v>305896.87096774206</v>
      </c>
    </row>
    <row r="8505" spans="1:8" x14ac:dyDescent="0.25">
      <c r="A8505" s="204">
        <v>44142</v>
      </c>
      <c r="B8505" s="162" t="s">
        <v>1515</v>
      </c>
      <c r="C8505" s="254" t="s">
        <v>7049</v>
      </c>
      <c r="D8505" s="8">
        <v>31750</v>
      </c>
      <c r="E8505" s="8"/>
      <c r="F8505" s="92">
        <f t="shared" si="168"/>
        <v>274146.87096774206</v>
      </c>
    </row>
    <row r="8506" spans="1:8" x14ac:dyDescent="0.25">
      <c r="A8506" s="204">
        <v>44142</v>
      </c>
      <c r="B8506" s="162" t="s">
        <v>1515</v>
      </c>
      <c r="C8506" s="254" t="s">
        <v>7190</v>
      </c>
      <c r="D8506" s="8">
        <v>97960</v>
      </c>
      <c r="E8506" s="8"/>
      <c r="F8506" s="92">
        <f t="shared" si="168"/>
        <v>176186.87096774206</v>
      </c>
    </row>
    <row r="8507" spans="1:8" x14ac:dyDescent="0.25">
      <c r="A8507" s="204">
        <v>44142</v>
      </c>
      <c r="B8507" s="162" t="s">
        <v>1515</v>
      </c>
      <c r="C8507" s="254" t="s">
        <v>6826</v>
      </c>
      <c r="D8507" s="8">
        <v>82339</v>
      </c>
      <c r="E8507" s="8"/>
      <c r="F8507" s="92">
        <f t="shared" si="168"/>
        <v>93847.870967742056</v>
      </c>
    </row>
    <row r="8508" spans="1:8" x14ac:dyDescent="0.25">
      <c r="A8508" s="204">
        <v>44142</v>
      </c>
      <c r="B8508" s="162" t="s">
        <v>1515</v>
      </c>
      <c r="C8508" s="254" t="s">
        <v>7047</v>
      </c>
      <c r="D8508" s="8">
        <v>48903</v>
      </c>
      <c r="E8508" s="8"/>
      <c r="F8508" s="92">
        <f t="shared" si="168"/>
        <v>44944.870967742056</v>
      </c>
    </row>
    <row r="8509" spans="1:8" x14ac:dyDescent="0.25">
      <c r="A8509" s="204">
        <v>44142</v>
      </c>
      <c r="B8509" s="162" t="s">
        <v>1515</v>
      </c>
      <c r="C8509" s="254" t="s">
        <v>7191</v>
      </c>
      <c r="D8509" s="8">
        <v>44960</v>
      </c>
      <c r="E8509" s="8"/>
      <c r="F8509" s="92">
        <f t="shared" si="168"/>
        <v>-15.129032257944345</v>
      </c>
    </row>
    <row r="8510" spans="1:8" x14ac:dyDescent="0.25">
      <c r="A8510" s="204">
        <v>44152</v>
      </c>
      <c r="B8510" s="452" t="s">
        <v>2963</v>
      </c>
      <c r="C8510" s="452"/>
      <c r="D8510" s="452"/>
      <c r="E8510" s="8">
        <v>80000</v>
      </c>
      <c r="F8510" s="92">
        <f>E8510</f>
        <v>80000</v>
      </c>
    </row>
    <row r="8511" spans="1:8" x14ac:dyDescent="0.25">
      <c r="A8511" s="204">
        <v>44152</v>
      </c>
      <c r="B8511" s="26" t="s">
        <v>26</v>
      </c>
      <c r="C8511" s="26" t="s">
        <v>6795</v>
      </c>
      <c r="D8511" s="8">
        <f>700+290+60+290+540+60+280+760+130+290+160+300+680+405</f>
        <v>4945</v>
      </c>
      <c r="E8511" s="8"/>
      <c r="F8511" s="92">
        <f t="shared" si="168"/>
        <v>75055</v>
      </c>
    </row>
    <row r="8512" spans="1:8" x14ac:dyDescent="0.25">
      <c r="A8512" s="204">
        <v>44152</v>
      </c>
      <c r="B8512" s="26" t="s">
        <v>111</v>
      </c>
      <c r="C8512" s="26" t="s">
        <v>7200</v>
      </c>
      <c r="D8512" s="8">
        <v>60000</v>
      </c>
      <c r="E8512" s="8"/>
      <c r="F8512" s="92">
        <f t="shared" si="168"/>
        <v>15055</v>
      </c>
    </row>
    <row r="8513" spans="1:7" x14ac:dyDescent="0.25">
      <c r="A8513" s="204">
        <v>44152</v>
      </c>
      <c r="B8513" s="452" t="s">
        <v>2963</v>
      </c>
      <c r="C8513" s="452"/>
      <c r="D8513" s="452"/>
      <c r="E8513" s="8">
        <v>3500</v>
      </c>
      <c r="F8513" s="92">
        <f t="shared" si="168"/>
        <v>18555</v>
      </c>
    </row>
    <row r="8514" spans="1:7" x14ac:dyDescent="0.25">
      <c r="A8514" s="204">
        <v>44152</v>
      </c>
      <c r="B8514" s="26" t="s">
        <v>1619</v>
      </c>
      <c r="C8514" s="26" t="s">
        <v>1661</v>
      </c>
      <c r="D8514" s="8">
        <v>1500</v>
      </c>
      <c r="E8514" s="8"/>
      <c r="F8514" s="92">
        <f t="shared" si="168"/>
        <v>17055</v>
      </c>
    </row>
    <row r="8515" spans="1:7" x14ac:dyDescent="0.25">
      <c r="A8515" s="204">
        <v>44152</v>
      </c>
      <c r="B8515" s="162" t="s">
        <v>1515</v>
      </c>
      <c r="C8515" s="254" t="s">
        <v>7206</v>
      </c>
      <c r="D8515" s="8">
        <v>5890</v>
      </c>
      <c r="E8515" s="8"/>
      <c r="F8515" s="92">
        <f t="shared" si="168"/>
        <v>11165</v>
      </c>
    </row>
    <row r="8516" spans="1:7" x14ac:dyDescent="0.25">
      <c r="A8516" s="204">
        <v>44153</v>
      </c>
      <c r="B8516" s="26" t="s">
        <v>1077</v>
      </c>
      <c r="C8516" s="26" t="s">
        <v>6926</v>
      </c>
      <c r="D8516" s="8">
        <f>4950+2520</f>
        <v>7470</v>
      </c>
      <c r="E8516" s="8"/>
      <c r="F8516" s="92">
        <f t="shared" si="168"/>
        <v>3695</v>
      </c>
    </row>
    <row r="8517" spans="1:7" x14ac:dyDescent="0.25">
      <c r="A8517" s="204">
        <v>44153</v>
      </c>
      <c r="B8517" s="26" t="s">
        <v>1077</v>
      </c>
      <c r="C8517" s="26" t="s">
        <v>6927</v>
      </c>
      <c r="D8517" s="8">
        <f>1980+970</f>
        <v>2950</v>
      </c>
      <c r="E8517" s="8"/>
      <c r="F8517" s="92">
        <f t="shared" si="168"/>
        <v>745</v>
      </c>
    </row>
    <row r="8518" spans="1:7" x14ac:dyDescent="0.25">
      <c r="A8518" s="204">
        <v>44153</v>
      </c>
      <c r="B8518" s="26" t="s">
        <v>1790</v>
      </c>
      <c r="C8518" s="26" t="s">
        <v>7207</v>
      </c>
      <c r="D8518" s="8">
        <v>500</v>
      </c>
      <c r="E8518" s="8"/>
      <c r="F8518" s="92">
        <f t="shared" si="168"/>
        <v>245</v>
      </c>
    </row>
    <row r="8519" spans="1:7" x14ac:dyDescent="0.25">
      <c r="A8519" s="204">
        <v>44153</v>
      </c>
      <c r="B8519" s="452" t="s">
        <v>7210</v>
      </c>
      <c r="C8519" s="452"/>
      <c r="D8519" s="452"/>
      <c r="E8519" s="8">
        <v>100000</v>
      </c>
      <c r="F8519" s="92">
        <f t="shared" ref="F8519:F8586" si="169">F8518+E8519-D8519</f>
        <v>100245</v>
      </c>
    </row>
    <row r="8520" spans="1:7" ht="30" x14ac:dyDescent="0.25">
      <c r="A8520" s="204">
        <v>44153</v>
      </c>
      <c r="B8520" s="26" t="s">
        <v>7208</v>
      </c>
      <c r="C8520" s="87" t="s">
        <v>7209</v>
      </c>
      <c r="D8520" s="8">
        <v>20000</v>
      </c>
      <c r="E8520" s="8"/>
      <c r="F8520" s="92">
        <f t="shared" si="169"/>
        <v>80245</v>
      </c>
    </row>
    <row r="8521" spans="1:7" x14ac:dyDescent="0.25">
      <c r="A8521" s="204">
        <v>44153</v>
      </c>
      <c r="B8521" s="26" t="s">
        <v>14</v>
      </c>
      <c r="C8521" s="26" t="s">
        <v>3914</v>
      </c>
      <c r="D8521" s="8">
        <v>15000</v>
      </c>
      <c r="E8521" s="8"/>
      <c r="F8521" s="92">
        <f t="shared" si="169"/>
        <v>65245</v>
      </c>
    </row>
    <row r="8522" spans="1:7" x14ac:dyDescent="0.25">
      <c r="A8522" s="204">
        <v>44153</v>
      </c>
      <c r="B8522" s="26" t="s">
        <v>11</v>
      </c>
      <c r="C8522" s="26" t="s">
        <v>7213</v>
      </c>
      <c r="D8522" s="8">
        <v>1000</v>
      </c>
      <c r="E8522" s="8"/>
      <c r="F8522" s="92">
        <f t="shared" si="169"/>
        <v>64245</v>
      </c>
    </row>
    <row r="8523" spans="1:7" x14ac:dyDescent="0.25">
      <c r="A8523" s="204">
        <v>44153</v>
      </c>
      <c r="B8523" s="26" t="s">
        <v>11</v>
      </c>
      <c r="C8523" s="26" t="s">
        <v>7214</v>
      </c>
      <c r="D8523" s="8">
        <v>4500</v>
      </c>
      <c r="E8523" s="8"/>
      <c r="F8523" s="92">
        <f t="shared" si="169"/>
        <v>59745</v>
      </c>
    </row>
    <row r="8524" spans="1:7" x14ac:dyDescent="0.25">
      <c r="A8524" s="204">
        <v>44153</v>
      </c>
      <c r="B8524" s="26" t="s">
        <v>7215</v>
      </c>
      <c r="C8524" s="26" t="s">
        <v>7216</v>
      </c>
      <c r="D8524" s="8">
        <v>3000</v>
      </c>
      <c r="E8524" s="8"/>
      <c r="F8524" s="92">
        <f t="shared" si="169"/>
        <v>56745</v>
      </c>
      <c r="G8524" s="25"/>
    </row>
    <row r="8525" spans="1:7" x14ac:dyDescent="0.25">
      <c r="A8525" s="204">
        <v>44153</v>
      </c>
      <c r="B8525" s="26" t="s">
        <v>6877</v>
      </c>
      <c r="C8525" s="26" t="s">
        <v>7217</v>
      </c>
      <c r="D8525" s="8">
        <v>33500</v>
      </c>
      <c r="E8525" s="8"/>
      <c r="F8525" s="92">
        <f t="shared" si="169"/>
        <v>23245</v>
      </c>
    </row>
    <row r="8526" spans="1:7" x14ac:dyDescent="0.25">
      <c r="A8526" s="204">
        <v>44153</v>
      </c>
      <c r="B8526" s="26" t="s">
        <v>85</v>
      </c>
      <c r="C8526" s="26" t="s">
        <v>7218</v>
      </c>
      <c r="D8526" s="8">
        <v>10000</v>
      </c>
      <c r="E8526" s="8"/>
      <c r="F8526" s="92">
        <f t="shared" si="169"/>
        <v>13245</v>
      </c>
    </row>
    <row r="8527" spans="1:7" x14ac:dyDescent="0.25">
      <c r="A8527" s="204">
        <v>44153</v>
      </c>
      <c r="B8527" s="26" t="s">
        <v>10</v>
      </c>
      <c r="C8527" s="26" t="s">
        <v>7219</v>
      </c>
      <c r="D8527" s="8">
        <v>2000</v>
      </c>
      <c r="E8527" s="8"/>
      <c r="F8527" s="92">
        <f t="shared" si="169"/>
        <v>11245</v>
      </c>
    </row>
    <row r="8528" spans="1:7" x14ac:dyDescent="0.25">
      <c r="A8528" s="204">
        <v>44153</v>
      </c>
      <c r="B8528" s="26" t="s">
        <v>11</v>
      </c>
      <c r="C8528" s="26" t="s">
        <v>7220</v>
      </c>
      <c r="D8528" s="8">
        <v>2830</v>
      </c>
      <c r="E8528" s="8"/>
      <c r="F8528" s="92">
        <f t="shared" si="169"/>
        <v>8415</v>
      </c>
    </row>
    <row r="8529" spans="1:6" x14ac:dyDescent="0.25">
      <c r="A8529" s="204">
        <v>44154</v>
      </c>
      <c r="B8529" s="452" t="s">
        <v>7210</v>
      </c>
      <c r="C8529" s="452"/>
      <c r="D8529" s="452"/>
      <c r="E8529" s="8">
        <v>100000</v>
      </c>
      <c r="F8529" s="92">
        <f t="shared" si="169"/>
        <v>108415</v>
      </c>
    </row>
    <row r="8530" spans="1:6" x14ac:dyDescent="0.25">
      <c r="A8530" s="204">
        <v>44154</v>
      </c>
      <c r="B8530" s="26" t="s">
        <v>1077</v>
      </c>
      <c r="C8530" s="26" t="s">
        <v>7223</v>
      </c>
      <c r="D8530" s="8">
        <v>18525</v>
      </c>
      <c r="E8530" s="8"/>
      <c r="F8530" s="92">
        <f t="shared" si="169"/>
        <v>89890</v>
      </c>
    </row>
    <row r="8531" spans="1:6" x14ac:dyDescent="0.25">
      <c r="A8531" s="204">
        <v>44154</v>
      </c>
      <c r="B8531" s="26" t="s">
        <v>1077</v>
      </c>
      <c r="C8531" s="26" t="s">
        <v>6045</v>
      </c>
      <c r="D8531" s="8">
        <v>7961</v>
      </c>
      <c r="E8531" s="8"/>
      <c r="F8531" s="92">
        <f t="shared" si="169"/>
        <v>81929</v>
      </c>
    </row>
    <row r="8532" spans="1:6" x14ac:dyDescent="0.25">
      <c r="A8532" s="204">
        <v>44155</v>
      </c>
      <c r="B8532" s="29" t="s">
        <v>3567</v>
      </c>
      <c r="C8532" s="29" t="s">
        <v>7224</v>
      </c>
      <c r="D8532" s="8">
        <v>4441</v>
      </c>
      <c r="E8532" s="8"/>
      <c r="F8532" s="92">
        <f t="shared" si="169"/>
        <v>77488</v>
      </c>
    </row>
    <row r="8533" spans="1:6" x14ac:dyDescent="0.25">
      <c r="A8533" s="204">
        <v>44155</v>
      </c>
      <c r="B8533" s="29" t="s">
        <v>6293</v>
      </c>
      <c r="C8533" s="29" t="s">
        <v>7225</v>
      </c>
      <c r="D8533" s="8">
        <v>20430</v>
      </c>
      <c r="E8533" s="8"/>
      <c r="F8533" s="92">
        <f t="shared" si="169"/>
        <v>57058</v>
      </c>
    </row>
    <row r="8534" spans="1:6" x14ac:dyDescent="0.25">
      <c r="A8534" s="204">
        <v>44155</v>
      </c>
      <c r="B8534" s="29" t="s">
        <v>5479</v>
      </c>
      <c r="C8534" s="29" t="s">
        <v>7226</v>
      </c>
      <c r="D8534" s="8">
        <v>75</v>
      </c>
      <c r="E8534" s="8"/>
      <c r="F8534" s="92">
        <f t="shared" si="169"/>
        <v>56983</v>
      </c>
    </row>
    <row r="8535" spans="1:6" x14ac:dyDescent="0.25">
      <c r="A8535" s="204">
        <v>44155</v>
      </c>
      <c r="B8535" s="29" t="s">
        <v>248</v>
      </c>
      <c r="C8535" s="29" t="s">
        <v>2016</v>
      </c>
      <c r="D8535" s="8">
        <v>150</v>
      </c>
      <c r="E8535" s="8"/>
      <c r="F8535" s="92">
        <f t="shared" si="169"/>
        <v>56833</v>
      </c>
    </row>
    <row r="8536" spans="1:6" x14ac:dyDescent="0.25">
      <c r="A8536" s="204">
        <v>44155</v>
      </c>
      <c r="B8536" s="26" t="s">
        <v>19</v>
      </c>
      <c r="C8536" s="26" t="s">
        <v>7227</v>
      </c>
      <c r="D8536" s="8">
        <v>2000</v>
      </c>
      <c r="E8536" s="8"/>
      <c r="F8536" s="92">
        <f t="shared" si="169"/>
        <v>54833</v>
      </c>
    </row>
    <row r="8537" spans="1:6" x14ac:dyDescent="0.25">
      <c r="A8537" s="204">
        <v>44155</v>
      </c>
      <c r="B8537" s="26" t="s">
        <v>0</v>
      </c>
      <c r="C8537" s="26" t="s">
        <v>3914</v>
      </c>
      <c r="D8537" s="8">
        <v>5000</v>
      </c>
      <c r="E8537" s="8"/>
      <c r="F8537" s="92">
        <f t="shared" si="169"/>
        <v>49833</v>
      </c>
    </row>
    <row r="8538" spans="1:6" x14ac:dyDescent="0.25">
      <c r="A8538" s="204">
        <v>44155</v>
      </c>
      <c r="B8538" s="26" t="s">
        <v>2351</v>
      </c>
      <c r="C8538" s="26" t="s">
        <v>295</v>
      </c>
      <c r="D8538" s="8">
        <v>2000</v>
      </c>
      <c r="E8538" s="8"/>
      <c r="F8538" s="92">
        <f t="shared" si="169"/>
        <v>47833</v>
      </c>
    </row>
    <row r="8539" spans="1:6" x14ac:dyDescent="0.25">
      <c r="A8539" s="204">
        <v>44155</v>
      </c>
      <c r="B8539" s="162" t="s">
        <v>1515</v>
      </c>
      <c r="C8539" s="254" t="s">
        <v>7228</v>
      </c>
      <c r="D8539" s="8">
        <v>35000</v>
      </c>
      <c r="E8539" s="8"/>
      <c r="F8539" s="92">
        <f t="shared" si="169"/>
        <v>12833</v>
      </c>
    </row>
    <row r="8540" spans="1:6" x14ac:dyDescent="0.25">
      <c r="A8540" s="204">
        <v>44156</v>
      </c>
      <c r="B8540" s="452" t="s">
        <v>2963</v>
      </c>
      <c r="C8540" s="452"/>
      <c r="D8540" s="452"/>
      <c r="E8540" s="8">
        <v>150000</v>
      </c>
      <c r="F8540" s="92">
        <f t="shared" si="169"/>
        <v>162833</v>
      </c>
    </row>
    <row r="8541" spans="1:6" x14ac:dyDescent="0.25">
      <c r="A8541" s="204">
        <v>44156</v>
      </c>
      <c r="B8541" s="162" t="s">
        <v>1515</v>
      </c>
      <c r="C8541" s="254" t="s">
        <v>7233</v>
      </c>
      <c r="D8541" s="8">
        <v>22065</v>
      </c>
      <c r="E8541" s="8"/>
      <c r="F8541" s="92">
        <f t="shared" si="169"/>
        <v>140768</v>
      </c>
    </row>
    <row r="8542" spans="1:6" x14ac:dyDescent="0.25">
      <c r="A8542" s="204">
        <v>44156</v>
      </c>
      <c r="B8542" s="26" t="s">
        <v>7234</v>
      </c>
      <c r="C8542" s="26" t="s">
        <v>7235</v>
      </c>
      <c r="D8542" s="8">
        <v>71782</v>
      </c>
      <c r="E8542" s="8"/>
      <c r="F8542" s="92">
        <f t="shared" si="169"/>
        <v>68986</v>
      </c>
    </row>
    <row r="8543" spans="1:6" x14ac:dyDescent="0.25">
      <c r="A8543" s="204">
        <v>44156</v>
      </c>
      <c r="B8543" s="137" t="s">
        <v>6877</v>
      </c>
      <c r="C8543" s="137" t="s">
        <v>7236</v>
      </c>
      <c r="D8543" s="139">
        <v>12000</v>
      </c>
      <c r="E8543" s="8"/>
      <c r="F8543" s="92">
        <f t="shared" si="169"/>
        <v>56986</v>
      </c>
    </row>
    <row r="8544" spans="1:6" x14ac:dyDescent="0.25">
      <c r="A8544" s="204">
        <v>44159</v>
      </c>
      <c r="B8544" s="26" t="s">
        <v>6485</v>
      </c>
      <c r="C8544" s="26" t="s">
        <v>7238</v>
      </c>
      <c r="D8544" s="8">
        <v>20200</v>
      </c>
      <c r="E8544" s="8"/>
      <c r="F8544" s="92">
        <f t="shared" si="169"/>
        <v>36786</v>
      </c>
    </row>
    <row r="8545" spans="1:6" x14ac:dyDescent="0.25">
      <c r="A8545" s="204">
        <v>44159</v>
      </c>
      <c r="B8545" s="26" t="s">
        <v>14</v>
      </c>
      <c r="C8545" s="26" t="s">
        <v>7246</v>
      </c>
      <c r="D8545" s="8">
        <v>5000</v>
      </c>
      <c r="E8545" s="8"/>
      <c r="F8545" s="92">
        <f t="shared" si="169"/>
        <v>31786</v>
      </c>
    </row>
    <row r="8546" spans="1:6" x14ac:dyDescent="0.25">
      <c r="A8546" s="204">
        <v>44159</v>
      </c>
      <c r="B8546" s="26" t="s">
        <v>6063</v>
      </c>
      <c r="C8546" s="26" t="s">
        <v>3175</v>
      </c>
      <c r="D8546" s="8">
        <v>900</v>
      </c>
      <c r="E8546" s="8"/>
      <c r="F8546" s="92">
        <f t="shared" si="169"/>
        <v>30886</v>
      </c>
    </row>
    <row r="8547" spans="1:6" x14ac:dyDescent="0.25">
      <c r="A8547" s="204">
        <v>44159</v>
      </c>
      <c r="B8547" s="26" t="s">
        <v>6063</v>
      </c>
      <c r="C8547" s="26" t="s">
        <v>7240</v>
      </c>
      <c r="D8547" s="8">
        <v>1000</v>
      </c>
      <c r="E8547" s="8"/>
      <c r="F8547" s="92">
        <f t="shared" si="169"/>
        <v>29886</v>
      </c>
    </row>
    <row r="8548" spans="1:6" x14ac:dyDescent="0.25">
      <c r="A8548" s="204">
        <v>44160</v>
      </c>
      <c r="B8548" s="26" t="s">
        <v>26</v>
      </c>
      <c r="C8548" s="26" t="s">
        <v>6795</v>
      </c>
      <c r="D8548" s="8">
        <f>800+40+1000+110+80+180+140+200+160+30+50+40+450+290+40</f>
        <v>3610</v>
      </c>
      <c r="E8548" s="8"/>
      <c r="F8548" s="92">
        <f t="shared" si="169"/>
        <v>26276</v>
      </c>
    </row>
    <row r="8549" spans="1:6" x14ac:dyDescent="0.25">
      <c r="A8549" s="204">
        <v>44160</v>
      </c>
      <c r="B8549" s="26" t="s">
        <v>1619</v>
      </c>
      <c r="C8549" s="26" t="s">
        <v>6922</v>
      </c>
      <c r="D8549" s="8">
        <v>600</v>
      </c>
      <c r="E8549" s="8"/>
      <c r="F8549" s="92">
        <f t="shared" si="169"/>
        <v>25676</v>
      </c>
    </row>
    <row r="8550" spans="1:6" x14ac:dyDescent="0.25">
      <c r="A8550" s="204">
        <v>44160</v>
      </c>
      <c r="B8550" s="26" t="s">
        <v>2951</v>
      </c>
      <c r="C8550" s="26" t="s">
        <v>65</v>
      </c>
      <c r="D8550" s="8">
        <v>1000</v>
      </c>
      <c r="E8550" s="8"/>
      <c r="F8550" s="92">
        <f t="shared" si="169"/>
        <v>24676</v>
      </c>
    </row>
    <row r="8551" spans="1:6" x14ac:dyDescent="0.25">
      <c r="A8551" s="204">
        <v>44160</v>
      </c>
      <c r="B8551" s="26" t="s">
        <v>3563</v>
      </c>
      <c r="C8551" s="26" t="s">
        <v>92</v>
      </c>
      <c r="D8551" s="8">
        <v>650</v>
      </c>
      <c r="E8551" s="8"/>
      <c r="F8551" s="92">
        <f t="shared" si="169"/>
        <v>24026</v>
      </c>
    </row>
    <row r="8552" spans="1:6" x14ac:dyDescent="0.25">
      <c r="A8552" s="204">
        <v>44160</v>
      </c>
      <c r="B8552" s="26" t="s">
        <v>0</v>
      </c>
      <c r="C8552" s="26" t="s">
        <v>3914</v>
      </c>
      <c r="D8552" s="8">
        <v>5000</v>
      </c>
      <c r="E8552" s="8"/>
      <c r="F8552" s="92">
        <f t="shared" si="169"/>
        <v>19026</v>
      </c>
    </row>
    <row r="8553" spans="1:6" x14ac:dyDescent="0.25">
      <c r="A8553" s="204">
        <v>44160</v>
      </c>
      <c r="B8553" s="26" t="s">
        <v>26</v>
      </c>
      <c r="C8553" s="26" t="s">
        <v>2028</v>
      </c>
      <c r="D8553" s="8">
        <v>100</v>
      </c>
      <c r="E8553" s="8"/>
      <c r="F8553" s="92">
        <f t="shared" si="169"/>
        <v>18926</v>
      </c>
    </row>
    <row r="8554" spans="1:6" x14ac:dyDescent="0.25">
      <c r="A8554" s="204">
        <v>44160</v>
      </c>
      <c r="B8554" s="26" t="s">
        <v>14</v>
      </c>
      <c r="C8554" s="26" t="s">
        <v>7244</v>
      </c>
      <c r="D8554" s="8">
        <v>6491</v>
      </c>
      <c r="E8554" s="8"/>
      <c r="F8554" s="92">
        <f t="shared" si="169"/>
        <v>12435</v>
      </c>
    </row>
    <row r="8555" spans="1:6" x14ac:dyDescent="0.25">
      <c r="A8555" s="204">
        <v>44160</v>
      </c>
      <c r="B8555" s="26" t="s">
        <v>26</v>
      </c>
      <c r="C8555" s="26" t="s">
        <v>7247</v>
      </c>
      <c r="D8555" s="8">
        <v>100</v>
      </c>
      <c r="E8555" s="8"/>
      <c r="F8555" s="92">
        <f t="shared" si="169"/>
        <v>12335</v>
      </c>
    </row>
    <row r="8556" spans="1:6" x14ac:dyDescent="0.25">
      <c r="A8556" s="204">
        <v>44161</v>
      </c>
      <c r="B8556" s="26" t="s">
        <v>85</v>
      </c>
      <c r="C8556" s="26" t="s">
        <v>7248</v>
      </c>
      <c r="D8556" s="8">
        <v>10000</v>
      </c>
      <c r="E8556" s="8"/>
      <c r="F8556" s="92">
        <f t="shared" si="169"/>
        <v>2335</v>
      </c>
    </row>
    <row r="8557" spans="1:6" x14ac:dyDescent="0.25">
      <c r="A8557" s="204">
        <v>44161</v>
      </c>
      <c r="B8557" s="26" t="s">
        <v>26</v>
      </c>
      <c r="C8557" s="26" t="s">
        <v>2028</v>
      </c>
      <c r="D8557" s="8">
        <v>100</v>
      </c>
      <c r="E8557" s="8"/>
      <c r="F8557" s="92">
        <f t="shared" si="169"/>
        <v>2235</v>
      </c>
    </row>
    <row r="8558" spans="1:6" x14ac:dyDescent="0.25">
      <c r="A8558" s="204">
        <v>44162</v>
      </c>
      <c r="B8558" s="452" t="s">
        <v>7210</v>
      </c>
      <c r="C8558" s="452"/>
      <c r="D8558" s="452"/>
      <c r="E8558" s="8">
        <v>100000</v>
      </c>
      <c r="F8558" s="92">
        <f t="shared" si="169"/>
        <v>102235</v>
      </c>
    </row>
    <row r="8559" spans="1:6" x14ac:dyDescent="0.25">
      <c r="A8559" s="204">
        <v>44162</v>
      </c>
      <c r="B8559" s="26" t="s">
        <v>6877</v>
      </c>
      <c r="C8559" s="26" t="s">
        <v>7249</v>
      </c>
      <c r="D8559" s="8">
        <v>10000</v>
      </c>
      <c r="E8559" s="8"/>
      <c r="F8559" s="92">
        <f t="shared" si="169"/>
        <v>92235</v>
      </c>
    </row>
    <row r="8560" spans="1:6" x14ac:dyDescent="0.25">
      <c r="A8560" s="204">
        <v>44162</v>
      </c>
      <c r="B8560" s="26" t="s">
        <v>26</v>
      </c>
      <c r="C8560" s="26" t="s">
        <v>7250</v>
      </c>
      <c r="D8560" s="8">
        <v>100</v>
      </c>
      <c r="E8560" s="8"/>
      <c r="F8560" s="92">
        <f t="shared" si="169"/>
        <v>92135</v>
      </c>
    </row>
    <row r="8561" spans="1:7" x14ac:dyDescent="0.25">
      <c r="A8561" s="204">
        <v>44162</v>
      </c>
      <c r="B8561" s="26" t="s">
        <v>1619</v>
      </c>
      <c r="C8561" s="26" t="s">
        <v>7253</v>
      </c>
      <c r="D8561" s="8">
        <v>1000</v>
      </c>
      <c r="E8561" s="8"/>
      <c r="F8561" s="92">
        <f t="shared" si="169"/>
        <v>91135</v>
      </c>
    </row>
    <row r="8562" spans="1:7" x14ac:dyDescent="0.25">
      <c r="A8562" s="204">
        <v>44163</v>
      </c>
      <c r="B8562" s="26" t="s">
        <v>7251</v>
      </c>
      <c r="C8562" s="26" t="s">
        <v>7252</v>
      </c>
      <c r="D8562" s="8">
        <v>2000</v>
      </c>
      <c r="E8562" s="8"/>
      <c r="F8562" s="92">
        <f t="shared" si="169"/>
        <v>89135</v>
      </c>
    </row>
    <row r="8563" spans="1:7" x14ac:dyDescent="0.25">
      <c r="A8563" s="204">
        <v>44163</v>
      </c>
      <c r="B8563" s="26" t="s">
        <v>85</v>
      </c>
      <c r="C8563" s="26" t="s">
        <v>7254</v>
      </c>
      <c r="D8563" s="8">
        <v>1000</v>
      </c>
      <c r="E8563" s="8"/>
      <c r="F8563" s="92">
        <f t="shared" si="169"/>
        <v>88135</v>
      </c>
    </row>
    <row r="8564" spans="1:7" x14ac:dyDescent="0.25">
      <c r="A8564" s="204">
        <v>44163</v>
      </c>
      <c r="B8564" s="26" t="s">
        <v>14</v>
      </c>
      <c r="C8564" s="26" t="s">
        <v>7256</v>
      </c>
      <c r="D8564" s="8">
        <v>20000</v>
      </c>
      <c r="E8564" s="8"/>
      <c r="F8564" s="92">
        <f t="shared" si="169"/>
        <v>68135</v>
      </c>
    </row>
    <row r="8565" spans="1:7" x14ac:dyDescent="0.25">
      <c r="A8565" s="204">
        <v>44163</v>
      </c>
      <c r="B8565" s="26" t="s">
        <v>85</v>
      </c>
      <c r="C8565" s="26" t="s">
        <v>7255</v>
      </c>
      <c r="D8565" s="8">
        <v>1000</v>
      </c>
      <c r="E8565" s="8"/>
      <c r="F8565" s="92">
        <f t="shared" si="169"/>
        <v>67135</v>
      </c>
    </row>
    <row r="8566" spans="1:7" x14ac:dyDescent="0.25">
      <c r="A8566" s="204">
        <v>44165</v>
      </c>
      <c r="B8566" s="26" t="s">
        <v>5201</v>
      </c>
      <c r="C8566" s="26" t="s">
        <v>7257</v>
      </c>
      <c r="D8566" s="8">
        <v>8000</v>
      </c>
      <c r="E8566" s="8"/>
      <c r="F8566" s="92">
        <f t="shared" si="169"/>
        <v>59135</v>
      </c>
    </row>
    <row r="8567" spans="1:7" x14ac:dyDescent="0.25">
      <c r="A8567" s="204">
        <v>44165</v>
      </c>
      <c r="B8567" s="26" t="s">
        <v>7258</v>
      </c>
      <c r="C8567" s="26" t="s">
        <v>7260</v>
      </c>
      <c r="D8567" s="8">
        <v>20000</v>
      </c>
      <c r="E8567" s="8"/>
      <c r="F8567" s="92">
        <f t="shared" si="169"/>
        <v>39135</v>
      </c>
    </row>
    <row r="8568" spans="1:7" x14ac:dyDescent="0.25">
      <c r="A8568" s="204">
        <v>44166</v>
      </c>
      <c r="B8568" s="26" t="s">
        <v>14</v>
      </c>
      <c r="C8568" s="26" t="s">
        <v>7261</v>
      </c>
      <c r="D8568" s="8">
        <v>3546</v>
      </c>
      <c r="E8568" s="8"/>
      <c r="F8568" s="92">
        <f t="shared" si="169"/>
        <v>35589</v>
      </c>
      <c r="G8568" s="25"/>
    </row>
    <row r="8569" spans="1:7" x14ac:dyDescent="0.25">
      <c r="A8569" s="204">
        <v>44166</v>
      </c>
      <c r="B8569" s="39" t="s">
        <v>2573</v>
      </c>
      <c r="C8569" s="39" t="s">
        <v>7262</v>
      </c>
      <c r="D8569" s="10">
        <f>580+380+527</f>
        <v>1487</v>
      </c>
      <c r="F8569" s="92">
        <f t="shared" si="169"/>
        <v>34102</v>
      </c>
    </row>
    <row r="8570" spans="1:7" x14ac:dyDescent="0.25">
      <c r="A8570" s="204">
        <v>44166</v>
      </c>
      <c r="B8570" s="452" t="s">
        <v>7210</v>
      </c>
      <c r="C8570" s="452"/>
      <c r="D8570" s="452"/>
      <c r="E8570" s="8">
        <v>100000</v>
      </c>
      <c r="F8570" s="92">
        <f t="shared" si="169"/>
        <v>134102</v>
      </c>
    </row>
    <row r="8571" spans="1:7" x14ac:dyDescent="0.25">
      <c r="A8571" s="204">
        <v>44166</v>
      </c>
      <c r="B8571" s="26" t="s">
        <v>6569</v>
      </c>
      <c r="C8571" s="26" t="s">
        <v>7264</v>
      </c>
      <c r="D8571" s="8">
        <v>5000</v>
      </c>
      <c r="E8571" s="8"/>
      <c r="F8571" s="92">
        <f t="shared" si="169"/>
        <v>129102</v>
      </c>
    </row>
    <row r="8572" spans="1:7" x14ac:dyDescent="0.25">
      <c r="A8572" s="204">
        <v>44166</v>
      </c>
      <c r="B8572" s="26" t="s">
        <v>26</v>
      </c>
      <c r="C8572" s="26" t="s">
        <v>7263</v>
      </c>
      <c r="D8572" s="8">
        <v>120</v>
      </c>
      <c r="E8572" s="8"/>
      <c r="F8572" s="92">
        <f t="shared" si="169"/>
        <v>128982</v>
      </c>
    </row>
    <row r="8573" spans="1:7" x14ac:dyDescent="0.25">
      <c r="A8573" s="204">
        <v>44166</v>
      </c>
      <c r="B8573" s="26" t="s">
        <v>19</v>
      </c>
      <c r="C8573" s="26" t="s">
        <v>7266</v>
      </c>
      <c r="D8573" s="8">
        <v>2500</v>
      </c>
      <c r="E8573" s="8"/>
      <c r="F8573" s="92">
        <f t="shared" si="169"/>
        <v>126482</v>
      </c>
    </row>
    <row r="8574" spans="1:7" x14ac:dyDescent="0.25">
      <c r="A8574" s="204">
        <v>44166</v>
      </c>
      <c r="B8574" s="26" t="s">
        <v>26</v>
      </c>
      <c r="C8574" s="26" t="s">
        <v>3921</v>
      </c>
      <c r="D8574" s="8">
        <v>350</v>
      </c>
      <c r="E8574" s="8"/>
      <c r="F8574" s="92">
        <f t="shared" si="169"/>
        <v>126132</v>
      </c>
    </row>
    <row r="8575" spans="1:7" x14ac:dyDescent="0.25">
      <c r="A8575" s="204">
        <v>44166</v>
      </c>
      <c r="B8575" s="26" t="s">
        <v>26</v>
      </c>
      <c r="C8575" s="26" t="s">
        <v>7270</v>
      </c>
      <c r="D8575" s="8">
        <v>50</v>
      </c>
      <c r="E8575" s="8"/>
      <c r="F8575" s="92">
        <f t="shared" si="169"/>
        <v>126082</v>
      </c>
    </row>
    <row r="8576" spans="1:7" x14ac:dyDescent="0.25">
      <c r="A8576" s="204">
        <v>44166</v>
      </c>
      <c r="B8576" s="26" t="s">
        <v>6626</v>
      </c>
      <c r="C8576" s="26" t="s">
        <v>7267</v>
      </c>
      <c r="D8576" s="8">
        <v>12900</v>
      </c>
      <c r="E8576" s="8"/>
      <c r="F8576" s="92">
        <f t="shared" si="169"/>
        <v>113182</v>
      </c>
    </row>
    <row r="8577" spans="1:6" x14ac:dyDescent="0.25">
      <c r="A8577" s="204">
        <v>44166</v>
      </c>
      <c r="B8577" s="26" t="s">
        <v>7268</v>
      </c>
      <c r="C8577" s="26" t="s">
        <v>7269</v>
      </c>
      <c r="D8577" s="8">
        <v>4750</v>
      </c>
      <c r="E8577" s="8"/>
      <c r="F8577" s="92">
        <f t="shared" si="169"/>
        <v>108432</v>
      </c>
    </row>
    <row r="8578" spans="1:6" x14ac:dyDescent="0.25">
      <c r="A8578" s="204">
        <v>44167</v>
      </c>
      <c r="B8578" s="26" t="s">
        <v>11</v>
      </c>
      <c r="C8578" s="26" t="s">
        <v>7271</v>
      </c>
      <c r="D8578" s="8">
        <v>2000</v>
      </c>
      <c r="E8578" s="8"/>
      <c r="F8578" s="92">
        <f t="shared" si="169"/>
        <v>106432</v>
      </c>
    </row>
    <row r="8579" spans="1:6" x14ac:dyDescent="0.25">
      <c r="A8579" s="204">
        <v>44167</v>
      </c>
      <c r="B8579" s="26" t="s">
        <v>4602</v>
      </c>
      <c r="C8579" s="26" t="s">
        <v>7274</v>
      </c>
      <c r="D8579" s="8">
        <v>3000</v>
      </c>
      <c r="E8579" s="8"/>
      <c r="F8579" s="92">
        <f t="shared" si="169"/>
        <v>103432</v>
      </c>
    </row>
    <row r="8580" spans="1:6" x14ac:dyDescent="0.25">
      <c r="A8580" s="204">
        <v>44167</v>
      </c>
      <c r="B8580" s="26" t="s">
        <v>2321</v>
      </c>
      <c r="C8580" s="26" t="s">
        <v>7272</v>
      </c>
      <c r="D8580" s="8">
        <v>30000</v>
      </c>
      <c r="E8580" s="8"/>
      <c r="F8580" s="92">
        <f t="shared" si="169"/>
        <v>73432</v>
      </c>
    </row>
    <row r="8581" spans="1:6" x14ac:dyDescent="0.25">
      <c r="A8581" s="204">
        <v>44167</v>
      </c>
      <c r="B8581" s="26" t="s">
        <v>6877</v>
      </c>
      <c r="C8581" s="26" t="s">
        <v>7273</v>
      </c>
      <c r="D8581" s="8">
        <v>1100</v>
      </c>
      <c r="E8581" s="8"/>
      <c r="F8581" s="92">
        <f t="shared" si="169"/>
        <v>72332</v>
      </c>
    </row>
    <row r="8582" spans="1:6" x14ac:dyDescent="0.25">
      <c r="A8582" s="204">
        <v>44168</v>
      </c>
      <c r="B8582" s="29" t="s">
        <v>19</v>
      </c>
      <c r="C8582" s="29" t="s">
        <v>7275</v>
      </c>
      <c r="D8582" s="8">
        <v>5470</v>
      </c>
      <c r="E8582" s="8"/>
      <c r="F8582" s="92">
        <f t="shared" si="169"/>
        <v>66862</v>
      </c>
    </row>
    <row r="8583" spans="1:6" x14ac:dyDescent="0.25">
      <c r="A8583" s="204">
        <v>44168</v>
      </c>
      <c r="B8583" s="29" t="s">
        <v>7277</v>
      </c>
      <c r="C8583" s="29" t="s">
        <v>7280</v>
      </c>
      <c r="D8583" s="8">
        <v>50000</v>
      </c>
      <c r="E8583" s="8"/>
      <c r="F8583" s="92">
        <f t="shared" si="169"/>
        <v>16862</v>
      </c>
    </row>
    <row r="8584" spans="1:6" x14ac:dyDescent="0.25">
      <c r="A8584" s="204">
        <v>44168</v>
      </c>
      <c r="B8584" s="26" t="s">
        <v>85</v>
      </c>
      <c r="C8584" s="26" t="s">
        <v>7276</v>
      </c>
      <c r="D8584" s="8">
        <v>10000</v>
      </c>
      <c r="E8584" s="8"/>
      <c r="F8584" s="92">
        <f t="shared" si="169"/>
        <v>6862</v>
      </c>
    </row>
    <row r="8585" spans="1:6" x14ac:dyDescent="0.25">
      <c r="A8585" s="204">
        <v>44168</v>
      </c>
      <c r="B8585" s="26" t="s">
        <v>3563</v>
      </c>
      <c r="C8585" s="26" t="s">
        <v>7278</v>
      </c>
      <c r="D8585" s="8">
        <v>4200</v>
      </c>
      <c r="E8585" s="8"/>
      <c r="F8585" s="92">
        <f t="shared" si="169"/>
        <v>2662</v>
      </c>
    </row>
    <row r="8586" spans="1:6" x14ac:dyDescent="0.25">
      <c r="A8586" s="204">
        <v>44169</v>
      </c>
      <c r="B8586" s="26" t="s">
        <v>26</v>
      </c>
      <c r="C8586" s="26" t="s">
        <v>6795</v>
      </c>
      <c r="D8586" s="8">
        <f>900+340+100+100+290+300+90+600+90+100+50+20</f>
        <v>2980</v>
      </c>
      <c r="E8586" s="8"/>
      <c r="F8586" s="92">
        <f t="shared" si="169"/>
        <v>-318</v>
      </c>
    </row>
    <row r="8587" spans="1:6" x14ac:dyDescent="0.25">
      <c r="A8587" s="204">
        <v>44169</v>
      </c>
      <c r="B8587" s="452" t="s">
        <v>6007</v>
      </c>
      <c r="C8587" s="452"/>
      <c r="D8587" s="452"/>
      <c r="E8587" s="8">
        <v>50000</v>
      </c>
      <c r="F8587" s="92">
        <f>E8587</f>
        <v>50000</v>
      </c>
    </row>
    <row r="8588" spans="1:6" x14ac:dyDescent="0.25">
      <c r="A8588" s="204">
        <v>44169</v>
      </c>
      <c r="B8588" s="29" t="s">
        <v>0</v>
      </c>
      <c r="C8588" s="89" t="s">
        <v>7291</v>
      </c>
      <c r="D8588" s="8">
        <v>10000</v>
      </c>
      <c r="E8588" s="8"/>
      <c r="F8588" s="92">
        <f>F8587+E8588-D8588</f>
        <v>40000</v>
      </c>
    </row>
    <row r="8589" spans="1:6" x14ac:dyDescent="0.25">
      <c r="A8589" s="204">
        <v>44169</v>
      </c>
      <c r="B8589" s="26" t="s">
        <v>5485</v>
      </c>
      <c r="C8589" s="26" t="s">
        <v>7282</v>
      </c>
      <c r="D8589" s="8">
        <v>600</v>
      </c>
      <c r="E8589" s="8"/>
      <c r="F8589" s="92">
        <f>F8588+E8589-D8589</f>
        <v>39400</v>
      </c>
    </row>
    <row r="8590" spans="1:6" x14ac:dyDescent="0.25">
      <c r="A8590" s="204">
        <v>44170</v>
      </c>
      <c r="B8590" s="26" t="s">
        <v>7188</v>
      </c>
      <c r="C8590" s="26" t="s">
        <v>7283</v>
      </c>
      <c r="D8590" s="8">
        <v>25000</v>
      </c>
      <c r="E8590" s="8"/>
      <c r="F8590" s="92">
        <f>F8589+E8590-D8590</f>
        <v>14400</v>
      </c>
    </row>
    <row r="8591" spans="1:6" x14ac:dyDescent="0.25">
      <c r="A8591" s="204">
        <v>44170</v>
      </c>
      <c r="B8591" s="26" t="s">
        <v>6877</v>
      </c>
      <c r="C8591" s="26" t="s">
        <v>7285</v>
      </c>
      <c r="D8591" s="8">
        <v>300</v>
      </c>
      <c r="E8591" s="8"/>
      <c r="F8591" s="92">
        <f t="shared" ref="F8591:F8650" si="170">F8590+E8591-D8591</f>
        <v>14100</v>
      </c>
    </row>
    <row r="8592" spans="1:6" x14ac:dyDescent="0.25">
      <c r="A8592" s="204">
        <v>44170</v>
      </c>
      <c r="B8592" s="26" t="s">
        <v>0</v>
      </c>
      <c r="C8592" s="26" t="s">
        <v>6167</v>
      </c>
      <c r="D8592" s="8">
        <v>1000</v>
      </c>
      <c r="E8592" s="8"/>
      <c r="F8592" s="92">
        <f t="shared" si="170"/>
        <v>13100</v>
      </c>
    </row>
    <row r="8593" spans="1:6" ht="30" x14ac:dyDescent="0.25">
      <c r="A8593" s="204">
        <v>44170</v>
      </c>
      <c r="B8593" s="26" t="s">
        <v>85</v>
      </c>
      <c r="C8593" s="87" t="s">
        <v>7290</v>
      </c>
      <c r="D8593" s="8">
        <v>10000</v>
      </c>
      <c r="E8593" s="8"/>
      <c r="F8593" s="92">
        <f t="shared" si="170"/>
        <v>3100</v>
      </c>
    </row>
    <row r="8594" spans="1:6" x14ac:dyDescent="0.25">
      <c r="A8594" s="204">
        <v>44172</v>
      </c>
      <c r="B8594" s="26" t="s">
        <v>14</v>
      </c>
      <c r="C8594" s="26" t="s">
        <v>3908</v>
      </c>
      <c r="D8594" s="8">
        <v>1000</v>
      </c>
      <c r="E8594" s="8"/>
      <c r="F8594" s="92">
        <f t="shared" si="170"/>
        <v>2100</v>
      </c>
    </row>
    <row r="8595" spans="1:6" x14ac:dyDescent="0.25">
      <c r="A8595" s="204">
        <v>44172</v>
      </c>
      <c r="B8595" s="29" t="s">
        <v>26</v>
      </c>
      <c r="C8595" s="29" t="s">
        <v>6795</v>
      </c>
      <c r="D8595" s="8">
        <f>300+700+130+290+120+50+60+60+40</f>
        <v>1750</v>
      </c>
      <c r="E8595" s="8"/>
      <c r="F8595" s="92">
        <f t="shared" si="170"/>
        <v>350</v>
      </c>
    </row>
    <row r="8596" spans="1:6" x14ac:dyDescent="0.25">
      <c r="A8596" s="204">
        <v>44172</v>
      </c>
      <c r="B8596" s="452" t="s">
        <v>6007</v>
      </c>
      <c r="C8596" s="452"/>
      <c r="D8596" s="452"/>
      <c r="E8596" s="8">
        <v>500000</v>
      </c>
      <c r="F8596" s="92">
        <f t="shared" si="170"/>
        <v>500350</v>
      </c>
    </row>
    <row r="8597" spans="1:6" x14ac:dyDescent="0.25">
      <c r="A8597" s="204">
        <v>44172</v>
      </c>
      <c r="B8597" s="26" t="s">
        <v>111</v>
      </c>
      <c r="C8597" s="26" t="s">
        <v>641</v>
      </c>
      <c r="D8597" s="8">
        <v>3000</v>
      </c>
      <c r="E8597" s="8"/>
      <c r="F8597" s="92">
        <f t="shared" si="170"/>
        <v>497350</v>
      </c>
    </row>
    <row r="8598" spans="1:6" ht="30" x14ac:dyDescent="0.25">
      <c r="A8598" s="204">
        <v>44172</v>
      </c>
      <c r="B8598" s="26" t="s">
        <v>58</v>
      </c>
      <c r="C8598" s="87" t="s">
        <v>7294</v>
      </c>
      <c r="D8598" s="8">
        <v>2110</v>
      </c>
      <c r="E8598" s="8"/>
      <c r="F8598" s="92">
        <f t="shared" si="170"/>
        <v>495240</v>
      </c>
    </row>
    <row r="8599" spans="1:6" x14ac:dyDescent="0.25">
      <c r="A8599" s="204">
        <v>44172</v>
      </c>
      <c r="B8599" s="26" t="s">
        <v>85</v>
      </c>
      <c r="C8599" s="87" t="s">
        <v>7293</v>
      </c>
      <c r="D8599" s="8">
        <v>10000</v>
      </c>
      <c r="E8599" s="8"/>
      <c r="F8599" s="92">
        <f t="shared" si="170"/>
        <v>485240</v>
      </c>
    </row>
    <row r="8600" spans="1:6" x14ac:dyDescent="0.25">
      <c r="A8600" s="204">
        <v>44172</v>
      </c>
      <c r="B8600" s="29" t="s">
        <v>26</v>
      </c>
      <c r="C8600" s="29" t="s">
        <v>6795</v>
      </c>
      <c r="D8600" s="8">
        <f>90+140</f>
        <v>230</v>
      </c>
      <c r="E8600" s="8"/>
      <c r="F8600" s="92">
        <f t="shared" si="170"/>
        <v>485010</v>
      </c>
    </row>
    <row r="8601" spans="1:6" x14ac:dyDescent="0.25">
      <c r="A8601" s="204">
        <v>44173</v>
      </c>
      <c r="B8601" s="162" t="s">
        <v>1515</v>
      </c>
      <c r="C8601" s="254" t="s">
        <v>7034</v>
      </c>
      <c r="D8601" s="8">
        <v>105759</v>
      </c>
      <c r="E8601" s="8"/>
      <c r="F8601" s="92">
        <f t="shared" si="170"/>
        <v>379251</v>
      </c>
    </row>
    <row r="8602" spans="1:6" x14ac:dyDescent="0.25">
      <c r="A8602" s="204">
        <v>44173</v>
      </c>
      <c r="B8602" s="162" t="s">
        <v>1515</v>
      </c>
      <c r="C8602" s="254" t="s">
        <v>6826</v>
      </c>
      <c r="D8602" s="8">
        <v>84658</v>
      </c>
      <c r="E8602" s="8"/>
      <c r="F8602" s="92">
        <f t="shared" si="170"/>
        <v>294593</v>
      </c>
    </row>
    <row r="8603" spans="1:6" x14ac:dyDescent="0.25">
      <c r="A8603" s="204">
        <v>44173</v>
      </c>
      <c r="B8603" s="162" t="s">
        <v>1515</v>
      </c>
      <c r="C8603" s="254" t="s">
        <v>7297</v>
      </c>
      <c r="D8603" s="8">
        <v>174988</v>
      </c>
      <c r="E8603" s="8"/>
      <c r="F8603" s="92">
        <f t="shared" si="170"/>
        <v>119605</v>
      </c>
    </row>
    <row r="8604" spans="1:6" x14ac:dyDescent="0.25">
      <c r="A8604" s="204">
        <v>44173</v>
      </c>
      <c r="B8604" s="162" t="s">
        <v>1515</v>
      </c>
      <c r="C8604" s="254" t="s">
        <v>7050</v>
      </c>
      <c r="D8604" s="8">
        <v>68950</v>
      </c>
      <c r="E8604" s="8"/>
      <c r="F8604" s="92">
        <f t="shared" si="170"/>
        <v>50655</v>
      </c>
    </row>
    <row r="8605" spans="1:6" x14ac:dyDescent="0.25">
      <c r="A8605" s="204">
        <v>44173</v>
      </c>
      <c r="B8605" s="162" t="s">
        <v>1515</v>
      </c>
      <c r="C8605" s="254" t="s">
        <v>7295</v>
      </c>
      <c r="D8605" s="8">
        <v>43800</v>
      </c>
      <c r="E8605" s="8"/>
      <c r="F8605" s="92">
        <f t="shared" si="170"/>
        <v>6855</v>
      </c>
    </row>
    <row r="8606" spans="1:6" x14ac:dyDescent="0.25">
      <c r="A8606" s="204">
        <v>44173</v>
      </c>
      <c r="B8606" s="26" t="s">
        <v>6877</v>
      </c>
      <c r="C8606" s="26" t="s">
        <v>7299</v>
      </c>
      <c r="D8606" s="8">
        <v>3000</v>
      </c>
      <c r="E8606" s="8"/>
      <c r="F8606" s="92">
        <f t="shared" si="170"/>
        <v>3855</v>
      </c>
    </row>
    <row r="8607" spans="1:6" x14ac:dyDescent="0.25">
      <c r="A8607" s="204">
        <v>44173</v>
      </c>
      <c r="B8607" s="26" t="s">
        <v>11</v>
      </c>
      <c r="C8607" s="26" t="s">
        <v>7296</v>
      </c>
      <c r="D8607" s="8">
        <v>800</v>
      </c>
      <c r="E8607" s="8"/>
      <c r="F8607" s="92">
        <f t="shared" si="170"/>
        <v>3055</v>
      </c>
    </row>
    <row r="8608" spans="1:6" x14ac:dyDescent="0.25">
      <c r="A8608" s="204">
        <v>44173</v>
      </c>
      <c r="B8608" s="26" t="s">
        <v>26</v>
      </c>
      <c r="C8608" s="26" t="s">
        <v>7298</v>
      </c>
      <c r="D8608" s="8">
        <v>1000</v>
      </c>
      <c r="E8608" s="8"/>
      <c r="F8608" s="92">
        <f t="shared" si="170"/>
        <v>2055</v>
      </c>
    </row>
    <row r="8609" spans="1:6" x14ac:dyDescent="0.25">
      <c r="A8609" s="204">
        <v>44173</v>
      </c>
      <c r="B8609" s="26" t="s">
        <v>26</v>
      </c>
      <c r="C8609" s="26" t="s">
        <v>7302</v>
      </c>
      <c r="D8609" s="8">
        <v>115</v>
      </c>
      <c r="E8609" s="8"/>
      <c r="F8609" s="92">
        <f t="shared" si="170"/>
        <v>1940</v>
      </c>
    </row>
    <row r="8610" spans="1:6" x14ac:dyDescent="0.25">
      <c r="A8610" s="204">
        <v>44173</v>
      </c>
      <c r="B8610" s="26" t="s">
        <v>4252</v>
      </c>
      <c r="C8610" s="26" t="s">
        <v>7303</v>
      </c>
      <c r="D8610" s="8">
        <v>120</v>
      </c>
      <c r="E8610" s="8"/>
      <c r="F8610" s="92">
        <f t="shared" si="170"/>
        <v>1820</v>
      </c>
    </row>
    <row r="8611" spans="1:6" x14ac:dyDescent="0.25">
      <c r="A8611" s="204">
        <v>44174</v>
      </c>
      <c r="B8611" s="26" t="s">
        <v>1790</v>
      </c>
      <c r="C8611" s="26" t="s">
        <v>7301</v>
      </c>
      <c r="D8611" s="8">
        <v>1500</v>
      </c>
      <c r="E8611" s="8"/>
      <c r="F8611" s="92">
        <f t="shared" si="170"/>
        <v>320</v>
      </c>
    </row>
    <row r="8612" spans="1:6" x14ac:dyDescent="0.25">
      <c r="A8612" s="204">
        <v>44174</v>
      </c>
      <c r="B8612" s="452" t="s">
        <v>4110</v>
      </c>
      <c r="C8612" s="452"/>
      <c r="D8612" s="452"/>
      <c r="E8612" s="8">
        <v>450000</v>
      </c>
      <c r="F8612" s="92">
        <f t="shared" si="170"/>
        <v>450320</v>
      </c>
    </row>
    <row r="8613" spans="1:6" x14ac:dyDescent="0.25">
      <c r="A8613" s="204">
        <v>44174</v>
      </c>
      <c r="B8613" s="162" t="s">
        <v>1515</v>
      </c>
      <c r="C8613" s="254" t="s">
        <v>7305</v>
      </c>
      <c r="D8613" s="8">
        <f>165206+1500</f>
        <v>166706</v>
      </c>
      <c r="E8613" s="8"/>
      <c r="F8613" s="92">
        <f t="shared" si="170"/>
        <v>283614</v>
      </c>
    </row>
    <row r="8614" spans="1:6" x14ac:dyDescent="0.25">
      <c r="A8614" s="204">
        <v>44174</v>
      </c>
      <c r="B8614" s="162" t="s">
        <v>1515</v>
      </c>
      <c r="C8614" s="254" t="s">
        <v>7306</v>
      </c>
      <c r="D8614" s="8">
        <v>39969</v>
      </c>
      <c r="E8614" s="8"/>
      <c r="F8614" s="92">
        <f t="shared" si="170"/>
        <v>243645</v>
      </c>
    </row>
    <row r="8615" spans="1:6" x14ac:dyDescent="0.25">
      <c r="A8615" s="204">
        <v>44174</v>
      </c>
      <c r="B8615" s="162" t="s">
        <v>1515</v>
      </c>
      <c r="C8615" s="162" t="s">
        <v>7049</v>
      </c>
      <c r="D8615" s="8">
        <v>38375</v>
      </c>
      <c r="E8615" s="8"/>
      <c r="F8615" s="92">
        <f t="shared" si="170"/>
        <v>205270</v>
      </c>
    </row>
    <row r="8616" spans="1:6" x14ac:dyDescent="0.25">
      <c r="A8616" s="204">
        <v>44174</v>
      </c>
      <c r="B8616" s="162" t="s">
        <v>1515</v>
      </c>
      <c r="C8616" s="162" t="s">
        <v>7048</v>
      </c>
      <c r="D8616" s="8">
        <v>54869</v>
      </c>
      <c r="E8616" s="8"/>
      <c r="F8616" s="92">
        <f t="shared" si="170"/>
        <v>150401</v>
      </c>
    </row>
    <row r="8617" spans="1:6" x14ac:dyDescent="0.25">
      <c r="A8617" s="204">
        <v>44174</v>
      </c>
      <c r="B8617" s="162" t="s">
        <v>1515</v>
      </c>
      <c r="C8617" s="162" t="s">
        <v>7191</v>
      </c>
      <c r="D8617" s="8">
        <v>38667</v>
      </c>
      <c r="E8617" s="8"/>
      <c r="F8617" s="92">
        <f t="shared" si="170"/>
        <v>111734</v>
      </c>
    </row>
    <row r="8618" spans="1:6" x14ac:dyDescent="0.25">
      <c r="A8618" s="204">
        <v>44174</v>
      </c>
      <c r="B8618" s="26" t="s">
        <v>10</v>
      </c>
      <c r="C8618" s="26" t="s">
        <v>7304</v>
      </c>
      <c r="D8618" s="8">
        <v>3000</v>
      </c>
      <c r="E8618" s="8"/>
      <c r="F8618" s="92">
        <f t="shared" si="170"/>
        <v>108734</v>
      </c>
    </row>
    <row r="8619" spans="1:6" x14ac:dyDescent="0.25">
      <c r="A8619" s="204">
        <v>44174</v>
      </c>
      <c r="B8619" s="26" t="s">
        <v>10</v>
      </c>
      <c r="C8619" s="26" t="s">
        <v>7308</v>
      </c>
      <c r="D8619" s="8">
        <v>2000</v>
      </c>
      <c r="E8619" s="8"/>
      <c r="F8619" s="92">
        <f t="shared" si="170"/>
        <v>106734</v>
      </c>
    </row>
    <row r="8620" spans="1:6" x14ac:dyDescent="0.25">
      <c r="A8620" s="204">
        <v>44174</v>
      </c>
      <c r="B8620" s="162" t="s">
        <v>1515</v>
      </c>
      <c r="C8620" s="162" t="s">
        <v>7307</v>
      </c>
      <c r="D8620" s="8">
        <v>20000</v>
      </c>
      <c r="E8620" s="8"/>
      <c r="F8620" s="92">
        <f t="shared" ref="F8620:F8621" si="171">F8619+E8620-D8620</f>
        <v>86734</v>
      </c>
    </row>
    <row r="8621" spans="1:6" x14ac:dyDescent="0.25">
      <c r="A8621" s="204">
        <v>44175</v>
      </c>
      <c r="B8621" s="26" t="s">
        <v>4776</v>
      </c>
      <c r="C8621" s="26" t="s">
        <v>7309</v>
      </c>
      <c r="D8621" s="8">
        <v>53500</v>
      </c>
      <c r="E8621" s="8"/>
      <c r="F8621" s="92">
        <f t="shared" si="171"/>
        <v>33234</v>
      </c>
    </row>
    <row r="8622" spans="1:6" x14ac:dyDescent="0.25">
      <c r="A8622" s="204">
        <v>44175</v>
      </c>
      <c r="B8622" s="180" t="s">
        <v>7251</v>
      </c>
      <c r="C8622" s="180" t="s">
        <v>3186</v>
      </c>
      <c r="D8622" s="57">
        <v>15000</v>
      </c>
      <c r="E8622" s="8"/>
      <c r="F8622" s="92">
        <f t="shared" si="170"/>
        <v>18234</v>
      </c>
    </row>
    <row r="8623" spans="1:6" ht="18.75" x14ac:dyDescent="0.3">
      <c r="A8623" s="241">
        <v>44175</v>
      </c>
      <c r="B8623" s="287" t="s">
        <v>7251</v>
      </c>
      <c r="C8623" s="287" t="s">
        <v>7310</v>
      </c>
      <c r="D8623" s="288">
        <v>2850</v>
      </c>
      <c r="E8623" s="27"/>
      <c r="F8623" s="92">
        <f t="shared" si="170"/>
        <v>15384</v>
      </c>
    </row>
    <row r="8624" spans="1:6" x14ac:dyDescent="0.25">
      <c r="A8624" s="204">
        <v>44175</v>
      </c>
      <c r="B8624" s="26" t="s">
        <v>5140</v>
      </c>
      <c r="C8624" s="26" t="s">
        <v>41</v>
      </c>
      <c r="D8624" s="8">
        <v>3954</v>
      </c>
      <c r="E8624" s="8"/>
      <c r="F8624" s="92">
        <f t="shared" si="170"/>
        <v>11430</v>
      </c>
    </row>
    <row r="8625" spans="1:6" x14ac:dyDescent="0.25">
      <c r="A8625" s="204">
        <v>44175</v>
      </c>
      <c r="B8625" s="26" t="s">
        <v>2951</v>
      </c>
      <c r="C8625" s="26" t="s">
        <v>65</v>
      </c>
      <c r="D8625" s="8">
        <v>800</v>
      </c>
      <c r="E8625" s="8"/>
      <c r="F8625" s="92">
        <f t="shared" si="170"/>
        <v>10630</v>
      </c>
    </row>
    <row r="8626" spans="1:6" x14ac:dyDescent="0.25">
      <c r="A8626" s="204">
        <v>44175</v>
      </c>
      <c r="B8626" s="26" t="s">
        <v>14</v>
      </c>
      <c r="C8626" s="26" t="s">
        <v>295</v>
      </c>
      <c r="D8626" s="8">
        <v>3000</v>
      </c>
      <c r="E8626" s="8"/>
      <c r="F8626" s="92">
        <f t="shared" si="170"/>
        <v>7630</v>
      </c>
    </row>
    <row r="8627" spans="1:6" x14ac:dyDescent="0.25">
      <c r="A8627" s="204">
        <v>44175</v>
      </c>
      <c r="B8627" s="180" t="s">
        <v>6877</v>
      </c>
      <c r="C8627" s="180" t="s">
        <v>7311</v>
      </c>
      <c r="D8627" s="57">
        <v>6000</v>
      </c>
      <c r="E8627" s="8"/>
      <c r="F8627" s="92">
        <f t="shared" si="170"/>
        <v>1630</v>
      </c>
    </row>
    <row r="8628" spans="1:6" x14ac:dyDescent="0.25">
      <c r="A8628" s="204">
        <v>44177</v>
      </c>
      <c r="B8628" s="26" t="s">
        <v>14</v>
      </c>
      <c r="C8628" s="26" t="s">
        <v>295</v>
      </c>
      <c r="D8628" s="8">
        <v>100</v>
      </c>
      <c r="E8628" s="8"/>
      <c r="F8628" s="92">
        <f t="shared" si="170"/>
        <v>1530</v>
      </c>
    </row>
    <row r="8629" spans="1:6" x14ac:dyDescent="0.25">
      <c r="A8629" s="204">
        <v>44177</v>
      </c>
      <c r="B8629" s="26" t="s">
        <v>14</v>
      </c>
      <c r="C8629" s="26" t="s">
        <v>295</v>
      </c>
      <c r="D8629" s="8">
        <v>1000</v>
      </c>
      <c r="E8629" s="8"/>
      <c r="F8629" s="92">
        <f t="shared" si="170"/>
        <v>530</v>
      </c>
    </row>
    <row r="8630" spans="1:6" x14ac:dyDescent="0.25">
      <c r="A8630" s="204">
        <v>44177</v>
      </c>
      <c r="B8630" s="452" t="s">
        <v>6007</v>
      </c>
      <c r="C8630" s="452"/>
      <c r="D8630" s="452"/>
      <c r="E8630" s="8">
        <v>8000</v>
      </c>
      <c r="F8630" s="92">
        <f t="shared" si="170"/>
        <v>8530</v>
      </c>
    </row>
    <row r="8631" spans="1:6" x14ac:dyDescent="0.25">
      <c r="A8631" s="204">
        <v>44179</v>
      </c>
      <c r="B8631" s="26" t="s">
        <v>4250</v>
      </c>
      <c r="C8631" s="26" t="s">
        <v>7313</v>
      </c>
      <c r="D8631" s="8">
        <v>1400</v>
      </c>
      <c r="E8631" s="8"/>
      <c r="F8631" s="92">
        <f t="shared" si="170"/>
        <v>7130</v>
      </c>
    </row>
    <row r="8632" spans="1:6" x14ac:dyDescent="0.25">
      <c r="A8632" s="204">
        <v>44179</v>
      </c>
      <c r="B8632" s="26" t="s">
        <v>4250</v>
      </c>
      <c r="C8632" s="26" t="s">
        <v>7314</v>
      </c>
      <c r="D8632" s="8">
        <v>3000</v>
      </c>
      <c r="E8632" s="8"/>
      <c r="F8632" s="92">
        <f t="shared" si="170"/>
        <v>4130</v>
      </c>
    </row>
    <row r="8633" spans="1:6" x14ac:dyDescent="0.25">
      <c r="A8633" s="204">
        <v>44179</v>
      </c>
      <c r="B8633" s="180" t="s">
        <v>4250</v>
      </c>
      <c r="C8633" s="180" t="s">
        <v>7315</v>
      </c>
      <c r="D8633" s="57">
        <v>1000</v>
      </c>
      <c r="E8633" s="8"/>
      <c r="F8633" s="92">
        <f t="shared" si="170"/>
        <v>3130</v>
      </c>
    </row>
    <row r="8634" spans="1:6" x14ac:dyDescent="0.25">
      <c r="A8634" s="204">
        <v>44179</v>
      </c>
      <c r="B8634" s="452" t="s">
        <v>6007</v>
      </c>
      <c r="C8634" s="452"/>
      <c r="D8634" s="452"/>
      <c r="E8634" s="8">
        <v>14000</v>
      </c>
      <c r="F8634" s="92">
        <f t="shared" si="170"/>
        <v>17130</v>
      </c>
    </row>
    <row r="8635" spans="1:6" x14ac:dyDescent="0.25">
      <c r="A8635" s="204">
        <v>44179</v>
      </c>
      <c r="B8635" s="26" t="s">
        <v>4250</v>
      </c>
      <c r="C8635" s="26" t="s">
        <v>7319</v>
      </c>
      <c r="D8635" s="8">
        <v>7000</v>
      </c>
      <c r="E8635" s="8"/>
      <c r="F8635" s="92">
        <f t="shared" si="170"/>
        <v>10130</v>
      </c>
    </row>
    <row r="8636" spans="1:6" x14ac:dyDescent="0.25">
      <c r="A8636" s="204">
        <v>44179</v>
      </c>
      <c r="B8636" s="452" t="s">
        <v>4110</v>
      </c>
      <c r="C8636" s="452"/>
      <c r="D8636" s="452"/>
      <c r="E8636" s="8">
        <v>120000</v>
      </c>
      <c r="F8636" s="92">
        <f t="shared" si="170"/>
        <v>130130</v>
      </c>
    </row>
    <row r="8637" spans="1:6" x14ac:dyDescent="0.25">
      <c r="A8637" s="204">
        <v>44179</v>
      </c>
      <c r="B8637" s="26" t="s">
        <v>1077</v>
      </c>
      <c r="C8637" s="26" t="s">
        <v>7320</v>
      </c>
      <c r="D8637" s="8">
        <v>9780</v>
      </c>
      <c r="E8637" s="8"/>
      <c r="F8637" s="92">
        <f t="shared" si="170"/>
        <v>120350</v>
      </c>
    </row>
    <row r="8638" spans="1:6" x14ac:dyDescent="0.25">
      <c r="A8638" s="204">
        <v>44180</v>
      </c>
      <c r="B8638" s="26" t="s">
        <v>6285</v>
      </c>
      <c r="C8638" s="26" t="s">
        <v>3336</v>
      </c>
      <c r="D8638" s="8">
        <v>33240</v>
      </c>
      <c r="E8638" s="8"/>
      <c r="F8638" s="92">
        <f t="shared" si="170"/>
        <v>87110</v>
      </c>
    </row>
    <row r="8639" spans="1:6" x14ac:dyDescent="0.25">
      <c r="A8639" s="204">
        <v>44180</v>
      </c>
      <c r="B8639" s="26" t="s">
        <v>6293</v>
      </c>
      <c r="C8639" s="26" t="s">
        <v>7323</v>
      </c>
      <c r="D8639" s="8">
        <v>20429</v>
      </c>
      <c r="E8639" s="8"/>
      <c r="F8639" s="92">
        <f t="shared" si="170"/>
        <v>66681</v>
      </c>
    </row>
    <row r="8640" spans="1:6" x14ac:dyDescent="0.25">
      <c r="A8640" s="204">
        <v>44180</v>
      </c>
      <c r="B8640" s="29" t="s">
        <v>1619</v>
      </c>
      <c r="C8640" s="29" t="s">
        <v>7321</v>
      </c>
      <c r="D8640" s="8">
        <v>4000</v>
      </c>
      <c r="E8640" s="8"/>
      <c r="F8640" s="92">
        <f t="shared" si="170"/>
        <v>62681</v>
      </c>
    </row>
    <row r="8641" spans="1:10" x14ac:dyDescent="0.25">
      <c r="A8641" s="204">
        <v>44180</v>
      </c>
      <c r="B8641" s="29" t="s">
        <v>1619</v>
      </c>
      <c r="C8641" s="29" t="s">
        <v>7322</v>
      </c>
      <c r="D8641" s="8">
        <v>1000</v>
      </c>
      <c r="E8641" s="8"/>
      <c r="F8641" s="92">
        <f t="shared" si="170"/>
        <v>61681</v>
      </c>
    </row>
    <row r="8642" spans="1:10" x14ac:dyDescent="0.25">
      <c r="A8642" s="204">
        <v>44180</v>
      </c>
      <c r="B8642" s="26" t="s">
        <v>6626</v>
      </c>
      <c r="C8642" s="26" t="s">
        <v>41</v>
      </c>
      <c r="D8642" s="8">
        <v>36450</v>
      </c>
      <c r="E8642" s="8"/>
      <c r="F8642" s="92">
        <f t="shared" si="170"/>
        <v>25231</v>
      </c>
    </row>
    <row r="8643" spans="1:10" x14ac:dyDescent="0.25">
      <c r="A8643" s="204">
        <v>44180</v>
      </c>
      <c r="B8643" s="26" t="s">
        <v>14</v>
      </c>
      <c r="C8643" s="26" t="s">
        <v>295</v>
      </c>
      <c r="D8643" s="8">
        <v>1000</v>
      </c>
      <c r="E8643" s="8"/>
      <c r="F8643" s="92">
        <f t="shared" si="170"/>
        <v>24231</v>
      </c>
    </row>
    <row r="8644" spans="1:10" x14ac:dyDescent="0.25">
      <c r="A8644" s="204">
        <v>44180</v>
      </c>
      <c r="B8644" s="26" t="s">
        <v>4059</v>
      </c>
      <c r="C8644" s="26" t="s">
        <v>7324</v>
      </c>
      <c r="D8644" s="8">
        <v>15000</v>
      </c>
      <c r="E8644" s="8"/>
      <c r="F8644" s="92">
        <f t="shared" si="170"/>
        <v>9231</v>
      </c>
    </row>
    <row r="8645" spans="1:10" x14ac:dyDescent="0.25">
      <c r="A8645" s="204">
        <v>44180</v>
      </c>
      <c r="B8645" s="29" t="s">
        <v>26</v>
      </c>
      <c r="C8645" s="29" t="s">
        <v>6430</v>
      </c>
      <c r="D8645" s="8">
        <v>150</v>
      </c>
      <c r="E8645" s="8"/>
      <c r="F8645" s="92">
        <f t="shared" si="170"/>
        <v>9081</v>
      </c>
    </row>
    <row r="8646" spans="1:10" x14ac:dyDescent="0.25">
      <c r="A8646" s="204">
        <v>44181</v>
      </c>
      <c r="B8646" s="26" t="s">
        <v>55</v>
      </c>
      <c r="C8646" s="26" t="s">
        <v>7325</v>
      </c>
      <c r="D8646" s="8">
        <v>2000</v>
      </c>
      <c r="E8646" s="8"/>
      <c r="F8646" s="92">
        <f t="shared" si="170"/>
        <v>7081</v>
      </c>
    </row>
    <row r="8647" spans="1:10" x14ac:dyDescent="0.25">
      <c r="A8647" s="204">
        <v>44182</v>
      </c>
      <c r="B8647" s="29" t="s">
        <v>26</v>
      </c>
      <c r="C8647" s="29" t="s">
        <v>6795</v>
      </c>
      <c r="D8647" s="8">
        <f>1000+40+20+200+60+60+40</f>
        <v>1420</v>
      </c>
      <c r="E8647" s="8"/>
      <c r="F8647" s="92">
        <f t="shared" si="170"/>
        <v>5661</v>
      </c>
    </row>
    <row r="8648" spans="1:10" ht="30" x14ac:dyDescent="0.25">
      <c r="A8648" s="204">
        <v>44182</v>
      </c>
      <c r="B8648" s="289" t="s">
        <v>19</v>
      </c>
      <c r="C8648" s="290" t="s">
        <v>7342</v>
      </c>
      <c r="D8648" s="291">
        <v>3000</v>
      </c>
      <c r="E8648" s="91"/>
      <c r="F8648" s="92">
        <f t="shared" si="170"/>
        <v>2661</v>
      </c>
      <c r="G8648" s="10"/>
      <c r="J8648" s="6"/>
    </row>
    <row r="8649" spans="1:10" x14ac:dyDescent="0.25">
      <c r="A8649" s="204">
        <v>44183</v>
      </c>
      <c r="B8649" s="26" t="s">
        <v>6063</v>
      </c>
      <c r="C8649" s="26" t="s">
        <v>7328</v>
      </c>
      <c r="D8649" s="8">
        <v>1000</v>
      </c>
      <c r="E8649" s="8"/>
      <c r="F8649" s="92">
        <f t="shared" si="170"/>
        <v>1661</v>
      </c>
      <c r="G8649" s="10"/>
      <c r="J8649" s="6"/>
    </row>
    <row r="8650" spans="1:10" x14ac:dyDescent="0.25">
      <c r="A8650" s="204">
        <v>44183</v>
      </c>
      <c r="B8650" s="26" t="s">
        <v>14</v>
      </c>
      <c r="C8650" s="26" t="s">
        <v>295</v>
      </c>
      <c r="D8650" s="8">
        <v>1000</v>
      </c>
      <c r="E8650" s="8"/>
      <c r="F8650" s="92">
        <f t="shared" si="170"/>
        <v>661</v>
      </c>
      <c r="G8650" s="10"/>
      <c r="J8650" s="6"/>
    </row>
    <row r="8651" spans="1:10" x14ac:dyDescent="0.25">
      <c r="A8651" s="204">
        <v>44183</v>
      </c>
      <c r="B8651" s="452" t="s">
        <v>7329</v>
      </c>
      <c r="C8651" s="452"/>
      <c r="D8651" s="452"/>
      <c r="E8651" s="8">
        <v>102700</v>
      </c>
      <c r="F8651" s="92">
        <f t="shared" ref="F8651:F8672" si="172">F8650+E8651-D8651</f>
        <v>103361</v>
      </c>
      <c r="G8651" s="10"/>
      <c r="J8651" s="6"/>
    </row>
    <row r="8652" spans="1:10" x14ac:dyDescent="0.25">
      <c r="A8652" s="204">
        <v>44183</v>
      </c>
      <c r="B8652" s="26" t="s">
        <v>11</v>
      </c>
      <c r="C8652" s="26" t="s">
        <v>295</v>
      </c>
      <c r="D8652" s="8">
        <v>15000</v>
      </c>
      <c r="E8652" s="8"/>
      <c r="F8652" s="92">
        <f t="shared" si="172"/>
        <v>88361</v>
      </c>
      <c r="G8652" s="10"/>
      <c r="J8652" s="6"/>
    </row>
    <row r="8653" spans="1:10" x14ac:dyDescent="0.25">
      <c r="A8653" s="204">
        <v>44183</v>
      </c>
      <c r="B8653" s="26" t="s">
        <v>14</v>
      </c>
      <c r="C8653" s="26" t="s">
        <v>295</v>
      </c>
      <c r="D8653" s="8">
        <v>10000</v>
      </c>
      <c r="E8653" s="8"/>
      <c r="F8653" s="92">
        <f t="shared" si="172"/>
        <v>78361</v>
      </c>
      <c r="G8653" s="10"/>
      <c r="J8653" s="6"/>
    </row>
    <row r="8654" spans="1:10" ht="30" x14ac:dyDescent="0.25">
      <c r="A8654" s="204">
        <v>44183</v>
      </c>
      <c r="B8654" s="26" t="s">
        <v>6877</v>
      </c>
      <c r="C8654" s="87" t="s">
        <v>7330</v>
      </c>
      <c r="D8654" s="8">
        <v>10000</v>
      </c>
      <c r="E8654" s="8"/>
      <c r="F8654" s="92">
        <f t="shared" si="172"/>
        <v>68361</v>
      </c>
      <c r="G8654" s="10"/>
      <c r="J8654" s="6"/>
    </row>
    <row r="8655" spans="1:10" x14ac:dyDescent="0.25">
      <c r="A8655" s="204">
        <v>44183</v>
      </c>
      <c r="B8655" s="180" t="s">
        <v>7331</v>
      </c>
      <c r="C8655" s="180" t="s">
        <v>7332</v>
      </c>
      <c r="D8655" s="57">
        <v>14000</v>
      </c>
      <c r="E8655" s="8"/>
      <c r="F8655" s="92">
        <f t="shared" si="172"/>
        <v>54361</v>
      </c>
    </row>
    <row r="8656" spans="1:10" x14ac:dyDescent="0.25">
      <c r="A8656" s="204">
        <v>44183</v>
      </c>
      <c r="B8656" s="26" t="s">
        <v>26</v>
      </c>
      <c r="C8656" s="26" t="s">
        <v>2016</v>
      </c>
      <c r="D8656" s="8">
        <v>170</v>
      </c>
      <c r="E8656" s="8"/>
      <c r="F8656" s="92">
        <f t="shared" si="172"/>
        <v>54191</v>
      </c>
    </row>
    <row r="8657" spans="1:10" x14ac:dyDescent="0.25">
      <c r="A8657" s="204">
        <v>44183</v>
      </c>
      <c r="B8657" s="26" t="s">
        <v>6200</v>
      </c>
      <c r="C8657" s="26" t="s">
        <v>7333</v>
      </c>
      <c r="D8657" s="8">
        <v>200</v>
      </c>
      <c r="E8657" s="8"/>
      <c r="F8657" s="92">
        <f t="shared" si="172"/>
        <v>53991</v>
      </c>
    </row>
    <row r="8658" spans="1:10" x14ac:dyDescent="0.25">
      <c r="A8658" s="204">
        <v>44184</v>
      </c>
      <c r="B8658" s="162" t="s">
        <v>1515</v>
      </c>
      <c r="C8658" s="162" t="s">
        <v>7334</v>
      </c>
      <c r="D8658" s="8">
        <v>23450</v>
      </c>
      <c r="E8658" s="8"/>
      <c r="F8658" s="92">
        <f t="shared" si="172"/>
        <v>30541</v>
      </c>
    </row>
    <row r="8659" spans="1:10" x14ac:dyDescent="0.25">
      <c r="A8659" s="204">
        <v>44184</v>
      </c>
      <c r="B8659" s="26" t="s">
        <v>5485</v>
      </c>
      <c r="C8659" s="26" t="s">
        <v>7335</v>
      </c>
      <c r="D8659" s="8">
        <v>600</v>
      </c>
      <c r="E8659" s="8"/>
      <c r="F8659" s="92">
        <f t="shared" si="172"/>
        <v>29941</v>
      </c>
    </row>
    <row r="8660" spans="1:10" s="20" customFormat="1" x14ac:dyDescent="0.25">
      <c r="A8660" s="204">
        <v>44184</v>
      </c>
      <c r="B8660" s="29" t="s">
        <v>6877</v>
      </c>
      <c r="C8660" s="29" t="s">
        <v>7336</v>
      </c>
      <c r="D8660" s="14">
        <v>9540</v>
      </c>
      <c r="E8660" s="14"/>
      <c r="F8660" s="92">
        <f t="shared" si="172"/>
        <v>20401</v>
      </c>
      <c r="H8660" s="24"/>
      <c r="I8660" s="24"/>
      <c r="J8660" s="24"/>
    </row>
    <row r="8661" spans="1:10" x14ac:dyDescent="0.25">
      <c r="A8661" s="204">
        <v>44186</v>
      </c>
      <c r="B8661" s="29" t="s">
        <v>4776</v>
      </c>
      <c r="C8661" s="29" t="s">
        <v>439</v>
      </c>
      <c r="D8661" s="8">
        <v>430</v>
      </c>
      <c r="E8661" s="8"/>
      <c r="F8661" s="92">
        <f t="shared" si="172"/>
        <v>19971</v>
      </c>
    </row>
    <row r="8662" spans="1:10" x14ac:dyDescent="0.25">
      <c r="A8662" s="204">
        <v>44186</v>
      </c>
      <c r="B8662" s="29" t="s">
        <v>26</v>
      </c>
      <c r="C8662" s="29" t="s">
        <v>6795</v>
      </c>
      <c r="D8662" s="8">
        <f>400+240+50+600+600</f>
        <v>1890</v>
      </c>
      <c r="E8662" s="8"/>
      <c r="F8662" s="92">
        <f t="shared" si="172"/>
        <v>18081</v>
      </c>
    </row>
    <row r="8663" spans="1:10" x14ac:dyDescent="0.25">
      <c r="A8663" s="204">
        <v>44186</v>
      </c>
      <c r="B8663" s="452" t="s">
        <v>7343</v>
      </c>
      <c r="C8663" s="452"/>
      <c r="D8663" s="452"/>
      <c r="E8663" s="8">
        <v>16500</v>
      </c>
      <c r="F8663" s="92">
        <f t="shared" si="172"/>
        <v>34581</v>
      </c>
      <c r="G8663" s="10"/>
      <c r="J8663" s="6"/>
    </row>
    <row r="8664" spans="1:10" x14ac:dyDescent="0.25">
      <c r="A8664" s="204">
        <v>44186</v>
      </c>
      <c r="B8664" s="180" t="s">
        <v>1015</v>
      </c>
      <c r="C8664" s="180" t="s">
        <v>7337</v>
      </c>
      <c r="D8664" s="57">
        <v>10000</v>
      </c>
      <c r="E8664" s="8"/>
      <c r="F8664" s="92">
        <f t="shared" si="172"/>
        <v>24581</v>
      </c>
    </row>
    <row r="8665" spans="1:10" x14ac:dyDescent="0.25">
      <c r="A8665" s="204">
        <v>44186</v>
      </c>
      <c r="B8665" s="26" t="s">
        <v>1619</v>
      </c>
      <c r="C8665" s="26" t="s">
        <v>7338</v>
      </c>
      <c r="D8665" s="8">
        <v>3000</v>
      </c>
      <c r="E8665" s="8"/>
      <c r="F8665" s="92">
        <f t="shared" si="172"/>
        <v>21581</v>
      </c>
    </row>
    <row r="8666" spans="1:10" x14ac:dyDescent="0.25">
      <c r="A8666" s="204">
        <v>44187</v>
      </c>
      <c r="B8666" s="26" t="s">
        <v>14</v>
      </c>
      <c r="C8666" s="26" t="s">
        <v>295</v>
      </c>
      <c r="D8666" s="8">
        <v>1000</v>
      </c>
      <c r="E8666" s="8"/>
      <c r="F8666" s="92">
        <f t="shared" si="172"/>
        <v>20581</v>
      </c>
    </row>
    <row r="8667" spans="1:10" x14ac:dyDescent="0.25">
      <c r="A8667" s="204">
        <v>44187</v>
      </c>
      <c r="B8667" s="180" t="s">
        <v>248</v>
      </c>
      <c r="C8667" s="180" t="s">
        <v>7339</v>
      </c>
      <c r="D8667" s="57">
        <v>300</v>
      </c>
      <c r="E8667" s="8"/>
      <c r="F8667" s="92">
        <f t="shared" si="172"/>
        <v>20281</v>
      </c>
    </row>
    <row r="8668" spans="1:10" x14ac:dyDescent="0.25">
      <c r="A8668" s="204">
        <v>44187</v>
      </c>
      <c r="B8668" s="29" t="s">
        <v>1840</v>
      </c>
      <c r="C8668" s="29" t="s">
        <v>7340</v>
      </c>
      <c r="D8668" s="14">
        <v>300</v>
      </c>
      <c r="E8668" s="8"/>
      <c r="F8668" s="92">
        <f t="shared" si="172"/>
        <v>19981</v>
      </c>
    </row>
    <row r="8669" spans="1:10" x14ac:dyDescent="0.25">
      <c r="A8669" s="204">
        <v>44187</v>
      </c>
      <c r="B8669" s="29" t="s">
        <v>1840</v>
      </c>
      <c r="C8669" s="29" t="s">
        <v>7341</v>
      </c>
      <c r="D8669" s="14">
        <v>500</v>
      </c>
      <c r="E8669" s="8"/>
      <c r="F8669" s="92">
        <f t="shared" si="172"/>
        <v>19481</v>
      </c>
    </row>
    <row r="8670" spans="1:10" ht="30" x14ac:dyDescent="0.25">
      <c r="A8670" s="204">
        <v>44188</v>
      </c>
      <c r="B8670" s="26" t="s">
        <v>19</v>
      </c>
      <c r="C8670" s="87" t="s">
        <v>7344</v>
      </c>
      <c r="D8670" s="8">
        <v>7000</v>
      </c>
      <c r="E8670" s="8"/>
      <c r="F8670" s="92">
        <f t="shared" si="172"/>
        <v>12481</v>
      </c>
    </row>
    <row r="8671" spans="1:10" x14ac:dyDescent="0.25">
      <c r="A8671" s="204">
        <v>44188</v>
      </c>
      <c r="B8671" s="26" t="s">
        <v>14</v>
      </c>
      <c r="C8671" s="26" t="s">
        <v>641</v>
      </c>
      <c r="D8671" s="8">
        <v>1000</v>
      </c>
      <c r="E8671" s="8"/>
      <c r="F8671" s="92">
        <f t="shared" si="172"/>
        <v>11481</v>
      </c>
    </row>
    <row r="8672" spans="1:10" x14ac:dyDescent="0.25">
      <c r="A8672" s="204">
        <v>44188</v>
      </c>
      <c r="B8672" s="26" t="s">
        <v>14</v>
      </c>
      <c r="C8672" s="26" t="s">
        <v>295</v>
      </c>
      <c r="D8672" s="8">
        <v>1000</v>
      </c>
      <c r="E8672" s="8"/>
      <c r="F8672" s="92">
        <f t="shared" si="172"/>
        <v>10481</v>
      </c>
    </row>
    <row r="8673" spans="1:10" x14ac:dyDescent="0.25">
      <c r="A8673" s="204">
        <v>44188</v>
      </c>
      <c r="B8673" s="452" t="s">
        <v>7345</v>
      </c>
      <c r="C8673" s="452"/>
      <c r="D8673" s="452"/>
      <c r="E8673" s="8">
        <v>45000</v>
      </c>
      <c r="F8673" s="92">
        <f t="shared" ref="F8673:F8704" si="173">F8672+E8673-D8673</f>
        <v>55481</v>
      </c>
      <c r="G8673" s="10"/>
      <c r="J8673" s="6"/>
    </row>
    <row r="8674" spans="1:10" x14ac:dyDescent="0.25">
      <c r="A8674" s="204">
        <v>44188</v>
      </c>
      <c r="B8674" s="29" t="s">
        <v>1077</v>
      </c>
      <c r="C8674" s="26" t="s">
        <v>6045</v>
      </c>
      <c r="D8674" s="8">
        <v>4942</v>
      </c>
      <c r="E8674" s="8"/>
      <c r="F8674" s="92">
        <f t="shared" si="173"/>
        <v>50539</v>
      </c>
    </row>
    <row r="8675" spans="1:10" x14ac:dyDescent="0.25">
      <c r="A8675" s="204">
        <v>44188</v>
      </c>
      <c r="B8675" s="29" t="s">
        <v>1077</v>
      </c>
      <c r="C8675" s="29" t="s">
        <v>7223</v>
      </c>
      <c r="D8675" s="8">
        <v>12013</v>
      </c>
      <c r="E8675" s="8"/>
      <c r="F8675" s="92">
        <f t="shared" si="173"/>
        <v>38526</v>
      </c>
    </row>
    <row r="8676" spans="1:10" x14ac:dyDescent="0.25">
      <c r="A8676" s="204">
        <v>44188</v>
      </c>
      <c r="B8676" s="162" t="s">
        <v>1515</v>
      </c>
      <c r="C8676" s="162" t="s">
        <v>7347</v>
      </c>
      <c r="D8676" s="8">
        <v>28060</v>
      </c>
      <c r="E8676" s="8"/>
      <c r="F8676" s="92">
        <f t="shared" si="173"/>
        <v>10466</v>
      </c>
    </row>
    <row r="8677" spans="1:10" ht="30" x14ac:dyDescent="0.25">
      <c r="A8677" s="204">
        <v>44189</v>
      </c>
      <c r="B8677" s="199" t="s">
        <v>1790</v>
      </c>
      <c r="C8677" s="87" t="s">
        <v>7348</v>
      </c>
      <c r="D8677" s="91">
        <v>1500</v>
      </c>
      <c r="E8677" s="8"/>
      <c r="F8677" s="92">
        <f t="shared" si="173"/>
        <v>8966</v>
      </c>
    </row>
    <row r="8678" spans="1:10" x14ac:dyDescent="0.25">
      <c r="A8678" s="204">
        <v>44189</v>
      </c>
      <c r="B8678" s="26" t="s">
        <v>6200</v>
      </c>
      <c r="C8678" s="26" t="s">
        <v>7351</v>
      </c>
      <c r="D8678" s="8">
        <v>300</v>
      </c>
      <c r="E8678" s="8"/>
      <c r="F8678" s="92">
        <f t="shared" si="173"/>
        <v>8666</v>
      </c>
    </row>
    <row r="8679" spans="1:10" x14ac:dyDescent="0.25">
      <c r="A8679" s="204">
        <v>44191</v>
      </c>
      <c r="B8679" s="180" t="s">
        <v>85</v>
      </c>
      <c r="C8679" s="180" t="s">
        <v>7356</v>
      </c>
      <c r="D8679" s="57">
        <v>500</v>
      </c>
      <c r="E8679" s="8"/>
      <c r="F8679" s="92">
        <f t="shared" si="173"/>
        <v>8166</v>
      </c>
    </row>
    <row r="8680" spans="1:10" x14ac:dyDescent="0.25">
      <c r="A8680" s="204">
        <v>44191</v>
      </c>
      <c r="B8680" s="26" t="s">
        <v>19</v>
      </c>
      <c r="C8680" s="26" t="s">
        <v>641</v>
      </c>
      <c r="D8680" s="8">
        <v>680</v>
      </c>
      <c r="E8680" s="8"/>
      <c r="F8680" s="92">
        <f t="shared" si="173"/>
        <v>7486</v>
      </c>
    </row>
    <row r="8681" spans="1:10" x14ac:dyDescent="0.25">
      <c r="A8681" s="204">
        <v>44193</v>
      </c>
      <c r="B8681" s="26" t="s">
        <v>26</v>
      </c>
      <c r="C8681" s="26" t="s">
        <v>6795</v>
      </c>
      <c r="D8681" s="8">
        <f>700+140+250+580+160+290+50+40+250</f>
        <v>2460</v>
      </c>
      <c r="E8681" s="8"/>
      <c r="F8681" s="92">
        <f t="shared" si="173"/>
        <v>5026</v>
      </c>
    </row>
    <row r="8682" spans="1:10" x14ac:dyDescent="0.25">
      <c r="A8682" s="204">
        <v>44193</v>
      </c>
      <c r="B8682" s="26" t="s">
        <v>11</v>
      </c>
      <c r="C8682" s="26" t="s">
        <v>7354</v>
      </c>
      <c r="D8682" s="8">
        <v>750</v>
      </c>
      <c r="E8682" s="8"/>
      <c r="F8682" s="92">
        <f t="shared" si="173"/>
        <v>4276</v>
      </c>
    </row>
    <row r="8683" spans="1:10" x14ac:dyDescent="0.25">
      <c r="A8683" s="204">
        <v>44193</v>
      </c>
      <c r="B8683" s="26" t="s">
        <v>1077</v>
      </c>
      <c r="C8683" s="26" t="s">
        <v>7355</v>
      </c>
      <c r="D8683" s="8">
        <f>480+560</f>
        <v>1040</v>
      </c>
      <c r="E8683" s="8"/>
      <c r="F8683" s="92">
        <f t="shared" si="173"/>
        <v>3236</v>
      </c>
    </row>
    <row r="8684" spans="1:10" x14ac:dyDescent="0.25">
      <c r="A8684" s="204">
        <v>44193</v>
      </c>
      <c r="B8684" s="26" t="s">
        <v>14</v>
      </c>
      <c r="C8684" s="29" t="s">
        <v>7244</v>
      </c>
      <c r="D8684" s="8">
        <v>1358</v>
      </c>
      <c r="E8684" s="8"/>
      <c r="F8684" s="92">
        <f t="shared" si="173"/>
        <v>1878</v>
      </c>
    </row>
    <row r="8685" spans="1:10" x14ac:dyDescent="0.25">
      <c r="A8685" s="204">
        <v>44194</v>
      </c>
      <c r="B8685" s="26" t="s">
        <v>5479</v>
      </c>
      <c r="C8685" s="26" t="s">
        <v>7357</v>
      </c>
      <c r="D8685" s="8">
        <v>500</v>
      </c>
      <c r="E8685" s="8"/>
      <c r="F8685" s="92">
        <f t="shared" si="173"/>
        <v>1378</v>
      </c>
    </row>
    <row r="8686" spans="1:10" x14ac:dyDescent="0.25">
      <c r="A8686" s="204">
        <v>44194</v>
      </c>
      <c r="B8686" s="26" t="s">
        <v>26</v>
      </c>
      <c r="C8686" s="26" t="s">
        <v>6795</v>
      </c>
      <c r="D8686" s="8">
        <f>100+200</f>
        <v>300</v>
      </c>
      <c r="E8686" s="8"/>
      <c r="F8686" s="92">
        <f t="shared" si="173"/>
        <v>1078</v>
      </c>
    </row>
    <row r="8687" spans="1:10" x14ac:dyDescent="0.25">
      <c r="A8687" s="204">
        <v>44194</v>
      </c>
      <c r="B8687" s="452" t="s">
        <v>4110</v>
      </c>
      <c r="C8687" s="452"/>
      <c r="D8687" s="452"/>
      <c r="E8687" s="8">
        <v>50000</v>
      </c>
      <c r="F8687" s="92">
        <f t="shared" si="173"/>
        <v>51078</v>
      </c>
      <c r="G8687" s="10"/>
      <c r="J8687" s="6"/>
    </row>
    <row r="8688" spans="1:10" x14ac:dyDescent="0.25">
      <c r="A8688" s="204">
        <v>44194</v>
      </c>
      <c r="B8688" s="26" t="s">
        <v>85</v>
      </c>
      <c r="C8688" s="26" t="s">
        <v>7358</v>
      </c>
      <c r="D8688" s="8">
        <v>2000</v>
      </c>
      <c r="E8688" s="8"/>
      <c r="F8688" s="92">
        <f t="shared" si="173"/>
        <v>49078</v>
      </c>
    </row>
    <row r="8689" spans="1:10" x14ac:dyDescent="0.25">
      <c r="A8689" s="204">
        <v>44194</v>
      </c>
      <c r="B8689" s="26" t="s">
        <v>19</v>
      </c>
      <c r="C8689" s="26" t="s">
        <v>7359</v>
      </c>
      <c r="D8689" s="8">
        <v>3000</v>
      </c>
      <c r="E8689" s="8"/>
      <c r="F8689" s="92">
        <f t="shared" si="173"/>
        <v>46078</v>
      </c>
    </row>
    <row r="8690" spans="1:10" x14ac:dyDescent="0.25">
      <c r="A8690" s="222">
        <v>44195</v>
      </c>
      <c r="B8690" s="185" t="s">
        <v>7113</v>
      </c>
      <c r="C8690" s="185" t="s">
        <v>7360</v>
      </c>
      <c r="D8690" s="13">
        <v>3500</v>
      </c>
      <c r="E8690" s="13"/>
      <c r="F8690" s="327">
        <f t="shared" si="173"/>
        <v>42578</v>
      </c>
    </row>
    <row r="8691" spans="1:10" x14ac:dyDescent="0.25">
      <c r="A8691" s="204">
        <v>44195</v>
      </c>
      <c r="B8691" s="26" t="s">
        <v>26</v>
      </c>
      <c r="C8691" s="26" t="s">
        <v>2028</v>
      </c>
      <c r="D8691" s="8">
        <v>50</v>
      </c>
      <c r="E8691" s="8"/>
      <c r="F8691" s="92">
        <f t="shared" si="173"/>
        <v>42528</v>
      </c>
    </row>
    <row r="8692" spans="1:10" x14ac:dyDescent="0.25">
      <c r="A8692" s="204">
        <v>44195</v>
      </c>
      <c r="B8692" s="26" t="s">
        <v>3563</v>
      </c>
      <c r="C8692" s="26" t="s">
        <v>92</v>
      </c>
      <c r="D8692" s="8">
        <v>650</v>
      </c>
      <c r="E8692" s="8"/>
      <c r="F8692" s="92">
        <f t="shared" si="173"/>
        <v>41878</v>
      </c>
    </row>
    <row r="8693" spans="1:10" x14ac:dyDescent="0.25">
      <c r="A8693" s="204">
        <v>44195</v>
      </c>
      <c r="B8693" s="162" t="s">
        <v>1515</v>
      </c>
      <c r="C8693" s="162" t="s">
        <v>4261</v>
      </c>
      <c r="D8693" s="8">
        <v>16000</v>
      </c>
      <c r="E8693" s="8"/>
      <c r="F8693" s="92">
        <f t="shared" si="173"/>
        <v>25878</v>
      </c>
    </row>
    <row r="8694" spans="1:10" x14ac:dyDescent="0.25">
      <c r="A8694" s="204">
        <v>44195</v>
      </c>
      <c r="B8694" s="29" t="s">
        <v>85</v>
      </c>
      <c r="C8694" s="29" t="s">
        <v>7363</v>
      </c>
      <c r="D8694" s="14">
        <v>15000</v>
      </c>
      <c r="E8694" s="14"/>
      <c r="F8694" s="92">
        <f t="shared" si="173"/>
        <v>10878</v>
      </c>
    </row>
    <row r="8695" spans="1:10" x14ac:dyDescent="0.25">
      <c r="A8695" s="204">
        <v>44195</v>
      </c>
      <c r="B8695" s="29" t="s">
        <v>5485</v>
      </c>
      <c r="C8695" s="29" t="s">
        <v>7364</v>
      </c>
      <c r="D8695" s="14">
        <v>5000</v>
      </c>
      <c r="E8695" s="14"/>
      <c r="F8695" s="92">
        <f t="shared" si="173"/>
        <v>5878</v>
      </c>
    </row>
    <row r="8696" spans="1:10" x14ac:dyDescent="0.25">
      <c r="A8696" s="204">
        <v>44196</v>
      </c>
      <c r="B8696" s="29" t="s">
        <v>1840</v>
      </c>
      <c r="C8696" s="29" t="s">
        <v>7366</v>
      </c>
      <c r="D8696" s="14">
        <v>1000</v>
      </c>
      <c r="E8696" s="14"/>
      <c r="F8696" s="92">
        <f t="shared" si="173"/>
        <v>4878</v>
      </c>
    </row>
    <row r="8697" spans="1:10" x14ac:dyDescent="0.25">
      <c r="A8697" s="204">
        <v>44196</v>
      </c>
      <c r="B8697" s="29" t="s">
        <v>85</v>
      </c>
      <c r="C8697" s="29" t="s">
        <v>7367</v>
      </c>
      <c r="D8697" s="14">
        <v>500</v>
      </c>
      <c r="E8697" s="14"/>
      <c r="F8697" s="92">
        <f t="shared" si="173"/>
        <v>4378</v>
      </c>
    </row>
    <row r="8698" spans="1:10" x14ac:dyDescent="0.25">
      <c r="A8698" s="204">
        <v>43832</v>
      </c>
      <c r="B8698" s="452" t="s">
        <v>7368</v>
      </c>
      <c r="C8698" s="452"/>
      <c r="D8698" s="452"/>
      <c r="E8698" s="8">
        <v>30550</v>
      </c>
      <c r="F8698" s="92">
        <f t="shared" si="173"/>
        <v>34928</v>
      </c>
      <c r="G8698" s="10"/>
      <c r="J8698" s="6"/>
    </row>
    <row r="8699" spans="1:10" ht="24.6" customHeight="1" x14ac:dyDescent="0.25">
      <c r="A8699" s="204">
        <v>43832</v>
      </c>
      <c r="B8699" s="26" t="s">
        <v>6877</v>
      </c>
      <c r="C8699" s="29" t="s">
        <v>3615</v>
      </c>
      <c r="D8699" s="8">
        <v>5000</v>
      </c>
      <c r="E8699" s="8"/>
      <c r="F8699" s="92">
        <f t="shared" si="173"/>
        <v>29928</v>
      </c>
    </row>
    <row r="8700" spans="1:10" x14ac:dyDescent="0.25">
      <c r="A8700" s="204">
        <v>43832</v>
      </c>
      <c r="B8700" s="26" t="s">
        <v>7064</v>
      </c>
      <c r="C8700" s="26" t="s">
        <v>5853</v>
      </c>
      <c r="D8700" s="8">
        <v>10700</v>
      </c>
      <c r="E8700" s="8"/>
      <c r="F8700" s="92">
        <f t="shared" si="173"/>
        <v>19228</v>
      </c>
    </row>
    <row r="8701" spans="1:10" x14ac:dyDescent="0.25">
      <c r="A8701" s="204">
        <v>43832</v>
      </c>
      <c r="B8701" s="26" t="s">
        <v>7113</v>
      </c>
      <c r="C8701" s="26" t="s">
        <v>7369</v>
      </c>
      <c r="D8701" s="8">
        <v>7000</v>
      </c>
      <c r="E8701" s="8"/>
      <c r="F8701" s="92">
        <f t="shared" si="173"/>
        <v>12228</v>
      </c>
    </row>
    <row r="8702" spans="1:10" x14ac:dyDescent="0.25">
      <c r="A8702" s="204">
        <v>43832</v>
      </c>
      <c r="B8702" s="26" t="s">
        <v>26</v>
      </c>
      <c r="C8702" s="26" t="s">
        <v>2028</v>
      </c>
      <c r="D8702" s="8">
        <v>100</v>
      </c>
      <c r="E8702" s="8"/>
      <c r="F8702" s="92">
        <f t="shared" si="173"/>
        <v>12128</v>
      </c>
    </row>
    <row r="8703" spans="1:10" x14ac:dyDescent="0.25">
      <c r="A8703" s="204">
        <v>43832</v>
      </c>
      <c r="B8703" s="26" t="s">
        <v>1619</v>
      </c>
      <c r="C8703" s="26" t="s">
        <v>7370</v>
      </c>
      <c r="D8703" s="8">
        <v>6000</v>
      </c>
      <c r="E8703" s="8"/>
      <c r="F8703" s="92">
        <f t="shared" si="173"/>
        <v>6128</v>
      </c>
    </row>
    <row r="8704" spans="1:10" x14ac:dyDescent="0.25">
      <c r="A8704" s="204">
        <v>43834</v>
      </c>
      <c r="B8704" s="26" t="s">
        <v>65</v>
      </c>
      <c r="C8704" s="26" t="s">
        <v>4976</v>
      </c>
      <c r="D8704" s="8">
        <v>3000</v>
      </c>
      <c r="E8704" s="8"/>
      <c r="F8704" s="92">
        <f t="shared" si="173"/>
        <v>3128</v>
      </c>
    </row>
    <row r="8705" spans="1:10" x14ac:dyDescent="0.25">
      <c r="A8705" s="204">
        <v>43834</v>
      </c>
      <c r="B8705" s="452" t="s">
        <v>4621</v>
      </c>
      <c r="C8705" s="452"/>
      <c r="D8705" s="452"/>
      <c r="E8705" s="8">
        <v>390000</v>
      </c>
      <c r="F8705" s="92">
        <f t="shared" ref="F8705:F8829" si="174">F8704+E8705-D8705</f>
        <v>393128</v>
      </c>
      <c r="G8705" s="10"/>
      <c r="J8705" s="6"/>
    </row>
    <row r="8706" spans="1:10" x14ac:dyDescent="0.25">
      <c r="A8706" s="204">
        <v>43834</v>
      </c>
      <c r="B8706" s="29" t="s">
        <v>4776</v>
      </c>
      <c r="C8706" s="180" t="s">
        <v>7373</v>
      </c>
      <c r="D8706" s="8">
        <v>20000</v>
      </c>
      <c r="E8706" s="8"/>
      <c r="F8706" s="92">
        <f t="shared" si="174"/>
        <v>373128</v>
      </c>
    </row>
    <row r="8707" spans="1:10" x14ac:dyDescent="0.25">
      <c r="A8707" s="204">
        <v>43834</v>
      </c>
      <c r="B8707" s="29" t="s">
        <v>4776</v>
      </c>
      <c r="C8707" s="29" t="s">
        <v>7381</v>
      </c>
      <c r="D8707" s="8">
        <v>5500</v>
      </c>
      <c r="E8707" s="8"/>
      <c r="F8707" s="92">
        <f t="shared" si="174"/>
        <v>367628</v>
      </c>
    </row>
    <row r="8708" spans="1:10" x14ac:dyDescent="0.25">
      <c r="A8708" s="204">
        <v>43834</v>
      </c>
      <c r="B8708" s="162" t="s">
        <v>1515</v>
      </c>
      <c r="C8708" s="162" t="s">
        <v>7375</v>
      </c>
      <c r="D8708" s="8">
        <v>5600</v>
      </c>
      <c r="E8708" s="8"/>
      <c r="F8708" s="92">
        <f t="shared" si="174"/>
        <v>362028</v>
      </c>
    </row>
    <row r="8709" spans="1:10" x14ac:dyDescent="0.25">
      <c r="A8709" s="204">
        <v>43834</v>
      </c>
      <c r="B8709" s="29" t="s">
        <v>2951</v>
      </c>
      <c r="C8709" s="29" t="s">
        <v>2131</v>
      </c>
      <c r="D8709" s="8">
        <v>20000</v>
      </c>
      <c r="E8709" s="8"/>
      <c r="F8709" s="92">
        <f t="shared" si="174"/>
        <v>342028</v>
      </c>
    </row>
    <row r="8710" spans="1:10" x14ac:dyDescent="0.25">
      <c r="A8710" s="204">
        <v>43834</v>
      </c>
      <c r="B8710" s="29" t="s">
        <v>542</v>
      </c>
      <c r="C8710" s="29" t="s">
        <v>544</v>
      </c>
      <c r="D8710" s="8">
        <v>20000</v>
      </c>
      <c r="E8710" s="8"/>
      <c r="F8710" s="92">
        <f t="shared" si="174"/>
        <v>322028</v>
      </c>
    </row>
    <row r="8711" spans="1:10" x14ac:dyDescent="0.25">
      <c r="A8711" s="204">
        <v>43834</v>
      </c>
      <c r="B8711" s="162" t="s">
        <v>1515</v>
      </c>
      <c r="C8711" s="162" t="s">
        <v>7376</v>
      </c>
      <c r="D8711" s="8">
        <v>11023</v>
      </c>
      <c r="E8711" s="8"/>
      <c r="F8711" s="92">
        <f t="shared" si="174"/>
        <v>311005</v>
      </c>
    </row>
    <row r="8712" spans="1:10" x14ac:dyDescent="0.25">
      <c r="A8712" s="204">
        <v>43834</v>
      </c>
      <c r="B8712" s="26" t="s">
        <v>0</v>
      </c>
      <c r="C8712" s="26" t="s">
        <v>7377</v>
      </c>
      <c r="D8712" s="8">
        <v>5000</v>
      </c>
      <c r="E8712" s="8"/>
      <c r="F8712" s="92">
        <f t="shared" si="174"/>
        <v>306005</v>
      </c>
      <c r="H8712" s="8"/>
      <c r="I8712" s="8"/>
    </row>
    <row r="8713" spans="1:10" x14ac:dyDescent="0.25">
      <c r="A8713" s="204">
        <v>43834</v>
      </c>
      <c r="B8713" s="26" t="s">
        <v>19</v>
      </c>
      <c r="C8713" s="26" t="s">
        <v>7379</v>
      </c>
      <c r="D8713" s="8">
        <v>2000</v>
      </c>
      <c r="E8713" s="8"/>
      <c r="F8713" s="92">
        <f t="shared" si="174"/>
        <v>304005</v>
      </c>
      <c r="H8713" s="8"/>
      <c r="I8713" s="8"/>
    </row>
    <row r="8714" spans="1:10" x14ac:dyDescent="0.25">
      <c r="A8714" s="222">
        <v>43834</v>
      </c>
      <c r="B8714" s="293" t="s">
        <v>1515</v>
      </c>
      <c r="C8714" s="293" t="s">
        <v>7380</v>
      </c>
      <c r="D8714" s="13">
        <v>37840</v>
      </c>
      <c r="E8714" s="13"/>
      <c r="F8714" s="327">
        <f t="shared" si="174"/>
        <v>266165</v>
      </c>
      <c r="H8714" s="8"/>
      <c r="I8714" s="8"/>
    </row>
    <row r="8715" spans="1:10" x14ac:dyDescent="0.25">
      <c r="A8715" s="204">
        <v>43835</v>
      </c>
      <c r="B8715" s="26" t="s">
        <v>1790</v>
      </c>
      <c r="C8715" s="26" t="s">
        <v>7382</v>
      </c>
      <c r="D8715" s="8">
        <v>1700</v>
      </c>
      <c r="E8715" s="8"/>
      <c r="F8715" s="92">
        <f t="shared" si="174"/>
        <v>264465</v>
      </c>
      <c r="H8715" s="8"/>
      <c r="I8715" s="8"/>
    </row>
    <row r="8716" spans="1:10" x14ac:dyDescent="0.25">
      <c r="A8716" s="204">
        <v>43835</v>
      </c>
      <c r="B8716" s="26" t="s">
        <v>14</v>
      </c>
      <c r="C8716" s="26" t="s">
        <v>295</v>
      </c>
      <c r="D8716" s="8">
        <v>50000</v>
      </c>
      <c r="E8716" s="8"/>
      <c r="F8716" s="92">
        <f t="shared" si="174"/>
        <v>214465</v>
      </c>
      <c r="H8716" s="8"/>
      <c r="I8716" s="8"/>
    </row>
    <row r="8717" spans="1:10" x14ac:dyDescent="0.25">
      <c r="A8717" s="204">
        <v>43835</v>
      </c>
      <c r="B8717" s="26" t="s">
        <v>6770</v>
      </c>
      <c r="C8717" s="26" t="s">
        <v>7383</v>
      </c>
      <c r="D8717" s="8">
        <v>12800</v>
      </c>
      <c r="E8717" s="8"/>
      <c r="F8717" s="92">
        <f t="shared" si="174"/>
        <v>201665</v>
      </c>
      <c r="H8717" s="8"/>
      <c r="I8717" s="8"/>
    </row>
    <row r="8718" spans="1:10" x14ac:dyDescent="0.25">
      <c r="A8718" s="204">
        <v>43835</v>
      </c>
      <c r="B8718" s="26" t="s">
        <v>6770</v>
      </c>
      <c r="C8718" s="26" t="s">
        <v>4945</v>
      </c>
      <c r="D8718" s="8">
        <v>5100</v>
      </c>
      <c r="E8718" s="8"/>
      <c r="F8718" s="92">
        <f t="shared" si="174"/>
        <v>196565</v>
      </c>
      <c r="H8718" s="8"/>
      <c r="I8718" s="8"/>
    </row>
    <row r="8719" spans="1:10" x14ac:dyDescent="0.25">
      <c r="A8719" s="204">
        <v>43835</v>
      </c>
      <c r="B8719" s="29" t="s">
        <v>5140</v>
      </c>
      <c r="C8719" s="29" t="s">
        <v>41</v>
      </c>
      <c r="D8719" s="8">
        <v>4370</v>
      </c>
      <c r="E8719" s="8"/>
      <c r="F8719" s="92">
        <f>F8718+E8719-D8719</f>
        <v>192195</v>
      </c>
    </row>
    <row r="8720" spans="1:10" x14ac:dyDescent="0.25">
      <c r="A8720" s="204">
        <v>43835</v>
      </c>
      <c r="B8720" s="29" t="s">
        <v>5239</v>
      </c>
      <c r="C8720" s="29" t="s">
        <v>6756</v>
      </c>
      <c r="D8720" s="8">
        <v>526</v>
      </c>
      <c r="E8720" s="8"/>
      <c r="F8720" s="92">
        <f t="shared" si="174"/>
        <v>191669</v>
      </c>
    </row>
    <row r="8721" spans="1:10" x14ac:dyDescent="0.25">
      <c r="A8721" s="204">
        <v>43835</v>
      </c>
      <c r="B8721" s="452" t="s">
        <v>4621</v>
      </c>
      <c r="C8721" s="452"/>
      <c r="D8721" s="452"/>
      <c r="E8721" s="8">
        <v>500000</v>
      </c>
      <c r="F8721" s="92">
        <f t="shared" si="174"/>
        <v>691669</v>
      </c>
      <c r="G8721" s="10"/>
      <c r="J8721" s="6"/>
    </row>
    <row r="8722" spans="1:10" x14ac:dyDescent="0.25">
      <c r="A8722" s="204">
        <v>43835</v>
      </c>
      <c r="B8722" s="29" t="s">
        <v>7384</v>
      </c>
      <c r="C8722" s="29" t="s">
        <v>7385</v>
      </c>
      <c r="D8722" s="8">
        <v>100000</v>
      </c>
      <c r="E8722" s="8"/>
      <c r="F8722" s="92">
        <f t="shared" si="174"/>
        <v>591669</v>
      </c>
    </row>
    <row r="8723" spans="1:10" x14ac:dyDescent="0.25">
      <c r="A8723" s="204">
        <v>43835</v>
      </c>
      <c r="B8723" s="26" t="s">
        <v>4059</v>
      </c>
      <c r="C8723" s="26" t="s">
        <v>7386</v>
      </c>
      <c r="D8723" s="8">
        <v>200</v>
      </c>
      <c r="E8723" s="8"/>
      <c r="F8723" s="92">
        <f t="shared" si="174"/>
        <v>591469</v>
      </c>
    </row>
    <row r="8724" spans="1:10" x14ac:dyDescent="0.25">
      <c r="A8724" s="204">
        <v>43835</v>
      </c>
      <c r="B8724" s="26" t="s">
        <v>7387</v>
      </c>
      <c r="C8724" s="26" t="s">
        <v>7388</v>
      </c>
      <c r="D8724" s="8">
        <v>38000</v>
      </c>
      <c r="E8724" s="8"/>
      <c r="F8724" s="92">
        <f t="shared" si="174"/>
        <v>553469</v>
      </c>
    </row>
    <row r="8725" spans="1:10" ht="30" x14ac:dyDescent="0.25">
      <c r="A8725" s="204">
        <v>43836</v>
      </c>
      <c r="B8725" s="180" t="s">
        <v>1840</v>
      </c>
      <c r="C8725" s="213" t="s">
        <v>7390</v>
      </c>
      <c r="D8725" s="57">
        <v>1000</v>
      </c>
      <c r="E8725" s="8"/>
      <c r="F8725" s="92">
        <f t="shared" si="174"/>
        <v>552469</v>
      </c>
    </row>
    <row r="8726" spans="1:10" x14ac:dyDescent="0.25">
      <c r="A8726" s="204">
        <v>43836</v>
      </c>
      <c r="B8726" s="26" t="s">
        <v>14</v>
      </c>
      <c r="C8726" s="26" t="s">
        <v>295</v>
      </c>
      <c r="D8726" s="8">
        <v>50000</v>
      </c>
      <c r="E8726" s="8"/>
      <c r="F8726" s="92">
        <f t="shared" si="174"/>
        <v>502469</v>
      </c>
    </row>
    <row r="8727" spans="1:10" x14ac:dyDescent="0.25">
      <c r="A8727" s="204">
        <v>43836</v>
      </c>
      <c r="B8727" s="26" t="s">
        <v>26</v>
      </c>
      <c r="C8727" s="26" t="s">
        <v>7401</v>
      </c>
      <c r="D8727" s="8">
        <v>1000</v>
      </c>
      <c r="E8727" s="8"/>
      <c r="F8727" s="92">
        <f t="shared" si="174"/>
        <v>501469</v>
      </c>
    </row>
    <row r="8728" spans="1:10" x14ac:dyDescent="0.25">
      <c r="A8728" s="204">
        <v>43836</v>
      </c>
      <c r="B8728" s="162" t="s">
        <v>1515</v>
      </c>
      <c r="C8728" s="162" t="s">
        <v>7034</v>
      </c>
      <c r="D8728" s="8">
        <v>119633</v>
      </c>
      <c r="E8728" s="8"/>
      <c r="F8728" s="92">
        <f t="shared" si="174"/>
        <v>381836</v>
      </c>
    </row>
    <row r="8729" spans="1:10" x14ac:dyDescent="0.25">
      <c r="A8729" s="204">
        <v>43836</v>
      </c>
      <c r="B8729" s="162" t="s">
        <v>1515</v>
      </c>
      <c r="C8729" s="162" t="s">
        <v>7389</v>
      </c>
      <c r="D8729" s="8">
        <f>31000+35000</f>
        <v>66000</v>
      </c>
      <c r="E8729" s="8"/>
      <c r="F8729" s="92">
        <f t="shared" si="174"/>
        <v>315836</v>
      </c>
    </row>
    <row r="8730" spans="1:10" x14ac:dyDescent="0.25">
      <c r="A8730" s="204">
        <v>43837</v>
      </c>
      <c r="B8730" s="46" t="s">
        <v>26</v>
      </c>
      <c r="C8730" s="46" t="s">
        <v>7391</v>
      </c>
      <c r="D8730" s="140">
        <v>180</v>
      </c>
      <c r="E8730" s="140"/>
      <c r="F8730" s="92">
        <f t="shared" si="174"/>
        <v>315656</v>
      </c>
      <c r="G8730" s="25"/>
    </row>
    <row r="8731" spans="1:10" x14ac:dyDescent="0.25">
      <c r="A8731" s="204">
        <v>43837</v>
      </c>
      <c r="B8731" s="162" t="s">
        <v>1515</v>
      </c>
      <c r="C8731" s="162" t="s">
        <v>6826</v>
      </c>
      <c r="D8731" s="8">
        <v>98246</v>
      </c>
      <c r="E8731" s="8"/>
      <c r="F8731" s="92">
        <f t="shared" si="174"/>
        <v>217410</v>
      </c>
    </row>
    <row r="8732" spans="1:10" x14ac:dyDescent="0.25">
      <c r="A8732" s="204">
        <v>43837</v>
      </c>
      <c r="B8732" s="162" t="s">
        <v>1515</v>
      </c>
      <c r="C8732" s="162" t="s">
        <v>7399</v>
      </c>
      <c r="D8732" s="140">
        <v>61645</v>
      </c>
      <c r="E8732" s="140"/>
      <c r="F8732" s="92">
        <f t="shared" si="174"/>
        <v>155765</v>
      </c>
      <c r="G8732" s="25"/>
    </row>
    <row r="8733" spans="1:10" x14ac:dyDescent="0.25">
      <c r="A8733" s="204">
        <v>43837</v>
      </c>
      <c r="B8733" s="46" t="s">
        <v>6541</v>
      </c>
      <c r="C8733" s="46" t="s">
        <v>7392</v>
      </c>
      <c r="D8733" s="140">
        <v>50000</v>
      </c>
      <c r="E8733" s="140"/>
      <c r="F8733" s="92">
        <f t="shared" si="174"/>
        <v>105765</v>
      </c>
      <c r="G8733" s="25"/>
    </row>
    <row r="8734" spans="1:10" x14ac:dyDescent="0.25">
      <c r="A8734" s="204">
        <v>43837</v>
      </c>
      <c r="B8734" s="162" t="s">
        <v>1515</v>
      </c>
      <c r="C8734" s="46" t="s">
        <v>7191</v>
      </c>
      <c r="D8734" s="140">
        <v>39516</v>
      </c>
      <c r="E8734" s="140"/>
      <c r="F8734" s="92">
        <f t="shared" si="174"/>
        <v>66249</v>
      </c>
      <c r="G8734" s="25"/>
    </row>
    <row r="8735" spans="1:10" x14ac:dyDescent="0.25">
      <c r="A8735" s="204">
        <v>43837</v>
      </c>
      <c r="B8735" s="162" t="s">
        <v>1515</v>
      </c>
      <c r="C8735" s="46" t="s">
        <v>7400</v>
      </c>
      <c r="D8735" s="140">
        <v>48484</v>
      </c>
      <c r="E8735" s="140"/>
      <c r="F8735" s="92">
        <f t="shared" si="174"/>
        <v>17765</v>
      </c>
      <c r="G8735" s="25"/>
    </row>
    <row r="8736" spans="1:10" x14ac:dyDescent="0.25">
      <c r="A8736" s="204">
        <v>43837</v>
      </c>
      <c r="B8736" s="452" t="s">
        <v>4621</v>
      </c>
      <c r="C8736" s="452"/>
      <c r="D8736" s="452"/>
      <c r="E8736" s="8">
        <v>200000</v>
      </c>
      <c r="F8736" s="92">
        <f t="shared" si="174"/>
        <v>217765</v>
      </c>
      <c r="G8736" s="10"/>
      <c r="J8736" s="6"/>
    </row>
    <row r="8737" spans="1:10" x14ac:dyDescent="0.25">
      <c r="A8737" s="204">
        <v>43837</v>
      </c>
      <c r="B8737" s="162" t="s">
        <v>1515</v>
      </c>
      <c r="C8737" s="26" t="s">
        <v>7393</v>
      </c>
      <c r="D8737" s="8">
        <v>193255</v>
      </c>
      <c r="E8737" s="8"/>
      <c r="F8737" s="92">
        <f t="shared" si="174"/>
        <v>24510</v>
      </c>
    </row>
    <row r="8738" spans="1:10" x14ac:dyDescent="0.25">
      <c r="A8738" s="204">
        <v>43838</v>
      </c>
      <c r="B8738" s="26" t="s">
        <v>1015</v>
      </c>
      <c r="C8738" s="26" t="s">
        <v>7397</v>
      </c>
      <c r="D8738" s="8">
        <v>2000</v>
      </c>
      <c r="E8738" s="8"/>
      <c r="F8738" s="92">
        <f t="shared" si="174"/>
        <v>22510</v>
      </c>
    </row>
    <row r="8739" spans="1:10" x14ac:dyDescent="0.25">
      <c r="A8739" s="204">
        <v>43839</v>
      </c>
      <c r="B8739" s="26" t="s">
        <v>26</v>
      </c>
      <c r="C8739" s="26" t="s">
        <v>7398</v>
      </c>
      <c r="D8739" s="8">
        <v>1000</v>
      </c>
      <c r="E8739" s="8"/>
      <c r="F8739" s="92">
        <f t="shared" si="174"/>
        <v>21510</v>
      </c>
    </row>
    <row r="8740" spans="1:10" x14ac:dyDescent="0.25">
      <c r="A8740" s="204">
        <v>43839</v>
      </c>
      <c r="B8740" s="26" t="s">
        <v>14</v>
      </c>
      <c r="C8740" s="26" t="s">
        <v>641</v>
      </c>
      <c r="D8740" s="8">
        <v>1000</v>
      </c>
      <c r="E8740" s="8"/>
      <c r="F8740" s="92">
        <f t="shared" si="174"/>
        <v>20510</v>
      </c>
    </row>
    <row r="8741" spans="1:10" x14ac:dyDescent="0.25">
      <c r="A8741" s="204">
        <v>43839</v>
      </c>
      <c r="B8741" s="26" t="s">
        <v>14</v>
      </c>
      <c r="C8741" s="26" t="s">
        <v>295</v>
      </c>
      <c r="D8741" s="8">
        <v>15000</v>
      </c>
      <c r="E8741" s="8"/>
      <c r="F8741" s="92">
        <f t="shared" si="174"/>
        <v>5510</v>
      </c>
    </row>
    <row r="8742" spans="1:10" x14ac:dyDescent="0.25">
      <c r="A8742" s="204">
        <v>43839</v>
      </c>
      <c r="B8742" s="452" t="s">
        <v>4621</v>
      </c>
      <c r="C8742" s="452"/>
      <c r="D8742" s="452"/>
      <c r="E8742" s="8">
        <v>100000</v>
      </c>
      <c r="F8742" s="92">
        <f t="shared" si="174"/>
        <v>105510</v>
      </c>
      <c r="G8742" s="10"/>
      <c r="J8742" s="6"/>
    </row>
    <row r="8743" spans="1:10" x14ac:dyDescent="0.25">
      <c r="A8743" s="204">
        <v>43841</v>
      </c>
      <c r="B8743" s="26" t="s">
        <v>26</v>
      </c>
      <c r="C8743" s="26" t="s">
        <v>4280</v>
      </c>
      <c r="D8743" s="8">
        <v>4035</v>
      </c>
      <c r="E8743" s="8"/>
      <c r="F8743" s="92">
        <f t="shared" si="174"/>
        <v>101475</v>
      </c>
    </row>
    <row r="8744" spans="1:10" x14ac:dyDescent="0.25">
      <c r="A8744" s="204">
        <v>43841</v>
      </c>
      <c r="B8744" s="26" t="s">
        <v>1015</v>
      </c>
      <c r="C8744" s="26" t="s">
        <v>3733</v>
      </c>
      <c r="D8744" s="8">
        <v>10000</v>
      </c>
      <c r="E8744" s="8"/>
      <c r="F8744" s="92">
        <f t="shared" si="174"/>
        <v>91475</v>
      </c>
    </row>
    <row r="8745" spans="1:10" x14ac:dyDescent="0.25">
      <c r="A8745" s="204">
        <v>43841</v>
      </c>
      <c r="B8745" s="26" t="s">
        <v>6063</v>
      </c>
      <c r="C8745" s="26" t="s">
        <v>7402</v>
      </c>
      <c r="D8745" s="8">
        <v>3000</v>
      </c>
      <c r="E8745" s="8"/>
      <c r="F8745" s="92">
        <f t="shared" si="174"/>
        <v>88475</v>
      </c>
    </row>
    <row r="8746" spans="1:10" x14ac:dyDescent="0.25">
      <c r="A8746" s="204">
        <v>43841</v>
      </c>
      <c r="B8746" s="29" t="s">
        <v>6569</v>
      </c>
      <c r="C8746" s="29" t="s">
        <v>41</v>
      </c>
      <c r="D8746" s="8">
        <v>21000</v>
      </c>
      <c r="E8746" s="8"/>
      <c r="F8746" s="92">
        <f t="shared" si="174"/>
        <v>67475</v>
      </c>
    </row>
    <row r="8747" spans="1:10" x14ac:dyDescent="0.25">
      <c r="A8747" s="204">
        <v>43841</v>
      </c>
      <c r="B8747" s="29" t="s">
        <v>6293</v>
      </c>
      <c r="C8747" s="29" t="s">
        <v>41</v>
      </c>
      <c r="D8747" s="8">
        <v>20000</v>
      </c>
      <c r="E8747" s="8"/>
      <c r="F8747" s="92">
        <f t="shared" si="174"/>
        <v>47475</v>
      </c>
    </row>
    <row r="8748" spans="1:10" x14ac:dyDescent="0.25">
      <c r="A8748" s="204">
        <v>43841</v>
      </c>
      <c r="B8748" s="162" t="s">
        <v>1515</v>
      </c>
      <c r="C8748" s="162" t="s">
        <v>7049</v>
      </c>
      <c r="D8748" s="140">
        <v>31500</v>
      </c>
      <c r="E8748" s="140"/>
      <c r="F8748" s="92">
        <f t="shared" si="174"/>
        <v>15975</v>
      </c>
      <c r="G8748" s="25"/>
    </row>
    <row r="8749" spans="1:10" x14ac:dyDescent="0.25">
      <c r="A8749" s="204">
        <v>43841</v>
      </c>
      <c r="B8749" s="452" t="s">
        <v>7405</v>
      </c>
      <c r="C8749" s="452"/>
      <c r="D8749" s="452"/>
      <c r="E8749" s="8">
        <v>964597</v>
      </c>
      <c r="F8749" s="92">
        <f t="shared" si="174"/>
        <v>980572</v>
      </c>
      <c r="G8749" s="10"/>
      <c r="J8749" s="6"/>
    </row>
    <row r="8750" spans="1:10" x14ac:dyDescent="0.25">
      <c r="A8750" s="204">
        <v>43841</v>
      </c>
      <c r="B8750" s="26" t="s">
        <v>26</v>
      </c>
      <c r="C8750" s="26" t="s">
        <v>6430</v>
      </c>
      <c r="D8750" s="8">
        <v>150</v>
      </c>
      <c r="E8750" s="8"/>
      <c r="F8750" s="92">
        <f t="shared" si="174"/>
        <v>980422</v>
      </c>
    </row>
    <row r="8751" spans="1:10" x14ac:dyDescent="0.25">
      <c r="A8751" s="204">
        <v>43841</v>
      </c>
      <c r="B8751" s="26" t="s">
        <v>6877</v>
      </c>
      <c r="C8751" s="26" t="s">
        <v>41</v>
      </c>
      <c r="D8751" s="8">
        <v>46200</v>
      </c>
      <c r="E8751" s="8"/>
      <c r="F8751" s="92">
        <f t="shared" si="174"/>
        <v>934222</v>
      </c>
    </row>
    <row r="8752" spans="1:10" x14ac:dyDescent="0.25">
      <c r="A8752" s="204">
        <v>43842</v>
      </c>
      <c r="B8752" s="162" t="s">
        <v>1515</v>
      </c>
      <c r="C8752" s="162" t="s">
        <v>7048</v>
      </c>
      <c r="D8752" s="140">
        <v>52704</v>
      </c>
      <c r="E8752" s="140"/>
      <c r="F8752" s="92">
        <f t="shared" si="174"/>
        <v>881518</v>
      </c>
      <c r="G8752" s="25"/>
    </row>
    <row r="8753" spans="1:6" x14ac:dyDescent="0.25">
      <c r="A8753" s="204">
        <v>43842</v>
      </c>
      <c r="B8753" s="26" t="s">
        <v>7403</v>
      </c>
      <c r="C8753" s="26" t="s">
        <v>7404</v>
      </c>
      <c r="D8753" s="8">
        <v>52840</v>
      </c>
      <c r="E8753" s="8"/>
      <c r="F8753" s="92">
        <f t="shared" si="174"/>
        <v>828678</v>
      </c>
    </row>
    <row r="8754" spans="1:6" x14ac:dyDescent="0.25">
      <c r="A8754" s="204">
        <v>43842</v>
      </c>
      <c r="B8754" s="26" t="s">
        <v>26</v>
      </c>
      <c r="C8754" s="26" t="s">
        <v>7406</v>
      </c>
      <c r="D8754" s="8">
        <v>100</v>
      </c>
      <c r="E8754" s="8"/>
      <c r="F8754" s="92">
        <f t="shared" si="174"/>
        <v>828578</v>
      </c>
    </row>
    <row r="8755" spans="1:6" x14ac:dyDescent="0.25">
      <c r="A8755" s="204">
        <v>43842</v>
      </c>
      <c r="B8755" s="29" t="s">
        <v>85</v>
      </c>
      <c r="C8755" s="29" t="s">
        <v>7407</v>
      </c>
      <c r="D8755" s="14">
        <v>10000</v>
      </c>
      <c r="E8755" s="14"/>
      <c r="F8755" s="92">
        <f t="shared" si="174"/>
        <v>818578</v>
      </c>
    </row>
    <row r="8756" spans="1:6" x14ac:dyDescent="0.25">
      <c r="A8756" s="204">
        <v>43843</v>
      </c>
      <c r="B8756" s="26" t="s">
        <v>26</v>
      </c>
      <c r="C8756" s="26" t="s">
        <v>7408</v>
      </c>
      <c r="D8756" s="8">
        <v>1700</v>
      </c>
      <c r="E8756" s="8"/>
      <c r="F8756" s="92">
        <f t="shared" si="174"/>
        <v>816878</v>
      </c>
    </row>
    <row r="8757" spans="1:6" x14ac:dyDescent="0.25">
      <c r="A8757" s="204">
        <v>43843</v>
      </c>
      <c r="B8757" s="26" t="s">
        <v>3563</v>
      </c>
      <c r="C8757" s="26" t="s">
        <v>7409</v>
      </c>
      <c r="D8757" s="8">
        <v>75000</v>
      </c>
      <c r="E8757" s="8"/>
      <c r="F8757" s="92">
        <f t="shared" si="174"/>
        <v>741878</v>
      </c>
    </row>
    <row r="8758" spans="1:6" x14ac:dyDescent="0.25">
      <c r="A8758" s="204">
        <v>43843</v>
      </c>
      <c r="B8758" s="26" t="s">
        <v>2987</v>
      </c>
      <c r="C8758" s="26" t="s">
        <v>7410</v>
      </c>
      <c r="D8758" s="8">
        <v>10000</v>
      </c>
      <c r="E8758" s="8"/>
      <c r="F8758" s="92">
        <f t="shared" si="174"/>
        <v>731878</v>
      </c>
    </row>
    <row r="8759" spans="1:6" x14ac:dyDescent="0.25">
      <c r="A8759" s="204">
        <v>43844</v>
      </c>
      <c r="B8759" s="26" t="s">
        <v>7411</v>
      </c>
      <c r="C8759" s="26" t="s">
        <v>7412</v>
      </c>
      <c r="D8759" s="8">
        <v>94200</v>
      </c>
      <c r="E8759" s="8"/>
      <c r="F8759" s="92">
        <f t="shared" si="174"/>
        <v>637678</v>
      </c>
    </row>
    <row r="8760" spans="1:6" x14ac:dyDescent="0.25">
      <c r="A8760" s="204">
        <v>43844</v>
      </c>
      <c r="B8760" s="26" t="s">
        <v>7413</v>
      </c>
      <c r="C8760" s="26" t="s">
        <v>7414</v>
      </c>
      <c r="D8760" s="8">
        <v>61500</v>
      </c>
      <c r="E8760" s="8"/>
      <c r="F8760" s="92">
        <f t="shared" si="174"/>
        <v>576178</v>
      </c>
    </row>
    <row r="8761" spans="1:6" x14ac:dyDescent="0.25">
      <c r="A8761" s="204">
        <v>43844</v>
      </c>
      <c r="B8761" s="26" t="s">
        <v>1619</v>
      </c>
      <c r="C8761" s="26" t="s">
        <v>7415</v>
      </c>
      <c r="D8761" s="8">
        <v>600</v>
      </c>
      <c r="E8761" s="8"/>
      <c r="F8761" s="92">
        <f t="shared" si="174"/>
        <v>575578</v>
      </c>
    </row>
    <row r="8762" spans="1:6" x14ac:dyDescent="0.25">
      <c r="A8762" s="204">
        <v>43844</v>
      </c>
      <c r="B8762" s="26" t="s">
        <v>10</v>
      </c>
      <c r="C8762" s="26" t="s">
        <v>7416</v>
      </c>
      <c r="D8762" s="8">
        <v>2000</v>
      </c>
      <c r="E8762" s="8"/>
      <c r="F8762" s="92">
        <f t="shared" si="174"/>
        <v>573578</v>
      </c>
    </row>
    <row r="8763" spans="1:6" x14ac:dyDescent="0.25">
      <c r="A8763" s="204">
        <v>43844</v>
      </c>
      <c r="B8763" s="26" t="s">
        <v>7417</v>
      </c>
      <c r="C8763" s="26" t="s">
        <v>7418</v>
      </c>
      <c r="D8763" s="8">
        <v>100000</v>
      </c>
      <c r="E8763" s="8"/>
      <c r="F8763" s="92">
        <f t="shared" si="174"/>
        <v>473578</v>
      </c>
    </row>
    <row r="8764" spans="1:6" x14ac:dyDescent="0.25">
      <c r="A8764" s="204">
        <v>43844</v>
      </c>
      <c r="B8764" s="26" t="s">
        <v>1973</v>
      </c>
      <c r="C8764" s="26" t="s">
        <v>7419</v>
      </c>
      <c r="D8764" s="8">
        <v>60000</v>
      </c>
      <c r="E8764" s="8"/>
      <c r="F8764" s="92">
        <f t="shared" si="174"/>
        <v>413578</v>
      </c>
    </row>
    <row r="8765" spans="1:6" x14ac:dyDescent="0.25">
      <c r="A8765" s="204">
        <v>43845</v>
      </c>
      <c r="B8765" s="26" t="s">
        <v>4602</v>
      </c>
      <c r="C8765" s="26" t="s">
        <v>41</v>
      </c>
      <c r="D8765" s="8">
        <v>3000</v>
      </c>
      <c r="E8765" s="8"/>
      <c r="F8765" s="92">
        <f t="shared" si="174"/>
        <v>410578</v>
      </c>
    </row>
    <row r="8766" spans="1:6" x14ac:dyDescent="0.25">
      <c r="A8766" s="204">
        <v>43845</v>
      </c>
      <c r="B8766" s="26" t="s">
        <v>14</v>
      </c>
      <c r="C8766" s="26" t="s">
        <v>295</v>
      </c>
      <c r="D8766" s="8">
        <v>50000</v>
      </c>
      <c r="E8766" s="8"/>
      <c r="F8766" s="92">
        <f t="shared" si="174"/>
        <v>360578</v>
      </c>
    </row>
    <row r="8767" spans="1:6" x14ac:dyDescent="0.25">
      <c r="A8767" s="204">
        <v>43845</v>
      </c>
      <c r="B8767" s="137" t="s">
        <v>5479</v>
      </c>
      <c r="C8767" s="137" t="s">
        <v>7421</v>
      </c>
      <c r="D8767" s="139">
        <v>1120</v>
      </c>
      <c r="E8767" s="8"/>
      <c r="F8767" s="92">
        <f t="shared" si="174"/>
        <v>359458</v>
      </c>
    </row>
    <row r="8768" spans="1:6" x14ac:dyDescent="0.25">
      <c r="A8768" s="204">
        <v>43846</v>
      </c>
      <c r="B8768" s="29" t="s">
        <v>4776</v>
      </c>
      <c r="C8768" s="29" t="s">
        <v>295</v>
      </c>
      <c r="D8768" s="8">
        <v>20000</v>
      </c>
      <c r="E8768" s="8"/>
      <c r="F8768" s="92">
        <f t="shared" si="174"/>
        <v>339458</v>
      </c>
    </row>
    <row r="8769" spans="1:6" x14ac:dyDescent="0.25">
      <c r="A8769" s="204">
        <v>43846</v>
      </c>
      <c r="B8769" s="26" t="s">
        <v>1015</v>
      </c>
      <c r="C8769" s="26" t="s">
        <v>7423</v>
      </c>
      <c r="D8769" s="8">
        <v>4000</v>
      </c>
      <c r="E8769" s="8"/>
      <c r="F8769" s="92">
        <f t="shared" si="174"/>
        <v>335458</v>
      </c>
    </row>
    <row r="8770" spans="1:6" x14ac:dyDescent="0.25">
      <c r="A8770" s="204">
        <v>43846</v>
      </c>
      <c r="B8770" s="26" t="s">
        <v>4776</v>
      </c>
      <c r="C8770" s="26" t="s">
        <v>7424</v>
      </c>
      <c r="D8770" s="8">
        <v>7500</v>
      </c>
      <c r="E8770" s="8"/>
      <c r="F8770" s="92">
        <f t="shared" si="174"/>
        <v>327958</v>
      </c>
    </row>
    <row r="8771" spans="1:6" x14ac:dyDescent="0.25">
      <c r="A8771" s="204">
        <v>43846</v>
      </c>
      <c r="B8771" s="26" t="s">
        <v>26</v>
      </c>
      <c r="C8771" s="26" t="s">
        <v>6875</v>
      </c>
      <c r="D8771" s="8">
        <f>800+100+120+120</f>
        <v>1140</v>
      </c>
      <c r="E8771" s="8"/>
      <c r="F8771" s="92">
        <f t="shared" si="174"/>
        <v>326818</v>
      </c>
    </row>
    <row r="8772" spans="1:6" x14ac:dyDescent="0.25">
      <c r="A8772" s="204">
        <v>43846</v>
      </c>
      <c r="B8772" s="26" t="s">
        <v>14</v>
      </c>
      <c r="C8772" s="26" t="s">
        <v>295</v>
      </c>
      <c r="D8772" s="8">
        <v>15000</v>
      </c>
      <c r="E8772" s="8"/>
      <c r="F8772" s="92">
        <f t="shared" si="174"/>
        <v>311818</v>
      </c>
    </row>
    <row r="8773" spans="1:6" x14ac:dyDescent="0.25">
      <c r="A8773" s="204">
        <v>43846</v>
      </c>
      <c r="B8773" s="29" t="s">
        <v>5479</v>
      </c>
      <c r="C8773" s="29" t="s">
        <v>7425</v>
      </c>
      <c r="D8773" s="14">
        <v>320</v>
      </c>
      <c r="E8773" s="8"/>
      <c r="F8773" s="92">
        <f t="shared" si="174"/>
        <v>311498</v>
      </c>
    </row>
    <row r="8774" spans="1:6" x14ac:dyDescent="0.25">
      <c r="A8774" s="204">
        <v>43848</v>
      </c>
      <c r="B8774" s="29" t="s">
        <v>26</v>
      </c>
      <c r="C8774" s="29" t="s">
        <v>4280</v>
      </c>
      <c r="D8774" s="14">
        <v>4665</v>
      </c>
      <c r="E8774" s="8"/>
      <c r="F8774" s="92">
        <f t="shared" si="174"/>
        <v>306833</v>
      </c>
    </row>
    <row r="8775" spans="1:6" x14ac:dyDescent="0.25">
      <c r="A8775" s="204">
        <v>43848</v>
      </c>
      <c r="B8775" s="26" t="s">
        <v>6285</v>
      </c>
      <c r="C8775" s="26" t="s">
        <v>41</v>
      </c>
      <c r="D8775" s="8">
        <v>80247</v>
      </c>
      <c r="E8775" s="8"/>
      <c r="F8775" s="92">
        <f t="shared" si="174"/>
        <v>226586</v>
      </c>
    </row>
    <row r="8776" spans="1:6" x14ac:dyDescent="0.25">
      <c r="A8776" s="204">
        <v>43848</v>
      </c>
      <c r="B8776" s="26" t="s">
        <v>19</v>
      </c>
      <c r="C8776" s="26" t="s">
        <v>7428</v>
      </c>
      <c r="D8776" s="8">
        <v>30000</v>
      </c>
      <c r="E8776" s="8"/>
      <c r="F8776" s="92">
        <f t="shared" si="174"/>
        <v>196586</v>
      </c>
    </row>
    <row r="8777" spans="1:6" x14ac:dyDescent="0.25">
      <c r="A8777" s="204">
        <v>43848</v>
      </c>
      <c r="B8777" s="29" t="s">
        <v>48</v>
      </c>
      <c r="C8777" s="29" t="s">
        <v>7426</v>
      </c>
      <c r="D8777" s="8">
        <v>900</v>
      </c>
      <c r="E8777" s="8"/>
      <c r="F8777" s="92">
        <f t="shared" si="174"/>
        <v>195686</v>
      </c>
    </row>
    <row r="8778" spans="1:6" x14ac:dyDescent="0.25">
      <c r="A8778" s="204">
        <v>43848</v>
      </c>
      <c r="B8778" s="29" t="s">
        <v>26</v>
      </c>
      <c r="C8778" s="29" t="s">
        <v>7427</v>
      </c>
      <c r="D8778" s="8">
        <v>100</v>
      </c>
      <c r="E8778" s="8"/>
      <c r="F8778" s="92">
        <f t="shared" si="174"/>
        <v>195586</v>
      </c>
    </row>
    <row r="8779" spans="1:6" ht="30" x14ac:dyDescent="0.25">
      <c r="A8779" s="204">
        <v>43848</v>
      </c>
      <c r="B8779" s="205" t="s">
        <v>19</v>
      </c>
      <c r="C8779" s="206" t="s">
        <v>7463</v>
      </c>
      <c r="D8779" s="91">
        <v>5000</v>
      </c>
      <c r="E8779" s="91"/>
      <c r="F8779" s="92">
        <f t="shared" si="174"/>
        <v>190586</v>
      </c>
    </row>
    <row r="8780" spans="1:6" x14ac:dyDescent="0.25">
      <c r="A8780" s="204">
        <v>43848</v>
      </c>
      <c r="B8780" s="29" t="s">
        <v>1515</v>
      </c>
      <c r="C8780" s="29" t="s">
        <v>7430</v>
      </c>
      <c r="D8780" s="8">
        <v>200</v>
      </c>
      <c r="E8780" s="8"/>
      <c r="F8780" s="92">
        <f t="shared" si="174"/>
        <v>190386</v>
      </c>
    </row>
    <row r="8781" spans="1:6" ht="45" x14ac:dyDescent="0.25">
      <c r="A8781" s="204">
        <v>43848</v>
      </c>
      <c r="B8781" s="26" t="s">
        <v>1077</v>
      </c>
      <c r="C8781" s="87" t="s">
        <v>7431</v>
      </c>
      <c r="D8781" s="8">
        <v>12240</v>
      </c>
      <c r="E8781" s="8"/>
      <c r="F8781" s="92">
        <f t="shared" si="174"/>
        <v>178146</v>
      </c>
    </row>
    <row r="8782" spans="1:6" x14ac:dyDescent="0.25">
      <c r="A8782" s="204">
        <v>43848</v>
      </c>
      <c r="B8782" s="26" t="s">
        <v>85</v>
      </c>
      <c r="C8782" s="26" t="s">
        <v>7432</v>
      </c>
      <c r="D8782" s="8">
        <v>3000</v>
      </c>
      <c r="E8782" s="8"/>
      <c r="F8782" s="92">
        <f t="shared" si="174"/>
        <v>175146</v>
      </c>
    </row>
    <row r="8783" spans="1:6" x14ac:dyDescent="0.25">
      <c r="A8783" s="204">
        <v>43848</v>
      </c>
      <c r="B8783" s="26" t="s">
        <v>1015</v>
      </c>
      <c r="C8783" s="26" t="s">
        <v>7423</v>
      </c>
      <c r="D8783" s="8">
        <v>20000</v>
      </c>
      <c r="E8783" s="8"/>
      <c r="F8783" s="92">
        <f t="shared" si="174"/>
        <v>155146</v>
      </c>
    </row>
    <row r="8784" spans="1:6" x14ac:dyDescent="0.25">
      <c r="A8784" s="204">
        <v>43848</v>
      </c>
      <c r="B8784" s="26" t="s">
        <v>85</v>
      </c>
      <c r="C8784" s="26" t="s">
        <v>7433</v>
      </c>
      <c r="D8784" s="8">
        <v>10000</v>
      </c>
      <c r="E8784" s="8"/>
      <c r="F8784" s="92">
        <f t="shared" si="174"/>
        <v>145146</v>
      </c>
    </row>
    <row r="8785" spans="1:6" x14ac:dyDescent="0.25">
      <c r="A8785" s="204">
        <v>43848</v>
      </c>
      <c r="B8785" s="26" t="s">
        <v>85</v>
      </c>
      <c r="C8785" s="26" t="s">
        <v>7434</v>
      </c>
      <c r="D8785" s="8">
        <v>3000</v>
      </c>
      <c r="E8785" s="8"/>
      <c r="F8785" s="92">
        <f t="shared" si="174"/>
        <v>142146</v>
      </c>
    </row>
    <row r="8786" spans="1:6" x14ac:dyDescent="0.25">
      <c r="A8786" s="204">
        <v>43848</v>
      </c>
      <c r="B8786" s="29" t="s">
        <v>4776</v>
      </c>
      <c r="C8786" s="29" t="s">
        <v>295</v>
      </c>
      <c r="D8786" s="8">
        <v>100000</v>
      </c>
      <c r="E8786" s="8"/>
      <c r="F8786" s="92">
        <f t="shared" si="174"/>
        <v>42146</v>
      </c>
    </row>
    <row r="8787" spans="1:6" x14ac:dyDescent="0.25">
      <c r="A8787" s="204">
        <v>43849</v>
      </c>
      <c r="B8787" s="29" t="s">
        <v>6877</v>
      </c>
      <c r="C8787" s="29" t="s">
        <v>7435</v>
      </c>
      <c r="D8787" s="8">
        <v>15000</v>
      </c>
      <c r="E8787" s="8"/>
      <c r="F8787" s="92">
        <f t="shared" si="174"/>
        <v>27146</v>
      </c>
    </row>
    <row r="8788" spans="1:6" x14ac:dyDescent="0.25">
      <c r="A8788" s="204">
        <v>43849</v>
      </c>
      <c r="B8788" s="29" t="s">
        <v>5479</v>
      </c>
      <c r="C8788" s="29" t="s">
        <v>7436</v>
      </c>
      <c r="D8788" s="8">
        <v>3400</v>
      </c>
      <c r="E8788" s="8"/>
      <c r="F8788" s="92">
        <f t="shared" si="174"/>
        <v>23746</v>
      </c>
    </row>
    <row r="8789" spans="1:6" x14ac:dyDescent="0.25">
      <c r="A8789" s="204">
        <v>43849</v>
      </c>
      <c r="B8789" s="29" t="s">
        <v>5485</v>
      </c>
      <c r="C8789" s="29" t="s">
        <v>6417</v>
      </c>
      <c r="D8789" s="8">
        <v>600</v>
      </c>
      <c r="E8789" s="8"/>
      <c r="F8789" s="92">
        <f t="shared" si="174"/>
        <v>23146</v>
      </c>
    </row>
    <row r="8790" spans="1:6" x14ac:dyDescent="0.25">
      <c r="A8790" s="204">
        <v>43849</v>
      </c>
      <c r="B8790" s="26" t="s">
        <v>1790</v>
      </c>
      <c r="C8790" s="26"/>
      <c r="D8790" s="8">
        <v>2000</v>
      </c>
      <c r="E8790" s="8"/>
      <c r="F8790" s="92">
        <f t="shared" si="174"/>
        <v>21146</v>
      </c>
    </row>
    <row r="8791" spans="1:6" x14ac:dyDescent="0.25">
      <c r="A8791" s="204">
        <v>43850</v>
      </c>
      <c r="B8791" s="26" t="s">
        <v>7437</v>
      </c>
      <c r="C8791" s="26" t="s">
        <v>7438</v>
      </c>
      <c r="D8791" s="8">
        <v>2000</v>
      </c>
      <c r="E8791" s="8"/>
      <c r="F8791" s="92">
        <f t="shared" si="174"/>
        <v>19146</v>
      </c>
    </row>
    <row r="8792" spans="1:6" x14ac:dyDescent="0.25">
      <c r="A8792" s="204">
        <v>43850</v>
      </c>
      <c r="B8792" s="26" t="s">
        <v>85</v>
      </c>
      <c r="C8792" s="26" t="s">
        <v>7441</v>
      </c>
      <c r="D8792" s="8">
        <v>5000</v>
      </c>
      <c r="E8792" s="8"/>
      <c r="F8792" s="92">
        <f t="shared" si="174"/>
        <v>14146</v>
      </c>
    </row>
    <row r="8793" spans="1:6" x14ac:dyDescent="0.25">
      <c r="A8793" s="204">
        <v>43851</v>
      </c>
      <c r="B8793" s="26" t="s">
        <v>26</v>
      </c>
      <c r="C8793" s="26" t="s">
        <v>7442</v>
      </c>
      <c r="D8793" s="8">
        <f>100+350</f>
        <v>450</v>
      </c>
      <c r="E8793" s="8"/>
      <c r="F8793" s="92">
        <f t="shared" si="174"/>
        <v>13696</v>
      </c>
    </row>
    <row r="8794" spans="1:6" x14ac:dyDescent="0.25">
      <c r="A8794" s="204">
        <v>43851</v>
      </c>
      <c r="B8794" s="26" t="s">
        <v>26</v>
      </c>
      <c r="C8794" s="26" t="s">
        <v>7443</v>
      </c>
      <c r="D8794" s="8">
        <v>500</v>
      </c>
      <c r="E8794" s="8"/>
      <c r="F8794" s="92">
        <f t="shared" si="174"/>
        <v>13196</v>
      </c>
    </row>
    <row r="8795" spans="1:6" x14ac:dyDescent="0.25">
      <c r="A8795" s="204">
        <v>43852</v>
      </c>
      <c r="B8795" s="26" t="s">
        <v>5479</v>
      </c>
      <c r="C8795" s="26" t="s">
        <v>7444</v>
      </c>
      <c r="D8795" s="8">
        <v>160</v>
      </c>
      <c r="E8795" s="8"/>
      <c r="F8795" s="92">
        <f t="shared" si="174"/>
        <v>13036</v>
      </c>
    </row>
    <row r="8796" spans="1:6" x14ac:dyDescent="0.25">
      <c r="A8796" s="204">
        <v>43852</v>
      </c>
      <c r="B8796" s="29" t="s">
        <v>2951</v>
      </c>
      <c r="C8796" s="29" t="s">
        <v>7445</v>
      </c>
      <c r="D8796" s="8">
        <v>475</v>
      </c>
      <c r="E8796" s="8"/>
      <c r="F8796" s="92">
        <f t="shared" si="174"/>
        <v>12561</v>
      </c>
    </row>
    <row r="8797" spans="1:6" x14ac:dyDescent="0.25">
      <c r="A8797" s="204">
        <v>43852</v>
      </c>
      <c r="B8797" s="29" t="s">
        <v>26</v>
      </c>
      <c r="C8797" s="29" t="s">
        <v>7446</v>
      </c>
      <c r="D8797" s="8">
        <v>300</v>
      </c>
      <c r="E8797" s="8"/>
      <c r="F8797" s="92">
        <f t="shared" si="174"/>
        <v>12261</v>
      </c>
    </row>
    <row r="8798" spans="1:6" x14ac:dyDescent="0.25">
      <c r="A8798" s="204">
        <v>43852</v>
      </c>
      <c r="B8798" s="452" t="s">
        <v>4621</v>
      </c>
      <c r="C8798" s="452"/>
      <c r="D8798" s="452"/>
      <c r="E8798" s="8">
        <v>50000</v>
      </c>
      <c r="F8798" s="92">
        <f t="shared" si="174"/>
        <v>62261</v>
      </c>
    </row>
    <row r="8799" spans="1:6" x14ac:dyDescent="0.25">
      <c r="A8799" s="204">
        <v>43852</v>
      </c>
      <c r="B8799" s="26" t="s">
        <v>14</v>
      </c>
      <c r="C8799" s="26" t="s">
        <v>295</v>
      </c>
      <c r="D8799" s="8">
        <v>20000</v>
      </c>
      <c r="E8799" s="8"/>
      <c r="F8799" s="92">
        <f t="shared" si="174"/>
        <v>42261</v>
      </c>
    </row>
    <row r="8800" spans="1:6" x14ac:dyDescent="0.25">
      <c r="A8800" s="204">
        <v>43852</v>
      </c>
      <c r="B8800" s="26" t="s">
        <v>7387</v>
      </c>
      <c r="C8800" s="26" t="s">
        <v>7451</v>
      </c>
      <c r="D8800" s="8">
        <v>6600</v>
      </c>
      <c r="E8800" s="8"/>
      <c r="F8800" s="92">
        <f t="shared" si="174"/>
        <v>35661</v>
      </c>
    </row>
    <row r="8801" spans="1:6" x14ac:dyDescent="0.25">
      <c r="A8801" s="204">
        <v>43853</v>
      </c>
      <c r="B8801" s="26" t="s">
        <v>85</v>
      </c>
      <c r="C8801" s="26" t="s">
        <v>7452</v>
      </c>
      <c r="D8801" s="8">
        <v>5000</v>
      </c>
      <c r="E8801" s="8"/>
      <c r="F8801" s="92">
        <f t="shared" si="174"/>
        <v>30661</v>
      </c>
    </row>
    <row r="8802" spans="1:6" x14ac:dyDescent="0.25">
      <c r="A8802" s="204">
        <v>43853</v>
      </c>
      <c r="B8802" s="26" t="s">
        <v>85</v>
      </c>
      <c r="C8802" s="29" t="s">
        <v>7453</v>
      </c>
      <c r="D8802" s="8">
        <v>7500</v>
      </c>
      <c r="E8802" s="8"/>
      <c r="F8802" s="92">
        <f t="shared" si="174"/>
        <v>23161</v>
      </c>
    </row>
    <row r="8803" spans="1:6" x14ac:dyDescent="0.25">
      <c r="A8803" s="204">
        <v>43853</v>
      </c>
      <c r="B8803" s="26" t="s">
        <v>1015</v>
      </c>
      <c r="C8803" s="29" t="s">
        <v>7454</v>
      </c>
      <c r="D8803" s="8">
        <v>3000</v>
      </c>
      <c r="E8803" s="8"/>
      <c r="F8803" s="92">
        <f t="shared" si="174"/>
        <v>20161</v>
      </c>
    </row>
    <row r="8804" spans="1:6" x14ac:dyDescent="0.25">
      <c r="A8804" s="204">
        <v>43853</v>
      </c>
      <c r="B8804" s="26" t="s">
        <v>1840</v>
      </c>
      <c r="C8804" s="29" t="s">
        <v>7455</v>
      </c>
      <c r="D8804" s="8">
        <v>500</v>
      </c>
      <c r="E8804" s="8"/>
      <c r="F8804" s="92">
        <f t="shared" si="174"/>
        <v>19661</v>
      </c>
    </row>
    <row r="8805" spans="1:6" x14ac:dyDescent="0.25">
      <c r="A8805" s="204">
        <v>43855</v>
      </c>
      <c r="B8805" s="452" t="s">
        <v>4621</v>
      </c>
      <c r="C8805" s="452"/>
      <c r="D8805" s="452"/>
      <c r="E8805" s="8">
        <v>200000</v>
      </c>
      <c r="F8805" s="92">
        <f t="shared" si="174"/>
        <v>219661</v>
      </c>
    </row>
    <row r="8806" spans="1:6" x14ac:dyDescent="0.25">
      <c r="A8806" s="204">
        <v>43855</v>
      </c>
      <c r="B8806" s="26" t="s">
        <v>6063</v>
      </c>
      <c r="C8806" s="26" t="s">
        <v>7456</v>
      </c>
      <c r="D8806" s="8">
        <v>25000</v>
      </c>
      <c r="E8806" s="8"/>
      <c r="F8806" s="92">
        <f t="shared" si="174"/>
        <v>194661</v>
      </c>
    </row>
    <row r="8807" spans="1:6" x14ac:dyDescent="0.25">
      <c r="A8807" s="204">
        <v>43855</v>
      </c>
      <c r="B8807" s="26" t="s">
        <v>6063</v>
      </c>
      <c r="C8807" s="26" t="s">
        <v>7457</v>
      </c>
      <c r="D8807" s="8">
        <v>1500</v>
      </c>
      <c r="E8807" s="8"/>
      <c r="F8807" s="92">
        <f t="shared" si="174"/>
        <v>193161</v>
      </c>
    </row>
    <row r="8808" spans="1:6" x14ac:dyDescent="0.25">
      <c r="A8808" s="204">
        <v>43855</v>
      </c>
      <c r="B8808" s="26" t="s">
        <v>1077</v>
      </c>
      <c r="C8808" s="26" t="s">
        <v>7458</v>
      </c>
      <c r="D8808" s="8">
        <v>7410</v>
      </c>
      <c r="E8808" s="8"/>
      <c r="F8808" s="92">
        <f t="shared" si="174"/>
        <v>185751</v>
      </c>
    </row>
    <row r="8809" spans="1:6" x14ac:dyDescent="0.25">
      <c r="A8809" s="204">
        <v>43855</v>
      </c>
      <c r="B8809" s="26" t="s">
        <v>1077</v>
      </c>
      <c r="C8809" s="29" t="s">
        <v>7223</v>
      </c>
      <c r="D8809" s="8">
        <v>12295</v>
      </c>
      <c r="E8809" s="8"/>
      <c r="F8809" s="92">
        <f t="shared" si="174"/>
        <v>173456</v>
      </c>
    </row>
    <row r="8810" spans="1:6" x14ac:dyDescent="0.25">
      <c r="A8810" s="204">
        <v>43855</v>
      </c>
      <c r="B8810" s="29" t="s">
        <v>1461</v>
      </c>
      <c r="C8810" s="29" t="s">
        <v>4280</v>
      </c>
      <c r="D8810" s="8"/>
      <c r="E8810" s="8"/>
      <c r="F8810" s="92">
        <f t="shared" si="174"/>
        <v>173456</v>
      </c>
    </row>
    <row r="8811" spans="1:6" x14ac:dyDescent="0.25">
      <c r="A8811" s="204">
        <v>43855</v>
      </c>
      <c r="B8811" s="29" t="s">
        <v>0</v>
      </c>
      <c r="C8811" s="29" t="s">
        <v>295</v>
      </c>
      <c r="D8811" s="8">
        <v>50000</v>
      </c>
      <c r="E8811" s="8"/>
      <c r="F8811" s="92">
        <f t="shared" si="174"/>
        <v>123456</v>
      </c>
    </row>
    <row r="8812" spans="1:6" x14ac:dyDescent="0.25">
      <c r="A8812" s="204">
        <v>43855</v>
      </c>
      <c r="B8812" s="26" t="s">
        <v>7460</v>
      </c>
      <c r="C8812" s="26" t="s">
        <v>7461</v>
      </c>
      <c r="D8812" s="8">
        <v>5000</v>
      </c>
      <c r="E8812" s="8"/>
      <c r="F8812" s="92">
        <f t="shared" si="174"/>
        <v>118456</v>
      </c>
    </row>
    <row r="8813" spans="1:6" x14ac:dyDescent="0.25">
      <c r="A8813" s="204">
        <v>43855</v>
      </c>
      <c r="B8813" s="26" t="s">
        <v>6063</v>
      </c>
      <c r="C8813" s="26" t="s">
        <v>7462</v>
      </c>
      <c r="D8813" s="8">
        <v>5000</v>
      </c>
      <c r="E8813" s="8"/>
      <c r="F8813" s="92">
        <f t="shared" si="174"/>
        <v>113456</v>
      </c>
    </row>
    <row r="8814" spans="1:6" x14ac:dyDescent="0.25">
      <c r="A8814" s="204">
        <v>43856</v>
      </c>
      <c r="B8814" s="29" t="s">
        <v>26</v>
      </c>
      <c r="C8814" s="29" t="s">
        <v>4280</v>
      </c>
      <c r="D8814" s="8">
        <f>5086+130+60+40+100+40+1600</f>
        <v>7056</v>
      </c>
      <c r="E8814" s="8"/>
      <c r="F8814" s="92">
        <f t="shared" si="174"/>
        <v>106400</v>
      </c>
    </row>
    <row r="8815" spans="1:6" x14ac:dyDescent="0.25">
      <c r="A8815" s="204">
        <v>43856</v>
      </c>
      <c r="B8815" s="26" t="s">
        <v>0</v>
      </c>
      <c r="C8815" s="26" t="s">
        <v>295</v>
      </c>
      <c r="D8815" s="8">
        <v>20000</v>
      </c>
      <c r="E8815" s="8"/>
      <c r="F8815" s="92">
        <f t="shared" si="174"/>
        <v>86400</v>
      </c>
    </row>
    <row r="8816" spans="1:6" x14ac:dyDescent="0.25">
      <c r="A8816" s="204">
        <v>43857</v>
      </c>
      <c r="B8816" s="26" t="s">
        <v>19</v>
      </c>
      <c r="C8816" s="26" t="s">
        <v>7497</v>
      </c>
      <c r="D8816" s="8">
        <v>5000</v>
      </c>
      <c r="E8816" s="8"/>
      <c r="F8816" s="92">
        <f t="shared" si="174"/>
        <v>81400</v>
      </c>
    </row>
    <row r="8817" spans="1:15" x14ac:dyDescent="0.25">
      <c r="A8817" s="204">
        <v>43857</v>
      </c>
      <c r="B8817" s="26" t="s">
        <v>1790</v>
      </c>
      <c r="C8817" s="26" t="s">
        <v>7466</v>
      </c>
      <c r="D8817" s="8">
        <v>1200</v>
      </c>
      <c r="E8817" s="8"/>
      <c r="F8817" s="92">
        <f t="shared" si="174"/>
        <v>80200</v>
      </c>
    </row>
    <row r="8818" spans="1:15" x14ac:dyDescent="0.25">
      <c r="A8818" s="204">
        <v>43857</v>
      </c>
      <c r="B8818" s="26" t="s">
        <v>6877</v>
      </c>
      <c r="C8818" s="26" t="s">
        <v>295</v>
      </c>
      <c r="D8818" s="8">
        <v>10000</v>
      </c>
      <c r="E8818" s="8"/>
      <c r="F8818" s="92">
        <f t="shared" si="174"/>
        <v>70200</v>
      </c>
    </row>
    <row r="8819" spans="1:15" ht="30" x14ac:dyDescent="0.25">
      <c r="A8819" s="204">
        <v>43857</v>
      </c>
      <c r="B8819" s="26" t="s">
        <v>1790</v>
      </c>
      <c r="C8819" s="87" t="s">
        <v>7467</v>
      </c>
      <c r="D8819" s="8">
        <v>6000</v>
      </c>
      <c r="E8819" s="8"/>
      <c r="F8819" s="92">
        <f t="shared" si="174"/>
        <v>64200</v>
      </c>
    </row>
    <row r="8820" spans="1:15" x14ac:dyDescent="0.25">
      <c r="A8820" s="204">
        <v>43857</v>
      </c>
      <c r="B8820" s="29" t="s">
        <v>3563</v>
      </c>
      <c r="C8820" s="29" t="s">
        <v>92</v>
      </c>
      <c r="D8820" s="8">
        <v>660</v>
      </c>
      <c r="E8820" s="8"/>
      <c r="F8820" s="92">
        <f t="shared" si="174"/>
        <v>63540</v>
      </c>
    </row>
    <row r="8821" spans="1:15" x14ac:dyDescent="0.25">
      <c r="A8821" s="204">
        <v>43857</v>
      </c>
      <c r="B8821" s="26" t="s">
        <v>26</v>
      </c>
      <c r="C8821" s="26" t="s">
        <v>7469</v>
      </c>
      <c r="D8821" s="8">
        <v>100</v>
      </c>
      <c r="E8821" s="8"/>
      <c r="F8821" s="92">
        <f t="shared" si="174"/>
        <v>63440</v>
      </c>
    </row>
    <row r="8822" spans="1:15" x14ac:dyDescent="0.25">
      <c r="A8822" s="204">
        <v>43858</v>
      </c>
      <c r="B8822" s="26" t="s">
        <v>0</v>
      </c>
      <c r="C8822" s="26" t="s">
        <v>295</v>
      </c>
      <c r="D8822" s="8">
        <v>15000</v>
      </c>
      <c r="E8822" s="8"/>
      <c r="F8822" s="92">
        <f t="shared" si="174"/>
        <v>48440</v>
      </c>
    </row>
    <row r="8823" spans="1:15" x14ac:dyDescent="0.25">
      <c r="A8823" s="204">
        <v>43858</v>
      </c>
      <c r="B8823" s="26" t="s">
        <v>1790</v>
      </c>
      <c r="C8823" s="26" t="s">
        <v>7466</v>
      </c>
      <c r="D8823" s="8">
        <v>1200</v>
      </c>
      <c r="E8823" s="8"/>
      <c r="F8823" s="92">
        <f t="shared" si="174"/>
        <v>47240</v>
      </c>
    </row>
    <row r="8824" spans="1:15" x14ac:dyDescent="0.25">
      <c r="A8824" s="204">
        <v>43858</v>
      </c>
      <c r="B8824" s="29" t="s">
        <v>1619</v>
      </c>
      <c r="C8824" s="29" t="s">
        <v>641</v>
      </c>
      <c r="D8824" s="8">
        <v>1500</v>
      </c>
      <c r="E8824" s="8"/>
      <c r="F8824" s="92">
        <f t="shared" si="174"/>
        <v>45740</v>
      </c>
    </row>
    <row r="8825" spans="1:15" x14ac:dyDescent="0.25">
      <c r="A8825" s="204">
        <v>43858</v>
      </c>
      <c r="B8825" s="29" t="s">
        <v>5827</v>
      </c>
      <c r="C8825" s="29" t="s">
        <v>41</v>
      </c>
      <c r="D8825" s="8">
        <v>15000</v>
      </c>
      <c r="E8825" s="8"/>
      <c r="F8825" s="92">
        <f t="shared" si="174"/>
        <v>30740</v>
      </c>
    </row>
    <row r="8826" spans="1:15" x14ac:dyDescent="0.25">
      <c r="A8826" s="204">
        <v>43858</v>
      </c>
      <c r="B8826" s="26" t="s">
        <v>26</v>
      </c>
      <c r="C8826" s="26" t="s">
        <v>7470</v>
      </c>
      <c r="D8826" s="8">
        <v>400</v>
      </c>
      <c r="E8826" s="8"/>
      <c r="F8826" s="92">
        <f t="shared" si="174"/>
        <v>30340</v>
      </c>
      <c r="O8826" s="10">
        <f>SUMIF(B1:B9011,M8826,D1:D9011)</f>
        <v>0</v>
      </c>
    </row>
    <row r="8827" spans="1:15" x14ac:dyDescent="0.25">
      <c r="A8827" s="204">
        <v>43858</v>
      </c>
      <c r="B8827" s="26" t="s">
        <v>26</v>
      </c>
      <c r="C8827" s="26" t="s">
        <v>7471</v>
      </c>
      <c r="D8827" s="8">
        <v>5000</v>
      </c>
      <c r="E8827" s="8"/>
      <c r="F8827" s="92">
        <f t="shared" si="174"/>
        <v>25340</v>
      </c>
      <c r="O8827" s="10">
        <f>SUMIF(B2:B9012,M8827,D2:D9012)</f>
        <v>0</v>
      </c>
    </row>
    <row r="8828" spans="1:15" x14ac:dyDescent="0.25">
      <c r="A8828" s="204">
        <v>43859</v>
      </c>
      <c r="B8828" s="26" t="s">
        <v>0</v>
      </c>
      <c r="C8828" s="26" t="s">
        <v>5982</v>
      </c>
      <c r="D8828" s="8">
        <v>10000</v>
      </c>
      <c r="E8828" s="8"/>
      <c r="F8828" s="92">
        <f t="shared" si="174"/>
        <v>15340</v>
      </c>
      <c r="O8828" s="10">
        <f>SUMIF(B3:B9014,M8828,D3:D9014)</f>
        <v>0</v>
      </c>
    </row>
    <row r="8829" spans="1:15" x14ac:dyDescent="0.25">
      <c r="A8829" s="204">
        <v>43859</v>
      </c>
      <c r="B8829" s="26" t="s">
        <v>26</v>
      </c>
      <c r="C8829" s="26" t="s">
        <v>7427</v>
      </c>
      <c r="D8829" s="8">
        <v>100</v>
      </c>
      <c r="E8829" s="8"/>
      <c r="F8829" s="92">
        <f t="shared" si="174"/>
        <v>15240</v>
      </c>
    </row>
    <row r="8830" spans="1:15" x14ac:dyDescent="0.25">
      <c r="A8830" s="204">
        <v>43859</v>
      </c>
      <c r="B8830" s="452" t="s">
        <v>4621</v>
      </c>
      <c r="C8830" s="452"/>
      <c r="D8830" s="452"/>
      <c r="E8830" s="8">
        <v>30000</v>
      </c>
      <c r="F8830" s="92">
        <f t="shared" ref="F8830:F8893" si="175">F8829+E8830-D8830</f>
        <v>45240</v>
      </c>
    </row>
    <row r="8831" spans="1:15" x14ac:dyDescent="0.25">
      <c r="A8831" s="204">
        <v>43859</v>
      </c>
      <c r="B8831" s="26" t="s">
        <v>7472</v>
      </c>
      <c r="C8831" s="26" t="s">
        <v>41</v>
      </c>
      <c r="D8831" s="8">
        <v>5000</v>
      </c>
      <c r="E8831" s="8"/>
      <c r="F8831" s="92">
        <f t="shared" si="175"/>
        <v>40240</v>
      </c>
    </row>
    <row r="8832" spans="1:15" ht="23.25" x14ac:dyDescent="0.35">
      <c r="A8832" s="204">
        <v>43860</v>
      </c>
      <c r="B8832" s="26" t="s">
        <v>26</v>
      </c>
      <c r="C8832" s="26" t="s">
        <v>4280</v>
      </c>
      <c r="D8832" s="8">
        <f>800+360+280+200+40+100+180+30+200+450+440+90+500+30+330+20+30+50+30+100+430+280+200+120+50+300+150+200</f>
        <v>5990</v>
      </c>
      <c r="E8832" s="8"/>
      <c r="F8832" s="92">
        <f t="shared" si="175"/>
        <v>34250</v>
      </c>
      <c r="I8832" s="459"/>
      <c r="J8832" s="459"/>
    </row>
    <row r="8833" spans="1:10" ht="18.75" x14ac:dyDescent="0.25">
      <c r="A8833" s="204">
        <v>43862</v>
      </c>
      <c r="B8833" s="26" t="s">
        <v>11</v>
      </c>
      <c r="C8833" s="26" t="s">
        <v>7473</v>
      </c>
      <c r="D8833" s="8">
        <v>500</v>
      </c>
      <c r="E8833" s="8"/>
      <c r="F8833" s="92">
        <f t="shared" si="175"/>
        <v>33750</v>
      </c>
      <c r="I8833" s="143"/>
      <c r="J8833" s="143"/>
    </row>
    <row r="8834" spans="1:10" x14ac:dyDescent="0.25">
      <c r="A8834" s="204">
        <v>43862</v>
      </c>
      <c r="B8834" s="26" t="s">
        <v>1077</v>
      </c>
      <c r="C8834" s="26" t="s">
        <v>7474</v>
      </c>
      <c r="D8834" s="8">
        <f>526+450+790</f>
        <v>1766</v>
      </c>
      <c r="E8834" s="8"/>
      <c r="F8834" s="92">
        <f t="shared" si="175"/>
        <v>31984</v>
      </c>
      <c r="I8834" s="294"/>
      <c r="J8834" s="294"/>
    </row>
    <row r="8835" spans="1:10" x14ac:dyDescent="0.25">
      <c r="A8835" s="204">
        <v>43862</v>
      </c>
      <c r="B8835" s="26" t="s">
        <v>26</v>
      </c>
      <c r="C8835" s="26" t="s">
        <v>6430</v>
      </c>
      <c r="D8835" s="8">
        <v>100</v>
      </c>
      <c r="E8835" s="8"/>
      <c r="F8835" s="92">
        <f t="shared" si="175"/>
        <v>31884</v>
      </c>
      <c r="I8835" s="294"/>
      <c r="J8835" s="294"/>
    </row>
    <row r="8836" spans="1:10" x14ac:dyDescent="0.25">
      <c r="A8836" s="204">
        <v>43862</v>
      </c>
      <c r="B8836" s="452" t="s">
        <v>4621</v>
      </c>
      <c r="C8836" s="452"/>
      <c r="D8836" s="452"/>
      <c r="E8836" s="8">
        <v>100000</v>
      </c>
      <c r="F8836" s="92">
        <f t="shared" si="175"/>
        <v>131884</v>
      </c>
      <c r="I8836" s="294"/>
      <c r="J8836" s="294"/>
    </row>
    <row r="8837" spans="1:10" x14ac:dyDescent="0.25">
      <c r="A8837" s="204">
        <v>43863</v>
      </c>
      <c r="B8837" s="26" t="s">
        <v>7475</v>
      </c>
      <c r="C8837" s="26"/>
      <c r="D8837" s="8">
        <v>5000</v>
      </c>
      <c r="E8837" s="8"/>
      <c r="F8837" s="92">
        <f t="shared" si="175"/>
        <v>126884</v>
      </c>
      <c r="I8837" s="294"/>
      <c r="J8837" s="294"/>
    </row>
    <row r="8838" spans="1:10" ht="30" x14ac:dyDescent="0.25">
      <c r="A8838" s="204">
        <v>43863</v>
      </c>
      <c r="B8838" s="205" t="s">
        <v>27</v>
      </c>
      <c r="C8838" s="132" t="s">
        <v>7477</v>
      </c>
      <c r="D8838" s="91">
        <v>2600</v>
      </c>
      <c r="E8838" s="26"/>
      <c r="F8838" s="92">
        <f t="shared" si="175"/>
        <v>124284</v>
      </c>
      <c r="G8838" s="10"/>
      <c r="I8838" s="294"/>
      <c r="J8838" s="295"/>
    </row>
    <row r="8839" spans="1:10" x14ac:dyDescent="0.25">
      <c r="A8839" s="204">
        <v>43864</v>
      </c>
      <c r="B8839" s="26" t="s">
        <v>1015</v>
      </c>
      <c r="C8839" s="26" t="s">
        <v>7486</v>
      </c>
      <c r="D8839" s="8">
        <v>5000</v>
      </c>
      <c r="E8839" s="8"/>
      <c r="F8839" s="92">
        <f t="shared" si="175"/>
        <v>119284</v>
      </c>
    </row>
    <row r="8840" spans="1:10" x14ac:dyDescent="0.25">
      <c r="A8840" s="204">
        <v>43864</v>
      </c>
      <c r="B8840" s="452" t="s">
        <v>4621</v>
      </c>
      <c r="C8840" s="452"/>
      <c r="D8840" s="452"/>
      <c r="E8840" s="8">
        <v>465000</v>
      </c>
      <c r="F8840" s="92">
        <f t="shared" si="175"/>
        <v>584284</v>
      </c>
    </row>
    <row r="8841" spans="1:10" x14ac:dyDescent="0.25">
      <c r="A8841" s="204">
        <v>43864</v>
      </c>
      <c r="B8841" s="26" t="s">
        <v>6569</v>
      </c>
      <c r="C8841" s="26" t="s">
        <v>3336</v>
      </c>
      <c r="D8841" s="8">
        <v>22000</v>
      </c>
      <c r="E8841" s="8"/>
      <c r="F8841" s="92">
        <f t="shared" si="175"/>
        <v>562284</v>
      </c>
    </row>
    <row r="8842" spans="1:10" x14ac:dyDescent="0.25">
      <c r="A8842" s="204">
        <v>43864</v>
      </c>
      <c r="B8842" s="26" t="s">
        <v>0</v>
      </c>
      <c r="C8842" s="26" t="s">
        <v>295</v>
      </c>
      <c r="D8842" s="8">
        <v>5000</v>
      </c>
      <c r="E8842" s="8"/>
      <c r="F8842" s="92">
        <f t="shared" si="175"/>
        <v>557284</v>
      </c>
    </row>
    <row r="8843" spans="1:10" x14ac:dyDescent="0.25">
      <c r="A8843" s="204">
        <v>43865</v>
      </c>
      <c r="B8843" s="26" t="s">
        <v>26</v>
      </c>
      <c r="C8843" s="26" t="s">
        <v>7479</v>
      </c>
      <c r="D8843" s="8">
        <v>1000</v>
      </c>
      <c r="E8843" s="8"/>
      <c r="F8843" s="92">
        <f t="shared" si="175"/>
        <v>556284</v>
      </c>
    </row>
    <row r="8844" spans="1:10" x14ac:dyDescent="0.25">
      <c r="A8844" s="204">
        <v>43865</v>
      </c>
      <c r="B8844" s="26" t="s">
        <v>6877</v>
      </c>
      <c r="C8844" s="26" t="s">
        <v>5982</v>
      </c>
      <c r="D8844" s="8">
        <v>2500</v>
      </c>
      <c r="E8844" s="8"/>
      <c r="F8844" s="92">
        <f t="shared" si="175"/>
        <v>553784</v>
      </c>
    </row>
    <row r="8845" spans="1:10" x14ac:dyDescent="0.25">
      <c r="A8845" s="204">
        <v>43865</v>
      </c>
      <c r="B8845" s="29" t="s">
        <v>26</v>
      </c>
      <c r="C8845" s="29" t="s">
        <v>2016</v>
      </c>
      <c r="D8845" s="8">
        <v>120</v>
      </c>
      <c r="E8845" s="8"/>
      <c r="F8845" s="92">
        <f t="shared" si="175"/>
        <v>553664</v>
      </c>
    </row>
    <row r="8846" spans="1:10" x14ac:dyDescent="0.25">
      <c r="A8846" s="204">
        <v>43865</v>
      </c>
      <c r="B8846" s="29" t="s">
        <v>26</v>
      </c>
      <c r="C8846" s="29" t="s">
        <v>7482</v>
      </c>
      <c r="D8846" s="8">
        <v>3240</v>
      </c>
      <c r="E8846" s="8"/>
      <c r="F8846" s="92">
        <f t="shared" si="175"/>
        <v>550424</v>
      </c>
    </row>
    <row r="8847" spans="1:10" x14ac:dyDescent="0.25">
      <c r="A8847" s="204">
        <v>43865</v>
      </c>
      <c r="B8847" s="29" t="s">
        <v>7483</v>
      </c>
      <c r="C8847" s="29" t="s">
        <v>5479</v>
      </c>
      <c r="D8847" s="8">
        <v>900</v>
      </c>
      <c r="E8847" s="8"/>
      <c r="F8847" s="92">
        <f t="shared" si="175"/>
        <v>549524</v>
      </c>
    </row>
    <row r="8848" spans="1:10" x14ac:dyDescent="0.25">
      <c r="A8848" s="204">
        <v>43865</v>
      </c>
      <c r="B8848" s="29" t="s">
        <v>1840</v>
      </c>
      <c r="C8848" s="29" t="s">
        <v>7484</v>
      </c>
      <c r="D8848" s="8">
        <v>500</v>
      </c>
      <c r="E8848" s="8"/>
      <c r="F8848" s="92">
        <f t="shared" si="175"/>
        <v>549024</v>
      </c>
    </row>
    <row r="8849" spans="1:7" x14ac:dyDescent="0.25">
      <c r="A8849" s="204">
        <v>43865</v>
      </c>
      <c r="B8849" s="29" t="s">
        <v>1015</v>
      </c>
      <c r="C8849" s="29" t="s">
        <v>7486</v>
      </c>
      <c r="D8849" s="8">
        <v>5000</v>
      </c>
      <c r="E8849" s="8"/>
      <c r="F8849" s="92">
        <f t="shared" si="175"/>
        <v>544024</v>
      </c>
    </row>
    <row r="8850" spans="1:7" x14ac:dyDescent="0.25">
      <c r="A8850" s="204">
        <v>43865</v>
      </c>
      <c r="B8850" s="162" t="s">
        <v>1515</v>
      </c>
      <c r="C8850" s="162" t="s">
        <v>7034</v>
      </c>
      <c r="D8850" s="140">
        <v>122746</v>
      </c>
      <c r="E8850" s="140"/>
      <c r="F8850" s="92">
        <f t="shared" si="175"/>
        <v>421278</v>
      </c>
      <c r="G8850" s="25"/>
    </row>
    <row r="8851" spans="1:7" x14ac:dyDescent="0.25">
      <c r="A8851" s="204">
        <v>43865</v>
      </c>
      <c r="B8851" s="162" t="s">
        <v>1515</v>
      </c>
      <c r="C8851" s="162" t="s">
        <v>6826</v>
      </c>
      <c r="D8851" s="140">
        <v>104427</v>
      </c>
      <c r="E8851" s="140"/>
      <c r="F8851" s="92">
        <f t="shared" si="175"/>
        <v>316851</v>
      </c>
      <c r="G8851" s="25"/>
    </row>
    <row r="8852" spans="1:7" x14ac:dyDescent="0.25">
      <c r="A8852" s="204">
        <v>43865</v>
      </c>
      <c r="B8852" s="162" t="s">
        <v>1515</v>
      </c>
      <c r="C8852" s="162" t="s">
        <v>7487</v>
      </c>
      <c r="D8852" s="140">
        <v>200871</v>
      </c>
      <c r="E8852" s="140"/>
      <c r="F8852" s="92">
        <f t="shared" si="175"/>
        <v>115980</v>
      </c>
      <c r="G8852" s="25"/>
    </row>
    <row r="8853" spans="1:7" x14ac:dyDescent="0.25">
      <c r="A8853" s="204">
        <v>43865</v>
      </c>
      <c r="B8853" s="162" t="s">
        <v>1515</v>
      </c>
      <c r="C8853" s="162" t="s">
        <v>7488</v>
      </c>
      <c r="D8853" s="140">
        <v>81903</v>
      </c>
      <c r="E8853" s="140"/>
      <c r="F8853" s="92">
        <f t="shared" si="175"/>
        <v>34077</v>
      </c>
      <c r="G8853" s="25"/>
    </row>
    <row r="8854" spans="1:7" x14ac:dyDescent="0.25">
      <c r="A8854" s="204">
        <v>43865</v>
      </c>
      <c r="B8854" s="26" t="s">
        <v>7489</v>
      </c>
      <c r="C8854" s="26" t="s">
        <v>7490</v>
      </c>
      <c r="D8854" s="8">
        <v>2000</v>
      </c>
      <c r="E8854" s="8"/>
      <c r="F8854" s="92">
        <f t="shared" si="175"/>
        <v>32077</v>
      </c>
    </row>
    <row r="8855" spans="1:7" x14ac:dyDescent="0.25">
      <c r="A8855" s="204">
        <v>43867</v>
      </c>
      <c r="B8855" s="26" t="s">
        <v>26</v>
      </c>
      <c r="C8855" s="26" t="s">
        <v>4280</v>
      </c>
      <c r="D8855" s="8">
        <f>1400+320+40+40+280+60+140+120+130+80+200+180+280</f>
        <v>3270</v>
      </c>
      <c r="E8855" s="8"/>
      <c r="F8855" s="92">
        <f t="shared" si="175"/>
        <v>28807</v>
      </c>
    </row>
    <row r="8856" spans="1:7" x14ac:dyDescent="0.25">
      <c r="A8856" s="204">
        <v>43867</v>
      </c>
      <c r="B8856" s="26" t="s">
        <v>1840</v>
      </c>
      <c r="C8856" s="26" t="s">
        <v>7491</v>
      </c>
      <c r="D8856" s="8">
        <v>6000</v>
      </c>
      <c r="E8856" s="8"/>
      <c r="F8856" s="92">
        <f t="shared" si="175"/>
        <v>22807</v>
      </c>
    </row>
    <row r="8857" spans="1:7" x14ac:dyDescent="0.25">
      <c r="A8857" s="204">
        <v>43867</v>
      </c>
      <c r="B8857" s="162" t="s">
        <v>1515</v>
      </c>
      <c r="C8857" s="162" t="s">
        <v>7492</v>
      </c>
      <c r="D8857" s="140">
        <v>11435</v>
      </c>
      <c r="E8857" s="140"/>
      <c r="F8857" s="92">
        <f t="shared" si="175"/>
        <v>11372</v>
      </c>
      <c r="G8857" s="25"/>
    </row>
    <row r="8858" spans="1:7" x14ac:dyDescent="0.25">
      <c r="A8858" s="204">
        <v>43867</v>
      </c>
      <c r="B8858" s="162" t="s">
        <v>1515</v>
      </c>
      <c r="C8858" s="162" t="s">
        <v>7493</v>
      </c>
      <c r="D8858" s="8">
        <v>7950</v>
      </c>
      <c r="E8858" s="8"/>
      <c r="F8858" s="92">
        <f t="shared" si="175"/>
        <v>3422</v>
      </c>
    </row>
    <row r="8859" spans="1:7" x14ac:dyDescent="0.25">
      <c r="A8859" s="204">
        <v>43867</v>
      </c>
      <c r="B8859" s="452" t="s">
        <v>4621</v>
      </c>
      <c r="C8859" s="452"/>
      <c r="D8859" s="452"/>
      <c r="E8859" s="8">
        <v>235000</v>
      </c>
      <c r="F8859" s="92">
        <f t="shared" si="175"/>
        <v>238422</v>
      </c>
    </row>
    <row r="8860" spans="1:7" x14ac:dyDescent="0.25">
      <c r="A8860" s="204">
        <v>43867</v>
      </c>
      <c r="B8860" s="26" t="s">
        <v>0</v>
      </c>
      <c r="C8860" s="26" t="s">
        <v>295</v>
      </c>
      <c r="D8860" s="8">
        <v>35000</v>
      </c>
      <c r="E8860" s="8"/>
      <c r="F8860" s="92">
        <f t="shared" si="175"/>
        <v>203422</v>
      </c>
    </row>
    <row r="8861" spans="1:7" x14ac:dyDescent="0.25">
      <c r="A8861" s="204">
        <v>43838</v>
      </c>
      <c r="B8861" s="162" t="s">
        <v>1515</v>
      </c>
      <c r="C8861" s="162" t="s">
        <v>7494</v>
      </c>
      <c r="D8861" s="140">
        <v>104609</v>
      </c>
      <c r="E8861" s="140"/>
      <c r="F8861" s="92">
        <f t="shared" si="175"/>
        <v>98813</v>
      </c>
      <c r="G8861" s="25"/>
    </row>
    <row r="8862" spans="1:7" x14ac:dyDescent="0.25">
      <c r="A8862" s="204">
        <v>43838</v>
      </c>
      <c r="B8862" s="162" t="s">
        <v>1515</v>
      </c>
      <c r="C8862" s="162" t="s">
        <v>7047</v>
      </c>
      <c r="D8862" s="140">
        <v>52202</v>
      </c>
      <c r="E8862" s="140"/>
      <c r="F8862" s="92">
        <f t="shared" si="175"/>
        <v>46611</v>
      </c>
      <c r="G8862" s="25"/>
    </row>
    <row r="8863" spans="1:7" x14ac:dyDescent="0.25">
      <c r="A8863" s="204">
        <v>43838</v>
      </c>
      <c r="B8863" s="162" t="s">
        <v>1515</v>
      </c>
      <c r="C8863" s="162" t="s">
        <v>7191</v>
      </c>
      <c r="D8863" s="140">
        <v>43000</v>
      </c>
      <c r="E8863" s="140"/>
      <c r="F8863" s="92">
        <f t="shared" si="175"/>
        <v>3611</v>
      </c>
      <c r="G8863" s="25"/>
    </row>
    <row r="8864" spans="1:7" x14ac:dyDescent="0.25">
      <c r="A8864" s="204">
        <v>43838</v>
      </c>
      <c r="B8864" s="46" t="s">
        <v>26</v>
      </c>
      <c r="C8864" s="46" t="s">
        <v>7498</v>
      </c>
      <c r="D8864" s="140">
        <v>100</v>
      </c>
      <c r="E8864" s="140"/>
      <c r="F8864" s="92">
        <f t="shared" si="175"/>
        <v>3511</v>
      </c>
      <c r="G8864" s="25"/>
    </row>
    <row r="8865" spans="1:7" x14ac:dyDescent="0.25">
      <c r="A8865" s="204">
        <v>43838</v>
      </c>
      <c r="B8865" s="46" t="s">
        <v>6877</v>
      </c>
      <c r="C8865" s="46" t="s">
        <v>295</v>
      </c>
      <c r="D8865" s="140">
        <v>1000</v>
      </c>
      <c r="E8865" s="140"/>
      <c r="F8865" s="92">
        <f t="shared" si="175"/>
        <v>2511</v>
      </c>
      <c r="G8865" s="25"/>
    </row>
    <row r="8866" spans="1:7" x14ac:dyDescent="0.25">
      <c r="A8866" s="204">
        <v>43839</v>
      </c>
      <c r="B8866" s="452" t="s">
        <v>3448</v>
      </c>
      <c r="C8866" s="452"/>
      <c r="D8866" s="452"/>
      <c r="E8866" s="8">
        <v>100000</v>
      </c>
      <c r="F8866" s="92">
        <f t="shared" si="175"/>
        <v>102511</v>
      </c>
    </row>
    <row r="8867" spans="1:7" x14ac:dyDescent="0.25">
      <c r="A8867" s="204">
        <v>43839</v>
      </c>
      <c r="B8867" s="452" t="s">
        <v>3448</v>
      </c>
      <c r="C8867" s="452"/>
      <c r="D8867" s="452"/>
      <c r="E8867" s="8">
        <v>35000</v>
      </c>
      <c r="F8867" s="92">
        <f t="shared" si="175"/>
        <v>137511</v>
      </c>
    </row>
    <row r="8868" spans="1:7" x14ac:dyDescent="0.25">
      <c r="A8868" s="204">
        <v>43839</v>
      </c>
      <c r="B8868" s="452" t="s">
        <v>4621</v>
      </c>
      <c r="C8868" s="452"/>
      <c r="D8868" s="452"/>
      <c r="E8868" s="8">
        <v>30000</v>
      </c>
      <c r="F8868" s="92">
        <f t="shared" si="175"/>
        <v>167511</v>
      </c>
    </row>
    <row r="8869" spans="1:7" x14ac:dyDescent="0.25">
      <c r="A8869" s="204">
        <v>43838</v>
      </c>
      <c r="B8869" s="46" t="s">
        <v>1015</v>
      </c>
      <c r="C8869" s="40" t="s">
        <v>7423</v>
      </c>
      <c r="D8869" s="8">
        <v>10000</v>
      </c>
      <c r="E8869" s="8"/>
      <c r="F8869" s="92">
        <f t="shared" si="175"/>
        <v>157511</v>
      </c>
    </row>
    <row r="8870" spans="1:7" x14ac:dyDescent="0.25">
      <c r="A8870" s="204">
        <v>43838</v>
      </c>
      <c r="B8870" s="46" t="s">
        <v>6063</v>
      </c>
      <c r="C8870" s="40" t="s">
        <v>7499</v>
      </c>
      <c r="D8870" s="8">
        <v>3400</v>
      </c>
      <c r="E8870" s="8"/>
      <c r="F8870" s="92">
        <f t="shared" si="175"/>
        <v>154111</v>
      </c>
    </row>
    <row r="8871" spans="1:7" x14ac:dyDescent="0.25">
      <c r="A8871" s="204">
        <v>43839</v>
      </c>
      <c r="B8871" s="26" t="s">
        <v>1790</v>
      </c>
      <c r="C8871" s="26" t="s">
        <v>7503</v>
      </c>
      <c r="D8871" s="8">
        <v>3000</v>
      </c>
      <c r="E8871" s="8"/>
      <c r="F8871" s="92">
        <f t="shared" si="175"/>
        <v>151111</v>
      </c>
    </row>
    <row r="8872" spans="1:7" x14ac:dyDescent="0.25">
      <c r="A8872" s="204">
        <v>43839</v>
      </c>
      <c r="B8872" s="26" t="s">
        <v>58</v>
      </c>
      <c r="C8872" s="87" t="s">
        <v>7504</v>
      </c>
      <c r="D8872" s="8">
        <v>2000</v>
      </c>
      <c r="E8872" s="8"/>
      <c r="F8872" s="92">
        <f t="shared" si="175"/>
        <v>149111</v>
      </c>
    </row>
    <row r="8873" spans="1:7" x14ac:dyDescent="0.25">
      <c r="A8873" s="204">
        <v>43839</v>
      </c>
      <c r="B8873" s="26" t="s">
        <v>57</v>
      </c>
      <c r="C8873" s="26" t="s">
        <v>7505</v>
      </c>
      <c r="D8873" s="8">
        <v>350</v>
      </c>
      <c r="E8873" s="8"/>
      <c r="F8873" s="92">
        <f t="shared" si="175"/>
        <v>148761</v>
      </c>
    </row>
    <row r="8874" spans="1:7" x14ac:dyDescent="0.25">
      <c r="A8874" s="204">
        <v>43839</v>
      </c>
      <c r="B8874" s="26" t="s">
        <v>1619</v>
      </c>
      <c r="C8874" s="26" t="s">
        <v>641</v>
      </c>
      <c r="D8874" s="8">
        <v>600</v>
      </c>
      <c r="E8874" s="8"/>
      <c r="F8874" s="92">
        <f t="shared" si="175"/>
        <v>148161</v>
      </c>
    </row>
    <row r="8875" spans="1:7" x14ac:dyDescent="0.25">
      <c r="A8875" s="204">
        <v>43839</v>
      </c>
      <c r="B8875" s="26" t="s">
        <v>7506</v>
      </c>
      <c r="C8875" s="26" t="s">
        <v>4945</v>
      </c>
      <c r="D8875" s="8">
        <v>2000</v>
      </c>
      <c r="E8875" s="8"/>
      <c r="F8875" s="92">
        <f t="shared" si="175"/>
        <v>146161</v>
      </c>
    </row>
    <row r="8876" spans="1:7" x14ac:dyDescent="0.25">
      <c r="A8876" s="204">
        <v>43839</v>
      </c>
      <c r="B8876" s="162" t="s">
        <v>1515</v>
      </c>
      <c r="C8876" s="162" t="s">
        <v>7507</v>
      </c>
      <c r="D8876" s="140">
        <v>24870</v>
      </c>
      <c r="E8876" s="140"/>
      <c r="F8876" s="92">
        <f t="shared" si="175"/>
        <v>121291</v>
      </c>
      <c r="G8876" s="25"/>
    </row>
    <row r="8877" spans="1:7" x14ac:dyDescent="0.25">
      <c r="A8877" s="204">
        <v>43839</v>
      </c>
      <c r="B8877" s="26" t="s">
        <v>4776</v>
      </c>
      <c r="C8877" s="26" t="s">
        <v>295</v>
      </c>
      <c r="D8877" s="8">
        <v>20000</v>
      </c>
      <c r="E8877" s="8"/>
      <c r="F8877" s="92">
        <f t="shared" si="175"/>
        <v>101291</v>
      </c>
    </row>
    <row r="8878" spans="1:7" x14ac:dyDescent="0.25">
      <c r="A8878" s="204">
        <v>43839</v>
      </c>
      <c r="B8878" s="26" t="s">
        <v>85</v>
      </c>
      <c r="C8878" s="26" t="s">
        <v>7511</v>
      </c>
      <c r="D8878" s="8">
        <v>5000</v>
      </c>
      <c r="E8878" s="8"/>
      <c r="F8878" s="92">
        <f t="shared" si="175"/>
        <v>96291</v>
      </c>
    </row>
    <row r="8879" spans="1:7" x14ac:dyDescent="0.25">
      <c r="A8879" s="204">
        <v>43839</v>
      </c>
      <c r="B8879" s="29" t="s">
        <v>5485</v>
      </c>
      <c r="C8879" s="29" t="s">
        <v>6417</v>
      </c>
      <c r="D8879" s="8">
        <v>600</v>
      </c>
      <c r="E8879" s="8"/>
      <c r="F8879" s="92">
        <f t="shared" si="175"/>
        <v>95691</v>
      </c>
    </row>
    <row r="8880" spans="1:7" ht="30" x14ac:dyDescent="0.25">
      <c r="A8880" s="204">
        <v>43839</v>
      </c>
      <c r="B8880" s="29" t="s">
        <v>7508</v>
      </c>
      <c r="C8880" s="89" t="s">
        <v>7509</v>
      </c>
      <c r="D8880" s="8">
        <v>35300</v>
      </c>
      <c r="E8880" s="8"/>
      <c r="F8880" s="92">
        <f t="shared" si="175"/>
        <v>60391</v>
      </c>
    </row>
    <row r="8881" spans="1:7" x14ac:dyDescent="0.25">
      <c r="A8881" s="204">
        <v>43839</v>
      </c>
      <c r="B8881" s="26" t="s">
        <v>14</v>
      </c>
      <c r="C8881" s="26" t="s">
        <v>295</v>
      </c>
      <c r="D8881" s="8">
        <v>25000</v>
      </c>
      <c r="E8881" s="8"/>
      <c r="F8881" s="92">
        <f t="shared" si="175"/>
        <v>35391</v>
      </c>
    </row>
    <row r="8882" spans="1:7" x14ac:dyDescent="0.25">
      <c r="A8882" s="204">
        <v>43839</v>
      </c>
      <c r="B8882" s="26" t="s">
        <v>85</v>
      </c>
      <c r="C8882" s="26" t="s">
        <v>7512</v>
      </c>
      <c r="D8882" s="8">
        <v>15000</v>
      </c>
      <c r="E8882" s="8"/>
      <c r="F8882" s="92">
        <f t="shared" si="175"/>
        <v>20391</v>
      </c>
    </row>
    <row r="8883" spans="1:7" x14ac:dyDescent="0.25">
      <c r="A8883" s="204">
        <v>43840</v>
      </c>
      <c r="B8883" s="26" t="s">
        <v>0</v>
      </c>
      <c r="C8883" s="26" t="s">
        <v>295</v>
      </c>
      <c r="D8883" s="8">
        <v>13000</v>
      </c>
      <c r="E8883" s="8"/>
      <c r="F8883" s="92">
        <f t="shared" si="175"/>
        <v>7391</v>
      </c>
    </row>
    <row r="8884" spans="1:7" x14ac:dyDescent="0.25">
      <c r="A8884" s="204">
        <v>43840</v>
      </c>
      <c r="B8884" s="452" t="s">
        <v>3448</v>
      </c>
      <c r="C8884" s="452"/>
      <c r="D8884" s="452"/>
      <c r="E8884" s="8">
        <v>150000</v>
      </c>
      <c r="F8884" s="92">
        <f t="shared" si="175"/>
        <v>157391</v>
      </c>
    </row>
    <row r="8885" spans="1:7" x14ac:dyDescent="0.25">
      <c r="A8885" s="204">
        <v>43840</v>
      </c>
      <c r="B8885" s="26" t="s">
        <v>6770</v>
      </c>
      <c r="C8885" s="26" t="s">
        <v>7515</v>
      </c>
      <c r="D8885" s="8">
        <v>15000</v>
      </c>
      <c r="E8885" s="8"/>
      <c r="F8885" s="92">
        <f t="shared" si="175"/>
        <v>142391</v>
      </c>
    </row>
    <row r="8886" spans="1:7" x14ac:dyDescent="0.25">
      <c r="A8886" s="204">
        <v>43840</v>
      </c>
      <c r="B8886" s="162" t="s">
        <v>1515</v>
      </c>
      <c r="C8886" s="162" t="s">
        <v>7048</v>
      </c>
      <c r="D8886" s="140">
        <v>53987</v>
      </c>
      <c r="E8886" s="140"/>
      <c r="F8886" s="92">
        <f t="shared" si="175"/>
        <v>88404</v>
      </c>
      <c r="G8886" s="25"/>
    </row>
    <row r="8887" spans="1:7" x14ac:dyDescent="0.25">
      <c r="A8887" s="204">
        <v>43840</v>
      </c>
      <c r="B8887" s="162" t="s">
        <v>1515</v>
      </c>
      <c r="C8887" s="26" t="s">
        <v>7295</v>
      </c>
      <c r="D8887" s="8">
        <v>39600</v>
      </c>
      <c r="E8887" s="8"/>
      <c r="F8887" s="92">
        <f t="shared" si="175"/>
        <v>48804</v>
      </c>
    </row>
    <row r="8888" spans="1:7" x14ac:dyDescent="0.25">
      <c r="A8888" s="204">
        <v>43840</v>
      </c>
      <c r="B8888" s="26" t="s">
        <v>19</v>
      </c>
      <c r="C8888" s="29" t="s">
        <v>295</v>
      </c>
      <c r="D8888" s="8">
        <v>5000</v>
      </c>
      <c r="E8888" s="8"/>
      <c r="F8888" s="92">
        <f t="shared" si="175"/>
        <v>43804</v>
      </c>
    </row>
    <row r="8889" spans="1:7" x14ac:dyDescent="0.25">
      <c r="A8889" s="204">
        <v>43841</v>
      </c>
      <c r="B8889" s="162" t="s">
        <v>1515</v>
      </c>
      <c r="C8889" s="26" t="s">
        <v>7517</v>
      </c>
      <c r="D8889" s="8">
        <v>21600</v>
      </c>
      <c r="E8889" s="8"/>
      <c r="F8889" s="92">
        <f t="shared" si="175"/>
        <v>22204</v>
      </c>
    </row>
    <row r="8890" spans="1:7" x14ac:dyDescent="0.25">
      <c r="A8890" s="204">
        <v>43841</v>
      </c>
      <c r="B8890" s="162" t="s">
        <v>1515</v>
      </c>
      <c r="C8890" s="26" t="s">
        <v>7518</v>
      </c>
      <c r="D8890" s="8">
        <v>11700</v>
      </c>
      <c r="E8890" s="8"/>
      <c r="F8890" s="92">
        <f t="shared" si="175"/>
        <v>10504</v>
      </c>
    </row>
    <row r="8891" spans="1:7" x14ac:dyDescent="0.25">
      <c r="A8891" s="204">
        <v>43841</v>
      </c>
      <c r="B8891" s="26" t="s">
        <v>26</v>
      </c>
      <c r="C8891" s="26" t="s">
        <v>6430</v>
      </c>
      <c r="D8891" s="8">
        <v>120</v>
      </c>
      <c r="E8891" s="8"/>
      <c r="F8891" s="92">
        <f t="shared" si="175"/>
        <v>10384</v>
      </c>
    </row>
    <row r="8892" spans="1:7" x14ac:dyDescent="0.25">
      <c r="A8892" s="204">
        <v>43841</v>
      </c>
      <c r="B8892" s="254" t="s">
        <v>5140</v>
      </c>
      <c r="C8892" s="29" t="s">
        <v>41</v>
      </c>
      <c r="D8892" s="8">
        <v>4152</v>
      </c>
      <c r="E8892" s="8"/>
      <c r="F8892" s="92">
        <f t="shared" si="175"/>
        <v>6232</v>
      </c>
    </row>
    <row r="8893" spans="1:7" x14ac:dyDescent="0.25">
      <c r="A8893" s="204">
        <v>43841</v>
      </c>
      <c r="B8893" s="254" t="s">
        <v>14</v>
      </c>
      <c r="C8893" s="29" t="s">
        <v>641</v>
      </c>
      <c r="D8893" s="8">
        <v>1000</v>
      </c>
      <c r="E8893" s="8"/>
      <c r="F8893" s="92">
        <f t="shared" si="175"/>
        <v>5232</v>
      </c>
    </row>
    <row r="8894" spans="1:7" x14ac:dyDescent="0.25">
      <c r="A8894" s="204">
        <v>43841</v>
      </c>
      <c r="B8894" s="452" t="s">
        <v>3448</v>
      </c>
      <c r="C8894" s="452"/>
      <c r="D8894" s="452"/>
      <c r="E8894" s="8">
        <v>100000</v>
      </c>
      <c r="F8894" s="92">
        <f t="shared" ref="F8894:F8900" si="176">F8893+E8894-D8894</f>
        <v>105232</v>
      </c>
    </row>
    <row r="8895" spans="1:7" x14ac:dyDescent="0.25">
      <c r="A8895" s="204">
        <v>43841</v>
      </c>
      <c r="B8895" s="254" t="s">
        <v>542</v>
      </c>
      <c r="C8895" s="29" t="s">
        <v>7522</v>
      </c>
      <c r="D8895" s="8">
        <v>11410</v>
      </c>
      <c r="E8895" s="8"/>
      <c r="F8895" s="92">
        <f t="shared" si="176"/>
        <v>93822</v>
      </c>
    </row>
    <row r="8896" spans="1:7" x14ac:dyDescent="0.25">
      <c r="A8896" s="204">
        <v>43841</v>
      </c>
      <c r="B8896" s="40" t="s">
        <v>26</v>
      </c>
      <c r="C8896" s="29" t="s">
        <v>4280</v>
      </c>
      <c r="D8896" s="8">
        <v>4988</v>
      </c>
      <c r="E8896" s="8"/>
      <c r="F8896" s="92">
        <f t="shared" si="176"/>
        <v>88834</v>
      </c>
    </row>
    <row r="8897" spans="1:14" x14ac:dyDescent="0.25">
      <c r="A8897" s="204">
        <v>43841</v>
      </c>
      <c r="B8897" s="40" t="s">
        <v>6877</v>
      </c>
      <c r="C8897" s="29" t="s">
        <v>4847</v>
      </c>
      <c r="D8897" s="8">
        <v>6000</v>
      </c>
      <c r="E8897" s="8"/>
      <c r="F8897" s="92">
        <f t="shared" si="176"/>
        <v>82834</v>
      </c>
    </row>
    <row r="8898" spans="1:14" x14ac:dyDescent="0.25">
      <c r="A8898" s="204">
        <v>43841</v>
      </c>
      <c r="B8898" s="26" t="s">
        <v>6285</v>
      </c>
      <c r="C8898" s="26"/>
      <c r="D8898" s="8">
        <v>54480</v>
      </c>
      <c r="E8898" s="8"/>
      <c r="F8898" s="92">
        <f t="shared" si="176"/>
        <v>28354</v>
      </c>
    </row>
    <row r="8899" spans="1:14" x14ac:dyDescent="0.25">
      <c r="A8899" s="204">
        <v>43842</v>
      </c>
      <c r="B8899" s="26" t="s">
        <v>14</v>
      </c>
      <c r="C8899" s="26" t="s">
        <v>295</v>
      </c>
      <c r="D8899" s="8">
        <v>20000</v>
      </c>
      <c r="E8899" s="8"/>
      <c r="F8899" s="92">
        <f t="shared" si="176"/>
        <v>8354</v>
      </c>
    </row>
    <row r="8900" spans="1:14" x14ac:dyDescent="0.25">
      <c r="A8900" s="204">
        <v>43842</v>
      </c>
      <c r="B8900" s="26" t="s">
        <v>7460</v>
      </c>
      <c r="C8900" s="26" t="s">
        <v>2016</v>
      </c>
      <c r="D8900" s="8">
        <v>200</v>
      </c>
      <c r="E8900" s="8"/>
      <c r="F8900" s="92">
        <f t="shared" si="176"/>
        <v>8154</v>
      </c>
    </row>
    <row r="8901" spans="1:14" x14ac:dyDescent="0.25">
      <c r="A8901" s="204">
        <v>43842</v>
      </c>
      <c r="B8901" s="452" t="s">
        <v>3448</v>
      </c>
      <c r="C8901" s="452"/>
      <c r="D8901" s="452"/>
      <c r="E8901" s="8">
        <v>50000</v>
      </c>
      <c r="F8901" s="92">
        <f t="shared" ref="F8901:F8906" si="177">F8900+E8901-D8901</f>
        <v>58154</v>
      </c>
    </row>
    <row r="8902" spans="1:14" x14ac:dyDescent="0.25">
      <c r="A8902" s="204">
        <v>43842</v>
      </c>
      <c r="B8902" s="29" t="s">
        <v>7525</v>
      </c>
      <c r="C8902" s="29" t="s">
        <v>295</v>
      </c>
      <c r="D8902" s="8">
        <v>15000</v>
      </c>
      <c r="E8902" s="8"/>
      <c r="F8902" s="92">
        <f t="shared" si="177"/>
        <v>43154</v>
      </c>
    </row>
    <row r="8903" spans="1:14" x14ac:dyDescent="0.25">
      <c r="A8903" s="204">
        <v>43842</v>
      </c>
      <c r="B8903" s="26" t="s">
        <v>5479</v>
      </c>
      <c r="C8903" s="26" t="s">
        <v>7526</v>
      </c>
      <c r="D8903" s="8">
        <v>500</v>
      </c>
      <c r="E8903" s="8"/>
      <c r="F8903" s="92">
        <f t="shared" si="177"/>
        <v>42654</v>
      </c>
    </row>
    <row r="8904" spans="1:14" x14ac:dyDescent="0.25">
      <c r="A8904" s="204">
        <v>43842</v>
      </c>
      <c r="B8904" s="26" t="s">
        <v>7527</v>
      </c>
      <c r="C8904" s="26" t="s">
        <v>7528</v>
      </c>
      <c r="D8904" s="8">
        <v>500</v>
      </c>
      <c r="E8904" s="8"/>
      <c r="F8904" s="92">
        <f t="shared" si="177"/>
        <v>42154</v>
      </c>
      <c r="N8904" s="25">
        <f>J8906+I8906</f>
        <v>0</v>
      </c>
    </row>
    <row r="8905" spans="1:14" x14ac:dyDescent="0.25">
      <c r="A8905" s="204">
        <v>43842</v>
      </c>
      <c r="B8905" s="26" t="s">
        <v>1790</v>
      </c>
      <c r="C8905" s="26" t="s">
        <v>7529</v>
      </c>
      <c r="D8905" s="8">
        <v>2500</v>
      </c>
      <c r="E8905" s="8"/>
      <c r="F8905" s="92">
        <f t="shared" si="177"/>
        <v>39654</v>
      </c>
      <c r="K8905" s="25"/>
    </row>
    <row r="8906" spans="1:14" x14ac:dyDescent="0.25">
      <c r="A8906" s="204">
        <v>43842</v>
      </c>
      <c r="B8906" s="26" t="s">
        <v>542</v>
      </c>
      <c r="C8906" s="26" t="s">
        <v>7531</v>
      </c>
      <c r="D8906" s="8">
        <v>15000</v>
      </c>
      <c r="E8906" s="8"/>
      <c r="F8906" s="92">
        <f t="shared" si="177"/>
        <v>24654</v>
      </c>
      <c r="K8906" s="10"/>
    </row>
    <row r="8907" spans="1:14" x14ac:dyDescent="0.25">
      <c r="A8907" s="204">
        <v>43843</v>
      </c>
      <c r="B8907" s="452" t="s">
        <v>3448</v>
      </c>
      <c r="C8907" s="452"/>
      <c r="D8907" s="452"/>
      <c r="E8907" s="8">
        <v>150000</v>
      </c>
      <c r="F8907" s="92">
        <f t="shared" ref="F8907:F8955" si="178">F8906+E8907-D8907</f>
        <v>174654</v>
      </c>
      <c r="K8907" s="25"/>
    </row>
    <row r="8908" spans="1:14" x14ac:dyDescent="0.25">
      <c r="A8908" s="204">
        <v>43843</v>
      </c>
      <c r="B8908" s="26" t="s">
        <v>14</v>
      </c>
      <c r="C8908" s="26" t="s">
        <v>295</v>
      </c>
      <c r="D8908" s="8">
        <v>15000</v>
      </c>
      <c r="E8908" s="8"/>
      <c r="F8908" s="92">
        <f t="shared" si="178"/>
        <v>159654</v>
      </c>
      <c r="K8908" s="25"/>
    </row>
    <row r="8909" spans="1:14" x14ac:dyDescent="0.25">
      <c r="A8909" s="204">
        <v>43843</v>
      </c>
      <c r="B8909" s="26" t="s">
        <v>1015</v>
      </c>
      <c r="C8909" s="26" t="s">
        <v>7533</v>
      </c>
      <c r="D8909" s="8">
        <v>2000</v>
      </c>
      <c r="E8909" s="8"/>
      <c r="F8909" s="92">
        <f t="shared" si="178"/>
        <v>157654</v>
      </c>
    </row>
    <row r="8910" spans="1:14" x14ac:dyDescent="0.25">
      <c r="A8910" s="204">
        <v>43843</v>
      </c>
      <c r="B8910" s="26" t="s">
        <v>111</v>
      </c>
      <c r="C8910" s="26" t="s">
        <v>3175</v>
      </c>
      <c r="D8910" s="8">
        <v>10500</v>
      </c>
      <c r="E8910" s="8"/>
      <c r="F8910" s="92">
        <f t="shared" si="178"/>
        <v>147154</v>
      </c>
      <c r="K8910" s="25"/>
    </row>
    <row r="8911" spans="1:14" x14ac:dyDescent="0.25">
      <c r="A8911" s="204">
        <v>43845</v>
      </c>
      <c r="B8911" s="29" t="s">
        <v>0</v>
      </c>
      <c r="C8911" s="29" t="s">
        <v>7536</v>
      </c>
      <c r="D8911" s="8">
        <v>20000</v>
      </c>
      <c r="E8911" s="8"/>
      <c r="F8911" s="92">
        <f t="shared" si="178"/>
        <v>127154</v>
      </c>
    </row>
    <row r="8912" spans="1:14" x14ac:dyDescent="0.25">
      <c r="A8912" s="204">
        <v>43845</v>
      </c>
      <c r="B8912" s="29" t="s">
        <v>1790</v>
      </c>
      <c r="C8912" s="29" t="s">
        <v>7537</v>
      </c>
      <c r="D8912" s="8">
        <v>1200</v>
      </c>
      <c r="E8912" s="8"/>
      <c r="F8912" s="92">
        <f t="shared" si="178"/>
        <v>125954</v>
      </c>
      <c r="K8912" s="25"/>
    </row>
    <row r="8913" spans="1:8" x14ac:dyDescent="0.25">
      <c r="A8913" s="204">
        <v>43845</v>
      </c>
      <c r="B8913" s="29" t="s">
        <v>1840</v>
      </c>
      <c r="C8913" s="29" t="s">
        <v>2016</v>
      </c>
      <c r="D8913" s="8">
        <v>1075</v>
      </c>
      <c r="E8913" s="8"/>
      <c r="F8913" s="92">
        <f t="shared" si="178"/>
        <v>124879</v>
      </c>
    </row>
    <row r="8914" spans="1:8" x14ac:dyDescent="0.25">
      <c r="A8914" s="204">
        <v>43845</v>
      </c>
      <c r="B8914" s="29" t="s">
        <v>1840</v>
      </c>
      <c r="C8914" s="29" t="s">
        <v>7538</v>
      </c>
      <c r="D8914" s="8">
        <v>1600</v>
      </c>
      <c r="E8914" s="8"/>
      <c r="F8914" s="92">
        <f t="shared" si="178"/>
        <v>123279</v>
      </c>
    </row>
    <row r="8915" spans="1:8" x14ac:dyDescent="0.25">
      <c r="A8915" s="204">
        <v>43845</v>
      </c>
      <c r="B8915" s="29" t="s">
        <v>85</v>
      </c>
      <c r="C8915" s="29" t="s">
        <v>7539</v>
      </c>
      <c r="D8915" s="8">
        <v>5000</v>
      </c>
      <c r="E8915" s="8"/>
      <c r="F8915" s="92">
        <f t="shared" si="178"/>
        <v>118279</v>
      </c>
    </row>
    <row r="8916" spans="1:8" x14ac:dyDescent="0.25">
      <c r="A8916" s="204">
        <v>43845</v>
      </c>
      <c r="B8916" s="29" t="s">
        <v>55</v>
      </c>
      <c r="C8916" s="29" t="s">
        <v>7542</v>
      </c>
      <c r="D8916" s="8">
        <v>10451</v>
      </c>
      <c r="E8916" s="8"/>
      <c r="F8916" s="92">
        <f t="shared" si="178"/>
        <v>107828</v>
      </c>
    </row>
    <row r="8917" spans="1:8" x14ac:dyDescent="0.25">
      <c r="A8917" s="204">
        <v>43845</v>
      </c>
      <c r="B8917" s="29" t="s">
        <v>1619</v>
      </c>
      <c r="C8917" s="29" t="s">
        <v>7543</v>
      </c>
      <c r="D8917" s="8">
        <v>3000</v>
      </c>
      <c r="E8917" s="8"/>
      <c r="F8917" s="92">
        <f t="shared" si="178"/>
        <v>104828</v>
      </c>
    </row>
    <row r="8918" spans="1:8" x14ac:dyDescent="0.25">
      <c r="A8918" s="204">
        <v>43845</v>
      </c>
      <c r="B8918" s="26" t="s">
        <v>111</v>
      </c>
      <c r="C8918" s="26" t="s">
        <v>641</v>
      </c>
      <c r="D8918" s="8">
        <v>2000</v>
      </c>
      <c r="E8918" s="8"/>
      <c r="F8918" s="92">
        <f t="shared" si="178"/>
        <v>102828</v>
      </c>
    </row>
    <row r="8919" spans="1:8" x14ac:dyDescent="0.25">
      <c r="A8919" s="204">
        <v>43845</v>
      </c>
      <c r="B8919" s="26" t="s">
        <v>6877</v>
      </c>
      <c r="C8919" s="26" t="s">
        <v>3561</v>
      </c>
      <c r="D8919" s="8">
        <v>5000</v>
      </c>
      <c r="E8919" s="8"/>
      <c r="F8919" s="92">
        <f t="shared" si="178"/>
        <v>97828</v>
      </c>
    </row>
    <row r="8920" spans="1:8" x14ac:dyDescent="0.25">
      <c r="A8920" s="204">
        <v>43846</v>
      </c>
      <c r="B8920" s="26" t="s">
        <v>7544</v>
      </c>
      <c r="C8920" s="26" t="s">
        <v>7545</v>
      </c>
      <c r="D8920" s="8">
        <v>15000</v>
      </c>
      <c r="E8920" s="8"/>
      <c r="F8920" s="92">
        <f t="shared" si="178"/>
        <v>82828</v>
      </c>
    </row>
    <row r="8921" spans="1:8" x14ac:dyDescent="0.25">
      <c r="A8921" s="204">
        <v>43846</v>
      </c>
      <c r="B8921" s="26" t="s">
        <v>14</v>
      </c>
      <c r="C8921" s="26" t="s">
        <v>295</v>
      </c>
      <c r="D8921" s="8">
        <v>10000</v>
      </c>
      <c r="E8921" s="8"/>
      <c r="F8921" s="92">
        <f t="shared" si="178"/>
        <v>72828</v>
      </c>
    </row>
    <row r="8922" spans="1:8" x14ac:dyDescent="0.25">
      <c r="A8922" s="204">
        <v>43846</v>
      </c>
      <c r="B8922" s="26" t="s">
        <v>694</v>
      </c>
      <c r="C8922" s="26" t="s">
        <v>7591</v>
      </c>
      <c r="D8922" s="8">
        <v>35000</v>
      </c>
      <c r="E8922" s="8"/>
      <c r="F8922" s="92">
        <f t="shared" si="178"/>
        <v>37828</v>
      </c>
    </row>
    <row r="8923" spans="1:8" x14ac:dyDescent="0.25">
      <c r="A8923" s="204">
        <v>43846</v>
      </c>
      <c r="B8923" s="26" t="s">
        <v>7069</v>
      </c>
      <c r="C8923" s="26" t="s">
        <v>7546</v>
      </c>
      <c r="D8923" s="8">
        <v>12600</v>
      </c>
      <c r="E8923" s="8"/>
      <c r="F8923" s="92">
        <f t="shared" si="178"/>
        <v>25228</v>
      </c>
    </row>
    <row r="8924" spans="1:8" x14ac:dyDescent="0.25">
      <c r="A8924" s="204">
        <v>43846</v>
      </c>
      <c r="B8924" s="29" t="s">
        <v>0</v>
      </c>
      <c r="C8924" s="29" t="s">
        <v>7536</v>
      </c>
      <c r="D8924" s="8">
        <v>15000</v>
      </c>
      <c r="E8924" s="8"/>
      <c r="F8924" s="92">
        <f t="shared" si="178"/>
        <v>10228</v>
      </c>
    </row>
    <row r="8925" spans="1:8" x14ac:dyDescent="0.25">
      <c r="A8925" s="204">
        <v>44213</v>
      </c>
      <c r="B8925" s="26" t="s">
        <v>542</v>
      </c>
      <c r="C8925" s="26" t="s">
        <v>7580</v>
      </c>
      <c r="D8925" s="8">
        <v>600</v>
      </c>
      <c r="E8925" s="8"/>
      <c r="F8925" s="92">
        <f t="shared" si="178"/>
        <v>9628</v>
      </c>
    </row>
    <row r="8926" spans="1:8" x14ac:dyDescent="0.25">
      <c r="A8926" s="204">
        <v>44213</v>
      </c>
      <c r="B8926" s="26" t="s">
        <v>1790</v>
      </c>
      <c r="C8926" s="26" t="s">
        <v>7581</v>
      </c>
      <c r="D8926" s="8">
        <v>2200</v>
      </c>
      <c r="E8926" s="8"/>
      <c r="F8926" s="92">
        <f t="shared" si="178"/>
        <v>7428</v>
      </c>
      <c r="G8926" s="25"/>
      <c r="H8926" s="25"/>
    </row>
    <row r="8927" spans="1:8" x14ac:dyDescent="0.25">
      <c r="A8927" s="204">
        <v>44213</v>
      </c>
      <c r="B8927" s="39" t="s">
        <v>1015</v>
      </c>
      <c r="C8927" s="39" t="s">
        <v>7486</v>
      </c>
      <c r="D8927" s="10">
        <v>1500</v>
      </c>
      <c r="F8927" s="92">
        <f t="shared" si="178"/>
        <v>5928</v>
      </c>
    </row>
    <row r="8928" spans="1:8" x14ac:dyDescent="0.25">
      <c r="A8928" s="204">
        <v>44213</v>
      </c>
      <c r="B8928" s="39" t="s">
        <v>26</v>
      </c>
      <c r="C8928" s="39" t="s">
        <v>4280</v>
      </c>
      <c r="D8928" s="10">
        <f>1400+100+400+120+280+150+130+20+120+150+40+120+270+60+40+160+270+40+280</f>
        <v>4150</v>
      </c>
      <c r="F8928" s="92">
        <f t="shared" si="178"/>
        <v>1778</v>
      </c>
    </row>
    <row r="8929" spans="1:10" x14ac:dyDescent="0.25">
      <c r="A8929" s="204">
        <v>44213</v>
      </c>
      <c r="B8929" s="39" t="s">
        <v>5479</v>
      </c>
      <c r="C8929" s="39" t="s">
        <v>7483</v>
      </c>
      <c r="D8929" s="10">
        <v>450</v>
      </c>
      <c r="F8929" s="92">
        <f t="shared" si="178"/>
        <v>1328</v>
      </c>
    </row>
    <row r="8930" spans="1:10" x14ac:dyDescent="0.25">
      <c r="A8930" s="204">
        <v>43842</v>
      </c>
      <c r="B8930" s="452" t="s">
        <v>5713</v>
      </c>
      <c r="C8930" s="452"/>
      <c r="D8930" s="452"/>
      <c r="E8930" s="8">
        <v>50000</v>
      </c>
      <c r="F8930" s="92">
        <f t="shared" si="178"/>
        <v>51328</v>
      </c>
    </row>
    <row r="8931" spans="1:10" x14ac:dyDescent="0.25">
      <c r="A8931" s="204">
        <v>44213</v>
      </c>
      <c r="B8931" s="29" t="s">
        <v>6293</v>
      </c>
      <c r="C8931" s="29" t="s">
        <v>7589</v>
      </c>
      <c r="D8931" s="8">
        <v>20000</v>
      </c>
      <c r="E8931" s="8"/>
      <c r="F8931" s="92">
        <f t="shared" si="178"/>
        <v>31328</v>
      </c>
    </row>
    <row r="8932" spans="1:10" ht="45" x14ac:dyDescent="0.25">
      <c r="A8932" s="204">
        <v>44213</v>
      </c>
      <c r="B8932" s="29" t="s">
        <v>1077</v>
      </c>
      <c r="C8932" s="87" t="s">
        <v>7590</v>
      </c>
      <c r="D8932" s="8">
        <v>11870</v>
      </c>
      <c r="E8932" s="8"/>
      <c r="F8932" s="92">
        <f t="shared" si="178"/>
        <v>19458</v>
      </c>
    </row>
    <row r="8933" spans="1:10" x14ac:dyDescent="0.25">
      <c r="A8933" s="204">
        <v>44213</v>
      </c>
      <c r="B8933" s="26" t="s">
        <v>26</v>
      </c>
      <c r="C8933" s="26" t="s">
        <v>2016</v>
      </c>
      <c r="D8933" s="8">
        <v>150</v>
      </c>
      <c r="E8933" s="8"/>
      <c r="F8933" s="92">
        <f t="shared" si="178"/>
        <v>19308</v>
      </c>
    </row>
    <row r="8934" spans="1:10" x14ac:dyDescent="0.25">
      <c r="A8934" s="204">
        <v>44213</v>
      </c>
      <c r="B8934" s="26" t="s">
        <v>4602</v>
      </c>
      <c r="C8934" s="26" t="s">
        <v>7589</v>
      </c>
      <c r="D8934" s="8">
        <v>3000</v>
      </c>
      <c r="E8934" s="8"/>
      <c r="F8934" s="92">
        <f t="shared" si="178"/>
        <v>16308</v>
      </c>
    </row>
    <row r="8935" spans="1:10" x14ac:dyDescent="0.25">
      <c r="A8935" s="204">
        <v>44213</v>
      </c>
      <c r="B8935" s="137" t="s">
        <v>1790</v>
      </c>
      <c r="C8935" s="137" t="s">
        <v>4601</v>
      </c>
      <c r="D8935" s="139">
        <v>800</v>
      </c>
      <c r="E8935" s="8"/>
      <c r="F8935" s="92">
        <f t="shared" si="178"/>
        <v>15508</v>
      </c>
    </row>
    <row r="8936" spans="1:10" x14ac:dyDescent="0.25">
      <c r="A8936" s="204">
        <v>44245</v>
      </c>
      <c r="B8936" s="26" t="s">
        <v>5479</v>
      </c>
      <c r="C8936" s="26" t="s">
        <v>7483</v>
      </c>
      <c r="D8936" s="8">
        <v>100</v>
      </c>
      <c r="E8936" s="8"/>
      <c r="F8936" s="92">
        <f t="shared" si="178"/>
        <v>15408</v>
      </c>
    </row>
    <row r="8937" spans="1:10" x14ac:dyDescent="0.25">
      <c r="A8937" s="204">
        <v>44245</v>
      </c>
      <c r="B8937" s="26" t="s">
        <v>85</v>
      </c>
      <c r="C8937" s="26" t="s">
        <v>7511</v>
      </c>
      <c r="D8937" s="8">
        <v>4000</v>
      </c>
      <c r="E8937" s="8"/>
      <c r="F8937" s="92">
        <f t="shared" si="178"/>
        <v>11408</v>
      </c>
    </row>
    <row r="8938" spans="1:10" x14ac:dyDescent="0.25">
      <c r="A8938" s="204">
        <v>44245</v>
      </c>
      <c r="B8938" s="26" t="s">
        <v>85</v>
      </c>
      <c r="C8938" s="26" t="s">
        <v>7592</v>
      </c>
      <c r="D8938" s="8">
        <v>2000</v>
      </c>
      <c r="E8938" s="8"/>
      <c r="F8938" s="92">
        <f t="shared" si="178"/>
        <v>9408</v>
      </c>
      <c r="G8938" s="25"/>
    </row>
    <row r="8939" spans="1:10" x14ac:dyDescent="0.25">
      <c r="A8939" s="204">
        <v>44245</v>
      </c>
      <c r="B8939" s="26" t="s">
        <v>0</v>
      </c>
      <c r="C8939" s="26" t="s">
        <v>295</v>
      </c>
      <c r="D8939" s="8">
        <v>3000</v>
      </c>
      <c r="E8939" s="8"/>
      <c r="F8939" s="92">
        <f t="shared" si="178"/>
        <v>6408</v>
      </c>
    </row>
    <row r="8940" spans="1:10" x14ac:dyDescent="0.25">
      <c r="A8940" s="204">
        <v>43880</v>
      </c>
      <c r="B8940" s="456" t="s">
        <v>5771</v>
      </c>
      <c r="C8940" s="457"/>
      <c r="D8940" s="458"/>
      <c r="E8940" s="8">
        <v>220000</v>
      </c>
      <c r="F8940" s="92">
        <f t="shared" ref="F8940:F8941" si="179">F8939+E8940-D8940</f>
        <v>226408</v>
      </c>
      <c r="J8940" s="281"/>
    </row>
    <row r="8941" spans="1:10" x14ac:dyDescent="0.25">
      <c r="A8941" s="204">
        <v>43880</v>
      </c>
      <c r="B8941" s="26" t="s">
        <v>0</v>
      </c>
      <c r="C8941" s="26" t="s">
        <v>5821</v>
      </c>
      <c r="D8941" s="8">
        <v>30000</v>
      </c>
      <c r="E8941" s="8"/>
      <c r="F8941" s="92">
        <f t="shared" si="179"/>
        <v>196408</v>
      </c>
    </row>
    <row r="8942" spans="1:10" x14ac:dyDescent="0.25">
      <c r="A8942" s="204">
        <v>43880</v>
      </c>
      <c r="B8942" s="26" t="s">
        <v>6063</v>
      </c>
      <c r="C8942" s="26" t="s">
        <v>4847</v>
      </c>
      <c r="D8942" s="8">
        <v>20000</v>
      </c>
      <c r="E8942" s="8"/>
      <c r="F8942" s="92">
        <f t="shared" si="178"/>
        <v>176408</v>
      </c>
    </row>
    <row r="8943" spans="1:10" x14ac:dyDescent="0.25">
      <c r="A8943" s="204">
        <v>43880</v>
      </c>
      <c r="B8943" s="26" t="s">
        <v>7597</v>
      </c>
      <c r="C8943" s="26" t="s">
        <v>5853</v>
      </c>
      <c r="D8943" s="8">
        <v>100000</v>
      </c>
      <c r="E8943" s="8"/>
      <c r="F8943" s="92">
        <f t="shared" si="178"/>
        <v>76408</v>
      </c>
    </row>
    <row r="8944" spans="1:10" x14ac:dyDescent="0.25">
      <c r="A8944" s="204">
        <v>43880</v>
      </c>
      <c r="B8944" s="26" t="s">
        <v>4059</v>
      </c>
      <c r="C8944" s="26" t="s">
        <v>7598</v>
      </c>
      <c r="D8944" s="8">
        <v>30000</v>
      </c>
      <c r="E8944" s="8"/>
      <c r="F8944" s="92">
        <f t="shared" si="178"/>
        <v>46408</v>
      </c>
    </row>
    <row r="8945" spans="1:6" x14ac:dyDescent="0.25">
      <c r="A8945" s="204">
        <v>43881</v>
      </c>
      <c r="B8945" s="26" t="s">
        <v>0</v>
      </c>
      <c r="C8945" s="26" t="s">
        <v>295</v>
      </c>
      <c r="D8945" s="8">
        <v>35000</v>
      </c>
      <c r="E8945" s="8"/>
      <c r="F8945" s="92">
        <f t="shared" si="178"/>
        <v>11408</v>
      </c>
    </row>
    <row r="8946" spans="1:6" x14ac:dyDescent="0.25">
      <c r="A8946" s="204">
        <v>43881</v>
      </c>
      <c r="B8946" s="29" t="s">
        <v>7527</v>
      </c>
      <c r="C8946" s="29" t="s">
        <v>7604</v>
      </c>
      <c r="D8946" s="8">
        <f>300+200+170</f>
        <v>670</v>
      </c>
      <c r="E8946" s="8"/>
      <c r="F8946" s="92">
        <f t="shared" si="178"/>
        <v>10738</v>
      </c>
    </row>
    <row r="8947" spans="1:6" x14ac:dyDescent="0.25">
      <c r="A8947" s="204">
        <v>43881</v>
      </c>
      <c r="B8947" s="456" t="s">
        <v>5713</v>
      </c>
      <c r="C8947" s="457"/>
      <c r="D8947" s="458"/>
      <c r="E8947" s="8">
        <v>200000</v>
      </c>
      <c r="F8947" s="92">
        <f t="shared" si="178"/>
        <v>210738</v>
      </c>
    </row>
    <row r="8948" spans="1:6" x14ac:dyDescent="0.25">
      <c r="A8948" s="204">
        <v>43881</v>
      </c>
      <c r="B8948" s="26" t="s">
        <v>6877</v>
      </c>
      <c r="C8948" s="26" t="s">
        <v>7607</v>
      </c>
      <c r="D8948" s="8">
        <v>8000</v>
      </c>
      <c r="E8948" s="8"/>
      <c r="F8948" s="92">
        <f t="shared" si="178"/>
        <v>202738</v>
      </c>
    </row>
    <row r="8949" spans="1:6" x14ac:dyDescent="0.25">
      <c r="A8949" s="204">
        <v>43881</v>
      </c>
      <c r="B8949" s="26" t="s">
        <v>1015</v>
      </c>
      <c r="C8949" s="26" t="s">
        <v>7608</v>
      </c>
      <c r="D8949" s="8">
        <v>10000</v>
      </c>
      <c r="E8949" s="8"/>
      <c r="F8949" s="92">
        <f t="shared" si="178"/>
        <v>192738</v>
      </c>
    </row>
    <row r="8950" spans="1:6" x14ac:dyDescent="0.25">
      <c r="A8950" s="204">
        <v>43883</v>
      </c>
      <c r="B8950" s="26" t="s">
        <v>1790</v>
      </c>
      <c r="C8950" s="26" t="s">
        <v>7610</v>
      </c>
      <c r="D8950" s="8">
        <v>1000</v>
      </c>
      <c r="E8950" s="8"/>
      <c r="F8950" s="92">
        <f t="shared" si="178"/>
        <v>191738</v>
      </c>
    </row>
    <row r="8951" spans="1:6" x14ac:dyDescent="0.25">
      <c r="A8951" s="204">
        <v>43883</v>
      </c>
      <c r="B8951" s="26" t="s">
        <v>57</v>
      </c>
      <c r="C8951" s="26" t="s">
        <v>7611</v>
      </c>
      <c r="D8951" s="8">
        <v>400</v>
      </c>
      <c r="E8951" s="8"/>
      <c r="F8951" s="92">
        <f t="shared" si="178"/>
        <v>191338</v>
      </c>
    </row>
    <row r="8952" spans="1:6" x14ac:dyDescent="0.25">
      <c r="A8952" s="204">
        <v>43883</v>
      </c>
      <c r="B8952" s="26" t="s">
        <v>7616</v>
      </c>
      <c r="C8952" s="26" t="s">
        <v>7617</v>
      </c>
      <c r="D8952" s="8">
        <v>115000</v>
      </c>
      <c r="E8952" s="8"/>
      <c r="F8952" s="92">
        <f t="shared" si="178"/>
        <v>76338</v>
      </c>
    </row>
    <row r="8953" spans="1:6" x14ac:dyDescent="0.25">
      <c r="A8953" s="204">
        <v>43883</v>
      </c>
      <c r="B8953" s="29" t="s">
        <v>6877</v>
      </c>
      <c r="C8953" s="29" t="s">
        <v>295</v>
      </c>
      <c r="D8953" s="8">
        <v>4000</v>
      </c>
      <c r="E8953" s="8"/>
      <c r="F8953" s="92">
        <f t="shared" si="178"/>
        <v>72338</v>
      </c>
    </row>
    <row r="8954" spans="1:6" x14ac:dyDescent="0.25">
      <c r="A8954" s="204">
        <v>43883</v>
      </c>
      <c r="B8954" s="29" t="s">
        <v>19</v>
      </c>
      <c r="C8954" s="29" t="s">
        <v>295</v>
      </c>
      <c r="D8954" s="8">
        <v>5000</v>
      </c>
      <c r="E8954" s="8"/>
      <c r="F8954" s="92">
        <f t="shared" si="178"/>
        <v>67338</v>
      </c>
    </row>
    <row r="8955" spans="1:6" x14ac:dyDescent="0.25">
      <c r="A8955" s="204">
        <v>43884</v>
      </c>
      <c r="B8955" s="26" t="s">
        <v>1192</v>
      </c>
      <c r="C8955" s="26" t="s">
        <v>7612</v>
      </c>
      <c r="D8955" s="8">
        <v>1000</v>
      </c>
      <c r="E8955" s="8"/>
      <c r="F8955" s="92">
        <f t="shared" si="178"/>
        <v>66338</v>
      </c>
    </row>
    <row r="8956" spans="1:6" x14ac:dyDescent="0.25">
      <c r="A8956" s="204">
        <v>43884</v>
      </c>
      <c r="B8956" s="26" t="s">
        <v>1790</v>
      </c>
      <c r="C8956" s="26" t="s">
        <v>7619</v>
      </c>
      <c r="D8956" s="8">
        <v>1000</v>
      </c>
      <c r="E8956" s="8"/>
      <c r="F8956" s="92">
        <f t="shared" ref="F8956:F9019" si="180">F8955+E8956-D8956</f>
        <v>65338</v>
      </c>
    </row>
    <row r="8957" spans="1:6" x14ac:dyDescent="0.25">
      <c r="A8957" s="204">
        <v>43884</v>
      </c>
      <c r="B8957" s="26" t="s">
        <v>6063</v>
      </c>
      <c r="C8957" s="26" t="s">
        <v>7614</v>
      </c>
      <c r="D8957" s="8">
        <v>2150</v>
      </c>
      <c r="E8957" s="8"/>
      <c r="F8957" s="92">
        <f t="shared" si="180"/>
        <v>63188</v>
      </c>
    </row>
    <row r="8958" spans="1:6" ht="45" x14ac:dyDescent="0.25">
      <c r="A8958" s="204">
        <v>43884</v>
      </c>
      <c r="B8958" s="199" t="s">
        <v>6063</v>
      </c>
      <c r="C8958" s="207" t="s">
        <v>7615</v>
      </c>
      <c r="D8958" s="91">
        <f>13000+3000</f>
        <v>16000</v>
      </c>
      <c r="E8958" s="91"/>
      <c r="F8958" s="92">
        <f t="shared" si="180"/>
        <v>47188</v>
      </c>
    </row>
    <row r="8959" spans="1:6" x14ac:dyDescent="0.25">
      <c r="A8959" s="204">
        <v>43884</v>
      </c>
      <c r="B8959" s="26" t="s">
        <v>1192</v>
      </c>
      <c r="C8959" s="26" t="s">
        <v>295</v>
      </c>
      <c r="D8959" s="8">
        <v>1000</v>
      </c>
      <c r="E8959" s="8"/>
      <c r="F8959" s="92">
        <f t="shared" si="180"/>
        <v>46188</v>
      </c>
    </row>
    <row r="8960" spans="1:6" x14ac:dyDescent="0.25">
      <c r="A8960" s="204">
        <v>43884</v>
      </c>
      <c r="B8960" s="26" t="s">
        <v>1790</v>
      </c>
      <c r="C8960" s="26" t="s">
        <v>7618</v>
      </c>
      <c r="D8960" s="8">
        <v>850</v>
      </c>
      <c r="E8960" s="8"/>
      <c r="F8960" s="92">
        <f t="shared" si="180"/>
        <v>45338</v>
      </c>
    </row>
    <row r="8961" spans="1:10" x14ac:dyDescent="0.25">
      <c r="A8961" s="204">
        <v>43884</v>
      </c>
      <c r="B8961" s="26" t="s">
        <v>1192</v>
      </c>
      <c r="C8961" s="26" t="s">
        <v>295</v>
      </c>
      <c r="D8961" s="8">
        <v>3000</v>
      </c>
      <c r="E8961" s="8"/>
      <c r="F8961" s="92">
        <f t="shared" si="180"/>
        <v>42338</v>
      </c>
    </row>
    <row r="8962" spans="1:10" x14ac:dyDescent="0.25">
      <c r="A8962" s="204">
        <v>43885</v>
      </c>
      <c r="B8962" s="26" t="s">
        <v>26</v>
      </c>
      <c r="C8962" s="26" t="s">
        <v>4280</v>
      </c>
      <c r="D8962" s="8">
        <f>1400+300+500+95+50+240+140+60+280+40+120+80+280+60+320+80+40+50+270+320+20+330+15</f>
        <v>5090</v>
      </c>
      <c r="E8962" s="8"/>
      <c r="F8962" s="92">
        <f t="shared" si="180"/>
        <v>37248</v>
      </c>
    </row>
    <row r="8963" spans="1:10" x14ac:dyDescent="0.25">
      <c r="A8963" s="204">
        <v>43885</v>
      </c>
      <c r="B8963" s="26" t="s">
        <v>85</v>
      </c>
      <c r="C8963" s="26" t="s">
        <v>7624</v>
      </c>
      <c r="D8963" s="8">
        <v>10000</v>
      </c>
      <c r="E8963" s="8"/>
      <c r="F8963" s="92">
        <f t="shared" si="180"/>
        <v>27248</v>
      </c>
    </row>
    <row r="8964" spans="1:10" x14ac:dyDescent="0.25">
      <c r="A8964" s="204">
        <v>43885</v>
      </c>
      <c r="B8964" s="26" t="s">
        <v>6285</v>
      </c>
      <c r="C8964" s="26" t="s">
        <v>7625</v>
      </c>
      <c r="D8964" s="8">
        <f>183+71</f>
        <v>254</v>
      </c>
      <c r="E8964" s="8"/>
      <c r="F8964" s="92">
        <f t="shared" si="180"/>
        <v>26994</v>
      </c>
    </row>
    <row r="8965" spans="1:10" ht="30" x14ac:dyDescent="0.25">
      <c r="A8965" s="204">
        <v>43885</v>
      </c>
      <c r="B8965" s="199" t="s">
        <v>26</v>
      </c>
      <c r="C8965" s="207" t="s">
        <v>7626</v>
      </c>
      <c r="D8965" s="91">
        <f>100+20+140+100+100+20</f>
        <v>480</v>
      </c>
      <c r="E8965" s="91"/>
      <c r="F8965" s="92">
        <f t="shared" si="180"/>
        <v>26514</v>
      </c>
    </row>
    <row r="8966" spans="1:10" x14ac:dyDescent="0.25">
      <c r="A8966" s="204">
        <v>43885</v>
      </c>
      <c r="B8966" s="26" t="s">
        <v>85</v>
      </c>
      <c r="C8966" s="26" t="s">
        <v>7627</v>
      </c>
      <c r="D8966" s="8">
        <v>5000</v>
      </c>
      <c r="E8966" s="8"/>
      <c r="F8966" s="92">
        <f t="shared" si="180"/>
        <v>21514</v>
      </c>
    </row>
    <row r="8967" spans="1:10" x14ac:dyDescent="0.25">
      <c r="A8967" s="204">
        <v>43886</v>
      </c>
      <c r="B8967" s="26" t="s">
        <v>1015</v>
      </c>
      <c r="C8967" s="26" t="s">
        <v>7533</v>
      </c>
      <c r="D8967" s="8">
        <v>3000</v>
      </c>
      <c r="E8967" s="8"/>
      <c r="F8967" s="92">
        <f t="shared" si="180"/>
        <v>18514</v>
      </c>
    </row>
    <row r="8968" spans="1:10" x14ac:dyDescent="0.25">
      <c r="A8968" s="204">
        <v>43887</v>
      </c>
      <c r="B8968" s="26" t="s">
        <v>7628</v>
      </c>
      <c r="C8968" s="26" t="s">
        <v>5735</v>
      </c>
      <c r="D8968" s="8">
        <v>3000</v>
      </c>
      <c r="E8968" s="8"/>
      <c r="F8968" s="92">
        <f t="shared" si="180"/>
        <v>15514</v>
      </c>
    </row>
    <row r="8969" spans="1:10" x14ac:dyDescent="0.25">
      <c r="A8969" s="204">
        <v>43887</v>
      </c>
      <c r="B8969" s="26" t="s">
        <v>2349</v>
      </c>
      <c r="C8969" s="26" t="s">
        <v>7619</v>
      </c>
      <c r="D8969" s="8">
        <v>1700</v>
      </c>
      <c r="E8969" s="8"/>
      <c r="F8969" s="92">
        <f t="shared" si="180"/>
        <v>13814</v>
      </c>
      <c r="J8969" s="281"/>
    </row>
    <row r="8970" spans="1:10" ht="30" x14ac:dyDescent="0.25">
      <c r="A8970" s="204">
        <v>43887</v>
      </c>
      <c r="B8970" s="199" t="s">
        <v>26</v>
      </c>
      <c r="C8970" s="87" t="s">
        <v>7629</v>
      </c>
      <c r="D8970" s="91">
        <v>200</v>
      </c>
      <c r="E8970" s="8"/>
      <c r="F8970" s="92">
        <f t="shared" si="180"/>
        <v>13614</v>
      </c>
    </row>
    <row r="8971" spans="1:10" x14ac:dyDescent="0.25">
      <c r="A8971" s="204">
        <v>43888</v>
      </c>
      <c r="B8971" s="26" t="s">
        <v>1840</v>
      </c>
      <c r="C8971" s="26" t="s">
        <v>295</v>
      </c>
      <c r="D8971" s="8">
        <v>2000</v>
      </c>
      <c r="E8971" s="8"/>
      <c r="F8971" s="92">
        <f t="shared" si="180"/>
        <v>11614</v>
      </c>
    </row>
    <row r="8972" spans="1:10" x14ac:dyDescent="0.25">
      <c r="A8972" s="204">
        <v>43888</v>
      </c>
      <c r="B8972" s="26" t="s">
        <v>26</v>
      </c>
      <c r="C8972" s="26" t="s">
        <v>6430</v>
      </c>
      <c r="D8972" s="8">
        <v>100</v>
      </c>
      <c r="E8972" s="8"/>
      <c r="F8972" s="92">
        <f t="shared" si="180"/>
        <v>11514</v>
      </c>
    </row>
    <row r="8973" spans="1:10" x14ac:dyDescent="0.25">
      <c r="A8973" s="204">
        <v>43888</v>
      </c>
      <c r="B8973" s="26" t="s">
        <v>7632</v>
      </c>
      <c r="C8973" s="26" t="s">
        <v>7633</v>
      </c>
      <c r="D8973" s="8">
        <v>2000</v>
      </c>
      <c r="E8973" s="8"/>
      <c r="F8973" s="92">
        <f t="shared" si="180"/>
        <v>9514</v>
      </c>
    </row>
    <row r="8974" spans="1:10" x14ac:dyDescent="0.25">
      <c r="A8974" s="204">
        <v>44256</v>
      </c>
      <c r="B8974" s="39" t="s">
        <v>3339</v>
      </c>
      <c r="C8974" s="39" t="s">
        <v>7636</v>
      </c>
      <c r="D8974" s="10">
        <v>50</v>
      </c>
      <c r="F8974" s="92">
        <f t="shared" si="180"/>
        <v>9464</v>
      </c>
    </row>
    <row r="8975" spans="1:10" x14ac:dyDescent="0.25">
      <c r="A8975" s="204">
        <v>44256</v>
      </c>
      <c r="B8975" s="456" t="s">
        <v>7638</v>
      </c>
      <c r="C8975" s="457"/>
      <c r="D8975" s="458"/>
      <c r="E8975" s="8">
        <v>100000</v>
      </c>
      <c r="F8975" s="92">
        <f t="shared" si="180"/>
        <v>109464</v>
      </c>
    </row>
    <row r="8976" spans="1:10" x14ac:dyDescent="0.25">
      <c r="A8976" s="204">
        <v>44256</v>
      </c>
      <c r="B8976" s="456" t="s">
        <v>7638</v>
      </c>
      <c r="C8976" s="457"/>
      <c r="D8976" s="458"/>
      <c r="E8976" s="8">
        <v>50000</v>
      </c>
      <c r="F8976" s="92">
        <f t="shared" si="180"/>
        <v>159464</v>
      </c>
    </row>
    <row r="8977" spans="1:6" x14ac:dyDescent="0.25">
      <c r="A8977" s="204">
        <v>44256</v>
      </c>
      <c r="B8977" s="29" t="s">
        <v>111</v>
      </c>
      <c r="C8977" s="29" t="s">
        <v>7639</v>
      </c>
      <c r="D8977" s="8">
        <v>20500</v>
      </c>
      <c r="E8977" s="8"/>
      <c r="F8977" s="92">
        <f t="shared" si="180"/>
        <v>138964</v>
      </c>
    </row>
    <row r="8978" spans="1:6" x14ac:dyDescent="0.25">
      <c r="A8978" s="204">
        <v>44256</v>
      </c>
      <c r="B8978" s="29" t="s">
        <v>27</v>
      </c>
      <c r="C8978" s="29" t="s">
        <v>7640</v>
      </c>
      <c r="D8978" s="8">
        <v>600</v>
      </c>
      <c r="E8978" s="8"/>
      <c r="F8978" s="92">
        <f t="shared" si="180"/>
        <v>138364</v>
      </c>
    </row>
    <row r="8979" spans="1:6" x14ac:dyDescent="0.25">
      <c r="A8979" s="204">
        <v>44256</v>
      </c>
      <c r="B8979" s="26" t="s">
        <v>0</v>
      </c>
      <c r="C8979" s="26" t="s">
        <v>6986</v>
      </c>
      <c r="D8979" s="8">
        <v>15000</v>
      </c>
      <c r="E8979" s="8"/>
      <c r="F8979" s="92">
        <f t="shared" si="180"/>
        <v>123364</v>
      </c>
    </row>
    <row r="8980" spans="1:6" x14ac:dyDescent="0.25">
      <c r="A8980" s="204">
        <v>44256</v>
      </c>
      <c r="B8980" s="26" t="s">
        <v>1790</v>
      </c>
      <c r="C8980" s="26" t="s">
        <v>7647</v>
      </c>
      <c r="D8980" s="8">
        <v>1000</v>
      </c>
      <c r="E8980" s="8"/>
      <c r="F8980" s="92">
        <f t="shared" si="180"/>
        <v>122364</v>
      </c>
    </row>
    <row r="8981" spans="1:6" x14ac:dyDescent="0.25">
      <c r="A8981" s="204">
        <v>44256</v>
      </c>
      <c r="B8981" s="26" t="s">
        <v>7628</v>
      </c>
      <c r="C8981" s="26" t="s">
        <v>5735</v>
      </c>
      <c r="D8981" s="8">
        <v>4500</v>
      </c>
      <c r="E8981" s="8"/>
      <c r="F8981" s="92">
        <f t="shared" si="180"/>
        <v>117864</v>
      </c>
    </row>
    <row r="8982" spans="1:6" x14ac:dyDescent="0.25">
      <c r="A8982" s="204">
        <v>44256</v>
      </c>
      <c r="B8982" s="26" t="s">
        <v>14</v>
      </c>
      <c r="C8982" s="26" t="s">
        <v>7652</v>
      </c>
      <c r="D8982" s="8">
        <v>1693</v>
      </c>
      <c r="E8982" s="8"/>
      <c r="F8982" s="92">
        <f t="shared" si="180"/>
        <v>116171</v>
      </c>
    </row>
    <row r="8983" spans="1:6" x14ac:dyDescent="0.25">
      <c r="A8983" s="204">
        <v>44256</v>
      </c>
      <c r="B8983" s="26" t="s">
        <v>1077</v>
      </c>
      <c r="C8983" s="26" t="s">
        <v>7653</v>
      </c>
      <c r="D8983" s="8">
        <v>23405</v>
      </c>
      <c r="E8983" s="8"/>
      <c r="F8983" s="92">
        <f t="shared" si="180"/>
        <v>92766</v>
      </c>
    </row>
    <row r="8984" spans="1:6" x14ac:dyDescent="0.25">
      <c r="A8984" s="204">
        <v>44256</v>
      </c>
      <c r="B8984" s="26" t="s">
        <v>1515</v>
      </c>
      <c r="C8984" s="26" t="s">
        <v>7656</v>
      </c>
      <c r="D8984" s="8">
        <v>35000</v>
      </c>
      <c r="E8984" s="8"/>
      <c r="F8984" s="92">
        <f t="shared" si="180"/>
        <v>57766</v>
      </c>
    </row>
    <row r="8985" spans="1:6" x14ac:dyDescent="0.25">
      <c r="A8985" s="204">
        <v>44256</v>
      </c>
      <c r="B8985" s="26" t="s">
        <v>85</v>
      </c>
      <c r="C8985" s="26" t="s">
        <v>7660</v>
      </c>
      <c r="D8985" s="8">
        <v>10000</v>
      </c>
      <c r="E8985" s="8"/>
      <c r="F8985" s="92">
        <f t="shared" si="180"/>
        <v>47766</v>
      </c>
    </row>
    <row r="8986" spans="1:6" x14ac:dyDescent="0.25">
      <c r="A8986" s="204">
        <v>44256</v>
      </c>
      <c r="B8986" s="26" t="s">
        <v>1840</v>
      </c>
      <c r="C8986" s="26" t="s">
        <v>295</v>
      </c>
      <c r="D8986" s="8">
        <v>1500</v>
      </c>
      <c r="E8986" s="8"/>
      <c r="F8986" s="92">
        <f t="shared" si="180"/>
        <v>46266</v>
      </c>
    </row>
    <row r="8987" spans="1:6" x14ac:dyDescent="0.25">
      <c r="A8987" s="204">
        <v>44256</v>
      </c>
      <c r="B8987" s="26" t="s">
        <v>1790</v>
      </c>
      <c r="C8987" s="26" t="s">
        <v>7661</v>
      </c>
      <c r="D8987" s="8">
        <v>1400</v>
      </c>
      <c r="E8987" s="8"/>
      <c r="F8987" s="92">
        <f t="shared" si="180"/>
        <v>44866</v>
      </c>
    </row>
    <row r="8988" spans="1:6" x14ac:dyDescent="0.25">
      <c r="A8988" s="204">
        <v>44256</v>
      </c>
      <c r="B8988" s="26" t="s">
        <v>85</v>
      </c>
      <c r="C8988" s="26" t="s">
        <v>7662</v>
      </c>
      <c r="D8988" s="8">
        <v>1000</v>
      </c>
      <c r="E8988" s="8"/>
      <c r="F8988" s="92">
        <f t="shared" si="180"/>
        <v>43866</v>
      </c>
    </row>
    <row r="8989" spans="1:6" x14ac:dyDescent="0.25">
      <c r="A8989" s="204">
        <v>44257</v>
      </c>
      <c r="B8989" s="26" t="s">
        <v>6250</v>
      </c>
      <c r="C8989" s="26" t="s">
        <v>7665</v>
      </c>
      <c r="D8989" s="8">
        <v>24000</v>
      </c>
      <c r="E8989" s="8"/>
      <c r="F8989" s="92">
        <f t="shared" si="180"/>
        <v>19866</v>
      </c>
    </row>
    <row r="8990" spans="1:6" x14ac:dyDescent="0.25">
      <c r="A8990" s="204">
        <v>44257</v>
      </c>
      <c r="B8990" s="26" t="s">
        <v>26</v>
      </c>
      <c r="C8990" s="26" t="s">
        <v>4280</v>
      </c>
      <c r="D8990" s="8">
        <f>4198+1400+2+70+220+560</f>
        <v>6450</v>
      </c>
      <c r="E8990" s="8"/>
      <c r="F8990" s="92">
        <f t="shared" si="180"/>
        <v>13416</v>
      </c>
    </row>
    <row r="8991" spans="1:6" x14ac:dyDescent="0.25">
      <c r="A8991" s="204">
        <v>44257</v>
      </c>
      <c r="B8991" s="26" t="s">
        <v>26</v>
      </c>
      <c r="C8991" s="26" t="s">
        <v>7694</v>
      </c>
      <c r="D8991" s="8">
        <v>5000</v>
      </c>
      <c r="E8991" s="8"/>
      <c r="F8991" s="92">
        <f t="shared" si="180"/>
        <v>8416</v>
      </c>
    </row>
    <row r="8992" spans="1:6" x14ac:dyDescent="0.25">
      <c r="A8992" s="204">
        <v>44258</v>
      </c>
      <c r="B8992" s="456" t="s">
        <v>7688</v>
      </c>
      <c r="C8992" s="457"/>
      <c r="D8992" s="458"/>
      <c r="E8992" s="8">
        <v>100000</v>
      </c>
      <c r="F8992" s="92">
        <f t="shared" ref="F8992:F8995" si="181">F8991+E8992-D8992</f>
        <v>108416</v>
      </c>
    </row>
    <row r="8993" spans="1:6" x14ac:dyDescent="0.25">
      <c r="A8993" s="204">
        <v>44258</v>
      </c>
      <c r="B8993" s="456" t="s">
        <v>7688</v>
      </c>
      <c r="C8993" s="457"/>
      <c r="D8993" s="458"/>
      <c r="E8993" s="8">
        <v>50000</v>
      </c>
      <c r="F8993" s="92">
        <f t="shared" si="181"/>
        <v>158416</v>
      </c>
    </row>
    <row r="8994" spans="1:6" x14ac:dyDescent="0.25">
      <c r="A8994" s="204">
        <v>44258</v>
      </c>
      <c r="B8994" s="26" t="s">
        <v>14</v>
      </c>
      <c r="C8994" s="26" t="s">
        <v>295</v>
      </c>
      <c r="D8994" s="8">
        <v>50000</v>
      </c>
      <c r="E8994" s="8"/>
      <c r="F8994" s="92">
        <f t="shared" si="181"/>
        <v>108416</v>
      </c>
    </row>
    <row r="8995" spans="1:6" x14ac:dyDescent="0.25">
      <c r="A8995" s="204">
        <v>44258</v>
      </c>
      <c r="B8995" s="26" t="s">
        <v>14</v>
      </c>
      <c r="C8995" s="26" t="s">
        <v>295</v>
      </c>
      <c r="D8995" s="8">
        <v>20000</v>
      </c>
      <c r="E8995" s="8"/>
      <c r="F8995" s="92">
        <f t="shared" si="181"/>
        <v>88416</v>
      </c>
    </row>
    <row r="8996" spans="1:6" x14ac:dyDescent="0.25">
      <c r="A8996" s="204">
        <v>44258</v>
      </c>
      <c r="B8996" s="26" t="s">
        <v>6063</v>
      </c>
      <c r="C8996" s="26" t="s">
        <v>7681</v>
      </c>
      <c r="D8996" s="8">
        <v>2700</v>
      </c>
      <c r="E8996" s="8"/>
      <c r="F8996" s="92">
        <f t="shared" si="180"/>
        <v>85716</v>
      </c>
    </row>
    <row r="8997" spans="1:6" x14ac:dyDescent="0.25">
      <c r="A8997" s="204">
        <v>44258</v>
      </c>
      <c r="B8997" s="26" t="s">
        <v>6063</v>
      </c>
      <c r="C8997" s="26" t="s">
        <v>7682</v>
      </c>
      <c r="D8997" s="8">
        <v>7000</v>
      </c>
      <c r="E8997" s="8"/>
      <c r="F8997" s="92">
        <f t="shared" si="180"/>
        <v>78716</v>
      </c>
    </row>
    <row r="8998" spans="1:6" x14ac:dyDescent="0.25">
      <c r="A8998" s="204">
        <v>44258</v>
      </c>
      <c r="B8998" s="26" t="s">
        <v>7683</v>
      </c>
      <c r="C8998" s="26" t="s">
        <v>7685</v>
      </c>
      <c r="D8998" s="8">
        <v>12000</v>
      </c>
      <c r="E8998" s="8"/>
      <c r="F8998" s="92">
        <f t="shared" si="180"/>
        <v>66716</v>
      </c>
    </row>
    <row r="8999" spans="1:6" x14ac:dyDescent="0.25">
      <c r="A8999" s="204">
        <v>44258</v>
      </c>
      <c r="B8999" s="26" t="s">
        <v>55</v>
      </c>
      <c r="C8999" s="26" t="s">
        <v>7684</v>
      </c>
      <c r="D8999" s="8">
        <v>48600</v>
      </c>
      <c r="E8999" s="8"/>
      <c r="F8999" s="92">
        <f t="shared" si="180"/>
        <v>18116</v>
      </c>
    </row>
    <row r="9000" spans="1:6" ht="30" x14ac:dyDescent="0.25">
      <c r="A9000" s="204">
        <v>44258</v>
      </c>
      <c r="B9000" s="26" t="s">
        <v>1790</v>
      </c>
      <c r="C9000" s="87" t="s">
        <v>7686</v>
      </c>
      <c r="D9000" s="8">
        <v>1500</v>
      </c>
      <c r="E9000" s="8"/>
      <c r="F9000" s="92">
        <f t="shared" si="180"/>
        <v>16616</v>
      </c>
    </row>
    <row r="9001" spans="1:6" x14ac:dyDescent="0.25">
      <c r="A9001" s="204">
        <v>44258</v>
      </c>
      <c r="B9001" s="26" t="s">
        <v>6877</v>
      </c>
      <c r="C9001" s="26" t="s">
        <v>295</v>
      </c>
      <c r="D9001" s="8">
        <v>1500</v>
      </c>
      <c r="E9001" s="8"/>
      <c r="F9001" s="92">
        <f t="shared" si="180"/>
        <v>15116</v>
      </c>
    </row>
    <row r="9002" spans="1:6" x14ac:dyDescent="0.25">
      <c r="A9002" s="204">
        <v>44258</v>
      </c>
      <c r="B9002" s="26" t="s">
        <v>3563</v>
      </c>
      <c r="C9002" s="26" t="s">
        <v>92</v>
      </c>
      <c r="D9002" s="8">
        <v>670</v>
      </c>
      <c r="E9002" s="8"/>
      <c r="F9002" s="92">
        <f t="shared" si="180"/>
        <v>14446</v>
      </c>
    </row>
    <row r="9003" spans="1:6" x14ac:dyDescent="0.25">
      <c r="A9003" s="204">
        <v>44259</v>
      </c>
      <c r="B9003" s="456" t="s">
        <v>7702</v>
      </c>
      <c r="C9003" s="457"/>
      <c r="D9003" s="458"/>
      <c r="E9003" s="8">
        <v>200000</v>
      </c>
      <c r="F9003" s="92">
        <f t="shared" si="180"/>
        <v>214446</v>
      </c>
    </row>
    <row r="9004" spans="1:6" x14ac:dyDescent="0.25">
      <c r="A9004" s="204">
        <v>44259</v>
      </c>
      <c r="B9004" s="29" t="s">
        <v>14</v>
      </c>
      <c r="C9004" s="29" t="s">
        <v>295</v>
      </c>
      <c r="D9004" s="8">
        <v>100000</v>
      </c>
      <c r="E9004" s="8"/>
      <c r="F9004" s="92">
        <f t="shared" si="180"/>
        <v>114446</v>
      </c>
    </row>
    <row r="9005" spans="1:6" x14ac:dyDescent="0.25">
      <c r="A9005" s="204">
        <v>44259</v>
      </c>
      <c r="B9005" s="29" t="s">
        <v>7701</v>
      </c>
      <c r="C9005" s="29" t="s">
        <v>295</v>
      </c>
      <c r="D9005" s="8">
        <v>5000</v>
      </c>
      <c r="E9005" s="8"/>
      <c r="F9005" s="92">
        <f t="shared" si="180"/>
        <v>109446</v>
      </c>
    </row>
    <row r="9006" spans="1:6" x14ac:dyDescent="0.25">
      <c r="A9006" s="204">
        <v>44259</v>
      </c>
      <c r="B9006" s="29" t="s">
        <v>14</v>
      </c>
      <c r="C9006" s="29" t="s">
        <v>7756</v>
      </c>
      <c r="D9006" s="8">
        <v>20000</v>
      </c>
      <c r="E9006" s="8"/>
      <c r="F9006" s="92">
        <f t="shared" si="180"/>
        <v>89446</v>
      </c>
    </row>
    <row r="9007" spans="1:6" x14ac:dyDescent="0.25">
      <c r="A9007" s="204">
        <v>44260</v>
      </c>
      <c r="B9007" s="26" t="s">
        <v>26</v>
      </c>
      <c r="C9007" s="26" t="s">
        <v>5424</v>
      </c>
      <c r="D9007" s="8">
        <v>1000</v>
      </c>
      <c r="E9007" s="8"/>
      <c r="F9007" s="92">
        <f t="shared" si="180"/>
        <v>88446</v>
      </c>
    </row>
    <row r="9008" spans="1:6" x14ac:dyDescent="0.25">
      <c r="A9008" s="204">
        <v>44260</v>
      </c>
      <c r="B9008" s="26" t="s">
        <v>26</v>
      </c>
      <c r="C9008" s="26" t="s">
        <v>2028</v>
      </c>
      <c r="D9008" s="8">
        <v>150</v>
      </c>
      <c r="E9008" s="8"/>
      <c r="F9008" s="92">
        <f t="shared" si="180"/>
        <v>88296</v>
      </c>
    </row>
    <row r="9009" spans="1:7" x14ac:dyDescent="0.25">
      <c r="A9009" s="204">
        <v>44260</v>
      </c>
      <c r="B9009" s="26" t="s">
        <v>26</v>
      </c>
      <c r="C9009" s="26" t="s">
        <v>7705</v>
      </c>
      <c r="D9009" s="8">
        <v>140</v>
      </c>
      <c r="E9009" s="8"/>
      <c r="F9009" s="92">
        <f t="shared" si="180"/>
        <v>88156</v>
      </c>
    </row>
    <row r="9010" spans="1:7" x14ac:dyDescent="0.25">
      <c r="A9010" s="204">
        <v>44260</v>
      </c>
      <c r="B9010" s="29" t="s">
        <v>0</v>
      </c>
      <c r="C9010" s="29" t="s">
        <v>295</v>
      </c>
      <c r="D9010" s="8">
        <v>5000</v>
      </c>
      <c r="E9010" s="8"/>
      <c r="F9010" s="92">
        <f t="shared" si="180"/>
        <v>83156</v>
      </c>
    </row>
    <row r="9011" spans="1:7" x14ac:dyDescent="0.25">
      <c r="A9011" s="204">
        <v>44260</v>
      </c>
      <c r="B9011" s="29" t="s">
        <v>26</v>
      </c>
      <c r="C9011" s="29" t="s">
        <v>7706</v>
      </c>
      <c r="D9011" s="8">
        <v>150</v>
      </c>
      <c r="E9011" s="8"/>
      <c r="F9011" s="92">
        <f t="shared" si="180"/>
        <v>83006</v>
      </c>
    </row>
    <row r="9012" spans="1:7" x14ac:dyDescent="0.25">
      <c r="A9012" s="204">
        <v>44260</v>
      </c>
      <c r="B9012" s="29" t="s">
        <v>542</v>
      </c>
      <c r="C9012" s="29" t="s">
        <v>7707</v>
      </c>
      <c r="D9012" s="8">
        <v>2000</v>
      </c>
      <c r="E9012" s="8"/>
      <c r="F9012" s="92">
        <f t="shared" si="180"/>
        <v>81006</v>
      </c>
    </row>
    <row r="9013" spans="1:7" x14ac:dyDescent="0.25">
      <c r="A9013" s="204">
        <v>44260</v>
      </c>
      <c r="B9013" s="456" t="s">
        <v>4621</v>
      </c>
      <c r="C9013" s="457"/>
      <c r="D9013" s="458"/>
      <c r="E9013" s="8">
        <v>485000</v>
      </c>
      <c r="F9013" s="92">
        <f t="shared" si="180"/>
        <v>566006</v>
      </c>
    </row>
    <row r="9014" spans="1:7" x14ac:dyDescent="0.25">
      <c r="A9014" s="204">
        <v>44260</v>
      </c>
      <c r="B9014" s="162" t="s">
        <v>1515</v>
      </c>
      <c r="C9014" s="162" t="s">
        <v>7483</v>
      </c>
      <c r="D9014" s="140">
        <v>147766</v>
      </c>
      <c r="E9014" s="140"/>
      <c r="F9014" s="92">
        <f t="shared" si="180"/>
        <v>418240</v>
      </c>
      <c r="G9014" s="25"/>
    </row>
    <row r="9015" spans="1:7" x14ac:dyDescent="0.25">
      <c r="A9015" s="204">
        <v>44260</v>
      </c>
      <c r="B9015" s="162" t="s">
        <v>1515</v>
      </c>
      <c r="C9015" s="162" t="s">
        <v>7034</v>
      </c>
      <c r="D9015" s="140">
        <v>113384</v>
      </c>
      <c r="E9015" s="140"/>
      <c r="F9015" s="92">
        <f t="shared" si="180"/>
        <v>304856</v>
      </c>
      <c r="G9015" s="25"/>
    </row>
    <row r="9016" spans="1:7" x14ac:dyDescent="0.25">
      <c r="A9016" s="204">
        <v>44260</v>
      </c>
      <c r="B9016" s="162" t="s">
        <v>1515</v>
      </c>
      <c r="C9016" s="162" t="s">
        <v>7708</v>
      </c>
      <c r="D9016" s="140">
        <v>118000</v>
      </c>
      <c r="E9016" s="140"/>
      <c r="F9016" s="92">
        <f t="shared" si="180"/>
        <v>186856</v>
      </c>
      <c r="G9016" s="25"/>
    </row>
    <row r="9017" spans="1:7" x14ac:dyDescent="0.25">
      <c r="A9017" s="204">
        <v>44260</v>
      </c>
      <c r="B9017" s="162" t="s">
        <v>1515</v>
      </c>
      <c r="C9017" s="162" t="s">
        <v>6826</v>
      </c>
      <c r="D9017" s="140">
        <v>89080</v>
      </c>
      <c r="E9017" s="140"/>
      <c r="F9017" s="92">
        <f t="shared" si="180"/>
        <v>97776</v>
      </c>
      <c r="G9017" s="25"/>
    </row>
    <row r="9018" spans="1:7" x14ac:dyDescent="0.25">
      <c r="A9018" s="204">
        <v>44260</v>
      </c>
      <c r="B9018" s="162" t="s">
        <v>1515</v>
      </c>
      <c r="C9018" s="162" t="s">
        <v>7735</v>
      </c>
      <c r="D9018" s="140">
        <v>35013</v>
      </c>
      <c r="E9018" s="140"/>
      <c r="F9018" s="92">
        <f t="shared" si="180"/>
        <v>62763</v>
      </c>
      <c r="G9018" s="25"/>
    </row>
    <row r="9019" spans="1:7" x14ac:dyDescent="0.25">
      <c r="A9019" s="204">
        <v>44260</v>
      </c>
      <c r="B9019" s="456" t="s">
        <v>7638</v>
      </c>
      <c r="C9019" s="457"/>
      <c r="D9019" s="458"/>
      <c r="E9019" s="8">
        <v>400000</v>
      </c>
      <c r="F9019" s="92">
        <f t="shared" si="180"/>
        <v>462763</v>
      </c>
    </row>
    <row r="9020" spans="1:7" x14ac:dyDescent="0.25">
      <c r="A9020" s="204">
        <v>44260</v>
      </c>
      <c r="B9020" s="162" t="s">
        <v>1515</v>
      </c>
      <c r="C9020" s="162" t="s">
        <v>7191</v>
      </c>
      <c r="D9020" s="140">
        <v>50143</v>
      </c>
      <c r="E9020" s="140"/>
      <c r="F9020" s="92">
        <f t="shared" ref="F9020:F9077" si="182">F9019+E9020-D9020</f>
        <v>412620</v>
      </c>
      <c r="G9020" s="25"/>
    </row>
    <row r="9021" spans="1:7" x14ac:dyDescent="0.25">
      <c r="A9021" s="204">
        <v>44260</v>
      </c>
      <c r="B9021" s="456" t="s">
        <v>7709</v>
      </c>
      <c r="C9021" s="457"/>
      <c r="D9021" s="458"/>
      <c r="E9021" s="8">
        <v>109780</v>
      </c>
      <c r="F9021" s="92">
        <f t="shared" si="182"/>
        <v>522400</v>
      </c>
    </row>
    <row r="9022" spans="1:7" x14ac:dyDescent="0.25">
      <c r="A9022" s="204">
        <v>44260</v>
      </c>
      <c r="B9022" s="342" t="s">
        <v>6063</v>
      </c>
      <c r="C9022" s="42" t="s">
        <v>7713</v>
      </c>
      <c r="D9022" s="10">
        <v>1150</v>
      </c>
      <c r="F9022" s="92">
        <f t="shared" si="182"/>
        <v>521250</v>
      </c>
    </row>
    <row r="9023" spans="1:7" x14ac:dyDescent="0.25">
      <c r="A9023" s="204">
        <v>44260</v>
      </c>
      <c r="B9023" s="26" t="s">
        <v>4285</v>
      </c>
      <c r="C9023" s="26" t="s">
        <v>7710</v>
      </c>
      <c r="D9023" s="8">
        <v>125000</v>
      </c>
      <c r="E9023" s="8"/>
      <c r="F9023" s="92">
        <f t="shared" si="182"/>
        <v>396250</v>
      </c>
    </row>
    <row r="9024" spans="1:7" x14ac:dyDescent="0.25">
      <c r="A9024" s="204">
        <v>44260</v>
      </c>
      <c r="B9024" s="26" t="s">
        <v>1840</v>
      </c>
      <c r="C9024" s="26" t="s">
        <v>7711</v>
      </c>
      <c r="D9024" s="8">
        <v>2000</v>
      </c>
      <c r="E9024" s="8"/>
      <c r="F9024" s="92">
        <f t="shared" si="182"/>
        <v>394250</v>
      </c>
    </row>
    <row r="9025" spans="1:7" x14ac:dyDescent="0.25">
      <c r="A9025" s="204">
        <v>44260</v>
      </c>
      <c r="B9025" s="26" t="s">
        <v>14</v>
      </c>
      <c r="C9025" s="26" t="s">
        <v>4314</v>
      </c>
      <c r="D9025" s="8">
        <v>20000</v>
      </c>
      <c r="E9025" s="8"/>
      <c r="F9025" s="92">
        <f t="shared" si="182"/>
        <v>374250</v>
      </c>
    </row>
    <row r="9026" spans="1:7" x14ac:dyDescent="0.25">
      <c r="A9026" s="204">
        <v>44260</v>
      </c>
      <c r="B9026" s="26" t="s">
        <v>6063</v>
      </c>
      <c r="C9026" s="26" t="s">
        <v>295</v>
      </c>
      <c r="D9026" s="8">
        <v>2500</v>
      </c>
      <c r="E9026" s="8"/>
      <c r="F9026" s="92">
        <f t="shared" si="182"/>
        <v>371750</v>
      </c>
    </row>
    <row r="9027" spans="1:7" x14ac:dyDescent="0.25">
      <c r="A9027" s="204">
        <v>44261</v>
      </c>
      <c r="B9027" s="26" t="s">
        <v>4776</v>
      </c>
      <c r="C9027" s="26" t="s">
        <v>295</v>
      </c>
      <c r="D9027" s="8">
        <v>50000</v>
      </c>
      <c r="E9027" s="8"/>
      <c r="F9027" s="92">
        <f t="shared" si="182"/>
        <v>321750</v>
      </c>
    </row>
    <row r="9028" spans="1:7" x14ac:dyDescent="0.25">
      <c r="A9028" s="204">
        <v>44261</v>
      </c>
      <c r="B9028" s="162" t="s">
        <v>1515</v>
      </c>
      <c r="C9028" s="162" t="s">
        <v>7295</v>
      </c>
      <c r="D9028" s="140">
        <v>29600</v>
      </c>
      <c r="E9028" s="140"/>
      <c r="F9028" s="92">
        <f t="shared" si="182"/>
        <v>292150</v>
      </c>
      <c r="G9028" s="25"/>
    </row>
    <row r="9029" spans="1:7" x14ac:dyDescent="0.25">
      <c r="A9029" s="204">
        <v>44261</v>
      </c>
      <c r="B9029" s="26" t="s">
        <v>26</v>
      </c>
      <c r="C9029" s="26" t="s">
        <v>7717</v>
      </c>
      <c r="D9029" s="8">
        <v>500</v>
      </c>
      <c r="E9029" s="8"/>
      <c r="F9029" s="92">
        <f t="shared" si="182"/>
        <v>291650</v>
      </c>
    </row>
    <row r="9030" spans="1:7" x14ac:dyDescent="0.25">
      <c r="A9030" s="204">
        <v>44261</v>
      </c>
      <c r="B9030" s="26" t="s">
        <v>14</v>
      </c>
      <c r="C9030" s="26" t="s">
        <v>295</v>
      </c>
      <c r="D9030" s="8">
        <v>15000</v>
      </c>
      <c r="E9030" s="8"/>
      <c r="F9030" s="92">
        <f t="shared" si="182"/>
        <v>276650</v>
      </c>
    </row>
    <row r="9031" spans="1:7" x14ac:dyDescent="0.25">
      <c r="A9031" s="204">
        <v>44261</v>
      </c>
      <c r="B9031" s="29" t="s">
        <v>6877</v>
      </c>
      <c r="C9031" s="29" t="s">
        <v>7721</v>
      </c>
      <c r="D9031" s="8">
        <v>10000</v>
      </c>
      <c r="E9031" s="8"/>
      <c r="F9031" s="92">
        <f t="shared" si="182"/>
        <v>266650</v>
      </c>
    </row>
    <row r="9032" spans="1:7" x14ac:dyDescent="0.25">
      <c r="A9032" s="204">
        <v>44261</v>
      </c>
      <c r="B9032" s="162" t="s">
        <v>1515</v>
      </c>
      <c r="C9032" s="162" t="s">
        <v>7722</v>
      </c>
      <c r="D9032" s="140">
        <v>202378</v>
      </c>
      <c r="E9032" s="140"/>
      <c r="F9032" s="92">
        <f t="shared" si="182"/>
        <v>64272</v>
      </c>
      <c r="G9032" s="25"/>
    </row>
    <row r="9033" spans="1:7" x14ac:dyDescent="0.25">
      <c r="A9033" s="204">
        <v>44261</v>
      </c>
      <c r="B9033" s="162" t="s">
        <v>1515</v>
      </c>
      <c r="C9033" s="162" t="s">
        <v>7723</v>
      </c>
      <c r="D9033" s="140">
        <v>4000</v>
      </c>
      <c r="E9033" s="140"/>
      <c r="F9033" s="92">
        <f t="shared" si="182"/>
        <v>60272</v>
      </c>
      <c r="G9033" s="25"/>
    </row>
    <row r="9034" spans="1:7" x14ac:dyDescent="0.25">
      <c r="A9034" s="204">
        <v>44261</v>
      </c>
      <c r="B9034" s="26" t="s">
        <v>6285</v>
      </c>
      <c r="C9034" s="26" t="s">
        <v>41</v>
      </c>
      <c r="D9034" s="8">
        <v>28600</v>
      </c>
      <c r="E9034" s="8"/>
      <c r="F9034" s="92">
        <f t="shared" si="182"/>
        <v>31672</v>
      </c>
    </row>
    <row r="9035" spans="1:7" x14ac:dyDescent="0.25">
      <c r="A9035" s="204">
        <v>44263</v>
      </c>
      <c r="B9035" s="26" t="s">
        <v>26</v>
      </c>
      <c r="C9035" s="26" t="s">
        <v>6614</v>
      </c>
      <c r="D9035" s="8">
        <v>150</v>
      </c>
      <c r="E9035" s="8"/>
      <c r="F9035" s="92">
        <f t="shared" si="182"/>
        <v>31522</v>
      </c>
    </row>
    <row r="9036" spans="1:7" x14ac:dyDescent="0.25">
      <c r="A9036" s="204">
        <v>44263</v>
      </c>
      <c r="B9036" s="456" t="s">
        <v>7638</v>
      </c>
      <c r="C9036" s="457"/>
      <c r="D9036" s="458"/>
      <c r="E9036" s="8">
        <v>100000</v>
      </c>
      <c r="F9036" s="92">
        <f t="shared" si="182"/>
        <v>131522</v>
      </c>
    </row>
    <row r="9037" spans="1:7" x14ac:dyDescent="0.25">
      <c r="A9037" s="204">
        <v>44263</v>
      </c>
      <c r="B9037" s="26" t="s">
        <v>14</v>
      </c>
      <c r="C9037" s="26" t="s">
        <v>295</v>
      </c>
      <c r="D9037" s="8">
        <f>21000+24000</f>
        <v>45000</v>
      </c>
      <c r="E9037" s="8"/>
      <c r="F9037" s="92">
        <f t="shared" si="182"/>
        <v>86522</v>
      </c>
    </row>
    <row r="9038" spans="1:7" x14ac:dyDescent="0.25">
      <c r="A9038" s="204">
        <v>44263</v>
      </c>
      <c r="B9038" s="162" t="s">
        <v>1515</v>
      </c>
      <c r="C9038" s="162" t="s">
        <v>7727</v>
      </c>
      <c r="D9038" s="140">
        <v>5000</v>
      </c>
      <c r="E9038" s="140"/>
      <c r="F9038" s="92">
        <f t="shared" si="182"/>
        <v>81522</v>
      </c>
      <c r="G9038" s="25"/>
    </row>
    <row r="9039" spans="1:7" x14ac:dyDescent="0.25">
      <c r="A9039" s="204">
        <v>44263</v>
      </c>
      <c r="B9039" s="162" t="s">
        <v>1515</v>
      </c>
      <c r="C9039" s="162" t="s">
        <v>7728</v>
      </c>
      <c r="D9039" s="140">
        <v>29000</v>
      </c>
      <c r="E9039" s="140"/>
      <c r="F9039" s="92">
        <f t="shared" si="182"/>
        <v>52522</v>
      </c>
      <c r="G9039" s="25"/>
    </row>
    <row r="9040" spans="1:7" x14ac:dyDescent="0.25">
      <c r="A9040" s="204">
        <v>44263</v>
      </c>
      <c r="B9040" s="26" t="s">
        <v>7729</v>
      </c>
      <c r="C9040" s="26" t="s">
        <v>7730</v>
      </c>
      <c r="D9040" s="8">
        <v>35000</v>
      </c>
      <c r="E9040" s="8"/>
      <c r="F9040" s="92">
        <f t="shared" si="182"/>
        <v>17522</v>
      </c>
    </row>
    <row r="9041" spans="1:6" x14ac:dyDescent="0.25">
      <c r="A9041" s="204">
        <v>44263</v>
      </c>
      <c r="B9041" s="162" t="s">
        <v>1515</v>
      </c>
      <c r="C9041" s="162" t="s">
        <v>7731</v>
      </c>
      <c r="D9041" s="8">
        <v>3000</v>
      </c>
      <c r="E9041" s="8"/>
      <c r="F9041" s="92">
        <f t="shared" si="182"/>
        <v>14522</v>
      </c>
    </row>
    <row r="9042" spans="1:6" x14ac:dyDescent="0.25">
      <c r="A9042" s="204">
        <v>44263</v>
      </c>
      <c r="B9042" s="162" t="s">
        <v>1515</v>
      </c>
      <c r="C9042" s="162" t="s">
        <v>7732</v>
      </c>
      <c r="D9042" s="8">
        <v>3000</v>
      </c>
      <c r="E9042" s="8"/>
      <c r="F9042" s="92">
        <f t="shared" si="182"/>
        <v>11522</v>
      </c>
    </row>
    <row r="9043" spans="1:6" x14ac:dyDescent="0.25">
      <c r="A9043" s="204">
        <v>44263</v>
      </c>
      <c r="B9043" s="162" t="s">
        <v>1515</v>
      </c>
      <c r="C9043" s="162" t="s">
        <v>7733</v>
      </c>
      <c r="D9043" s="8">
        <v>8820</v>
      </c>
      <c r="E9043" s="8"/>
      <c r="F9043" s="92">
        <f t="shared" si="182"/>
        <v>2702</v>
      </c>
    </row>
    <row r="9044" spans="1:6" x14ac:dyDescent="0.25">
      <c r="A9044" s="204">
        <v>44264</v>
      </c>
      <c r="B9044" s="456" t="s">
        <v>4621</v>
      </c>
      <c r="C9044" s="457"/>
      <c r="D9044" s="458"/>
      <c r="E9044" s="8">
        <v>225000</v>
      </c>
      <c r="F9044" s="92">
        <f t="shared" si="182"/>
        <v>227702</v>
      </c>
    </row>
    <row r="9045" spans="1:6" x14ac:dyDescent="0.25">
      <c r="A9045" s="204">
        <v>44264</v>
      </c>
      <c r="B9045" s="26" t="s">
        <v>6877</v>
      </c>
      <c r="C9045" s="26" t="s">
        <v>7734</v>
      </c>
      <c r="D9045" s="8">
        <v>3000</v>
      </c>
      <c r="E9045" s="8"/>
      <c r="F9045" s="92">
        <f t="shared" si="182"/>
        <v>224702</v>
      </c>
    </row>
    <row r="9046" spans="1:6" x14ac:dyDescent="0.25">
      <c r="A9046" s="204">
        <v>44264</v>
      </c>
      <c r="B9046" s="26" t="s">
        <v>0</v>
      </c>
      <c r="C9046" s="26" t="s">
        <v>295</v>
      </c>
      <c r="D9046" s="8">
        <v>50000</v>
      </c>
      <c r="E9046" s="8"/>
      <c r="F9046" s="92">
        <f t="shared" si="182"/>
        <v>174702</v>
      </c>
    </row>
    <row r="9047" spans="1:6" x14ac:dyDescent="0.25">
      <c r="A9047" s="204">
        <v>44264</v>
      </c>
      <c r="B9047" s="26" t="s">
        <v>7736</v>
      </c>
      <c r="C9047" s="26" t="s">
        <v>7737</v>
      </c>
      <c r="D9047" s="8">
        <v>2000</v>
      </c>
      <c r="E9047" s="8"/>
      <c r="F9047" s="92">
        <f t="shared" si="182"/>
        <v>172702</v>
      </c>
    </row>
    <row r="9048" spans="1:6" x14ac:dyDescent="0.25">
      <c r="A9048" s="204">
        <v>44264</v>
      </c>
      <c r="B9048" s="26" t="s">
        <v>7738</v>
      </c>
      <c r="C9048" s="26" t="s">
        <v>41</v>
      </c>
      <c r="D9048" s="8">
        <v>5000</v>
      </c>
      <c r="E9048" s="8"/>
      <c r="F9048" s="92">
        <f t="shared" si="182"/>
        <v>167702</v>
      </c>
    </row>
    <row r="9049" spans="1:6" x14ac:dyDescent="0.25">
      <c r="A9049" s="204">
        <v>44264</v>
      </c>
      <c r="B9049" s="26" t="s">
        <v>6877</v>
      </c>
      <c r="C9049" s="26" t="s">
        <v>7740</v>
      </c>
      <c r="D9049" s="8">
        <v>3600</v>
      </c>
      <c r="E9049" s="8"/>
      <c r="F9049" s="92">
        <f t="shared" si="182"/>
        <v>164102</v>
      </c>
    </row>
    <row r="9050" spans="1:6" x14ac:dyDescent="0.25">
      <c r="A9050" s="204">
        <v>44264</v>
      </c>
      <c r="B9050" s="26" t="s">
        <v>6063</v>
      </c>
      <c r="C9050" s="26" t="s">
        <v>7752</v>
      </c>
      <c r="D9050" s="8">
        <v>1500</v>
      </c>
      <c r="E9050" s="8"/>
      <c r="F9050" s="92">
        <f t="shared" si="182"/>
        <v>162602</v>
      </c>
    </row>
    <row r="9051" spans="1:6" x14ac:dyDescent="0.25">
      <c r="A9051" s="204">
        <v>44264</v>
      </c>
      <c r="B9051" s="26" t="s">
        <v>26</v>
      </c>
      <c r="C9051" s="26" t="s">
        <v>4976</v>
      </c>
      <c r="D9051" s="8">
        <v>3000</v>
      </c>
      <c r="E9051" s="8"/>
      <c r="F9051" s="92">
        <f t="shared" si="182"/>
        <v>159602</v>
      </c>
    </row>
    <row r="9052" spans="1:6" x14ac:dyDescent="0.25">
      <c r="A9052" s="204">
        <v>44264</v>
      </c>
      <c r="B9052" s="26" t="s">
        <v>26</v>
      </c>
      <c r="C9052" s="26" t="s">
        <v>4280</v>
      </c>
      <c r="D9052" s="8">
        <f>480+100+520+280+50+70+150+280+40+130+400+150+300+600+280+150+140+1550+550+150+280+80+1400</f>
        <v>8130</v>
      </c>
      <c r="E9052" s="8"/>
      <c r="F9052" s="92">
        <f t="shared" si="182"/>
        <v>151472</v>
      </c>
    </row>
    <row r="9053" spans="1:6" x14ac:dyDescent="0.25">
      <c r="A9053" s="204">
        <v>44264</v>
      </c>
      <c r="B9053" s="26" t="s">
        <v>5479</v>
      </c>
      <c r="C9053" s="26" t="s">
        <v>7466</v>
      </c>
      <c r="D9053" s="8">
        <v>750</v>
      </c>
      <c r="E9053" s="8"/>
      <c r="F9053" s="92">
        <f t="shared" si="182"/>
        <v>150722</v>
      </c>
    </row>
    <row r="9054" spans="1:6" x14ac:dyDescent="0.25">
      <c r="A9054" s="204">
        <v>44264</v>
      </c>
      <c r="B9054" s="26" t="s">
        <v>26</v>
      </c>
      <c r="C9054" s="26" t="s">
        <v>7753</v>
      </c>
      <c r="D9054" s="8">
        <v>200</v>
      </c>
      <c r="E9054" s="8"/>
      <c r="F9054" s="92">
        <f t="shared" si="182"/>
        <v>150522</v>
      </c>
    </row>
    <row r="9055" spans="1:6" x14ac:dyDescent="0.25">
      <c r="A9055" s="204">
        <v>44264</v>
      </c>
      <c r="B9055" s="26" t="s">
        <v>6877</v>
      </c>
      <c r="C9055" s="26" t="s">
        <v>295</v>
      </c>
      <c r="D9055" s="8">
        <v>5000</v>
      </c>
      <c r="E9055" s="8"/>
      <c r="F9055" s="92">
        <f t="shared" si="182"/>
        <v>145522</v>
      </c>
    </row>
    <row r="9056" spans="1:6" x14ac:dyDescent="0.25">
      <c r="A9056" s="204">
        <v>44264</v>
      </c>
      <c r="B9056" s="26" t="s">
        <v>58</v>
      </c>
      <c r="C9056" s="26" t="s">
        <v>295</v>
      </c>
      <c r="D9056" s="8">
        <v>5000</v>
      </c>
      <c r="E9056" s="8"/>
      <c r="F9056" s="92">
        <f t="shared" si="182"/>
        <v>140522</v>
      </c>
    </row>
    <row r="9057" spans="1:6" x14ac:dyDescent="0.25">
      <c r="A9057" s="204">
        <v>44265</v>
      </c>
      <c r="B9057" s="162" t="s">
        <v>1515</v>
      </c>
      <c r="C9057" s="162" t="s">
        <v>7518</v>
      </c>
      <c r="D9057" s="8">
        <v>29835</v>
      </c>
      <c r="E9057" s="8"/>
      <c r="F9057" s="92">
        <f t="shared" si="182"/>
        <v>110687</v>
      </c>
    </row>
    <row r="9058" spans="1:6" x14ac:dyDescent="0.25">
      <c r="A9058" s="204">
        <v>44265</v>
      </c>
      <c r="B9058" s="26" t="s">
        <v>5485</v>
      </c>
      <c r="C9058" s="26" t="s">
        <v>7754</v>
      </c>
      <c r="D9058" s="8">
        <v>1000</v>
      </c>
      <c r="E9058" s="8"/>
      <c r="F9058" s="92">
        <f t="shared" si="182"/>
        <v>109687</v>
      </c>
    </row>
    <row r="9059" spans="1:6" x14ac:dyDescent="0.25">
      <c r="A9059" s="204">
        <v>44265</v>
      </c>
      <c r="B9059" s="26" t="s">
        <v>14</v>
      </c>
      <c r="C9059" s="26" t="s">
        <v>295</v>
      </c>
      <c r="D9059" s="8">
        <v>100000</v>
      </c>
      <c r="E9059" s="8"/>
      <c r="F9059" s="92">
        <f t="shared" si="182"/>
        <v>9687</v>
      </c>
    </row>
    <row r="9060" spans="1:6" ht="30" x14ac:dyDescent="0.25">
      <c r="A9060" s="204">
        <v>44265</v>
      </c>
      <c r="B9060" s="26" t="s">
        <v>1619</v>
      </c>
      <c r="C9060" s="87" t="s">
        <v>7757</v>
      </c>
      <c r="D9060" s="8">
        <v>7000</v>
      </c>
      <c r="E9060" s="8"/>
      <c r="F9060" s="92">
        <f t="shared" si="182"/>
        <v>2687</v>
      </c>
    </row>
    <row r="9061" spans="1:6" x14ac:dyDescent="0.25">
      <c r="A9061" s="204">
        <v>44265</v>
      </c>
      <c r="B9061" s="456" t="s">
        <v>7638</v>
      </c>
      <c r="C9061" s="457"/>
      <c r="D9061" s="458"/>
      <c r="E9061" s="8">
        <v>35000</v>
      </c>
      <c r="F9061" s="92">
        <f t="shared" si="182"/>
        <v>37687</v>
      </c>
    </row>
    <row r="9062" spans="1:6" x14ac:dyDescent="0.25">
      <c r="A9062" s="204">
        <v>44265</v>
      </c>
      <c r="B9062" s="26" t="s">
        <v>7460</v>
      </c>
      <c r="C9062" s="26" t="s">
        <v>7762</v>
      </c>
      <c r="D9062" s="8">
        <v>36500</v>
      </c>
      <c r="E9062" s="8"/>
      <c r="F9062" s="92">
        <f t="shared" si="182"/>
        <v>1187</v>
      </c>
    </row>
    <row r="9063" spans="1:6" x14ac:dyDescent="0.25">
      <c r="A9063" s="204">
        <v>44266</v>
      </c>
      <c r="B9063" s="456" t="s">
        <v>7638</v>
      </c>
      <c r="C9063" s="457"/>
      <c r="D9063" s="458"/>
      <c r="E9063" s="8">
        <v>50000</v>
      </c>
      <c r="F9063" s="92">
        <f t="shared" si="182"/>
        <v>51187</v>
      </c>
    </row>
    <row r="9064" spans="1:6" x14ac:dyDescent="0.25">
      <c r="A9064" s="204">
        <v>44266</v>
      </c>
      <c r="B9064" s="26" t="s">
        <v>58</v>
      </c>
      <c r="C9064" s="26" t="s">
        <v>295</v>
      </c>
      <c r="D9064" s="8">
        <v>20000</v>
      </c>
      <c r="E9064" s="8"/>
      <c r="F9064" s="92">
        <f t="shared" si="182"/>
        <v>31187</v>
      </c>
    </row>
    <row r="9065" spans="1:6" x14ac:dyDescent="0.25">
      <c r="A9065" s="204">
        <v>44266</v>
      </c>
      <c r="B9065" s="456" t="s">
        <v>4621</v>
      </c>
      <c r="C9065" s="457"/>
      <c r="D9065" s="458"/>
      <c r="E9065" s="8">
        <v>190000</v>
      </c>
      <c r="F9065" s="92">
        <f t="shared" si="182"/>
        <v>221187</v>
      </c>
    </row>
    <row r="9066" spans="1:6" x14ac:dyDescent="0.25">
      <c r="A9066" s="204">
        <v>44266</v>
      </c>
      <c r="B9066" s="26" t="s">
        <v>58</v>
      </c>
      <c r="C9066" s="26" t="s">
        <v>295</v>
      </c>
      <c r="D9066" s="8">
        <v>50000</v>
      </c>
      <c r="E9066" s="8"/>
      <c r="F9066" s="92">
        <f t="shared" si="182"/>
        <v>171187</v>
      </c>
    </row>
    <row r="9067" spans="1:6" x14ac:dyDescent="0.25">
      <c r="A9067" s="204">
        <v>44266</v>
      </c>
      <c r="B9067" s="26" t="s">
        <v>6063</v>
      </c>
      <c r="C9067" s="26" t="s">
        <v>295</v>
      </c>
      <c r="D9067" s="8">
        <v>15000</v>
      </c>
      <c r="E9067" s="8"/>
      <c r="F9067" s="92">
        <f t="shared" si="182"/>
        <v>156187</v>
      </c>
    </row>
    <row r="9068" spans="1:6" x14ac:dyDescent="0.25">
      <c r="A9068" s="204">
        <v>44266</v>
      </c>
      <c r="B9068" s="162" t="s">
        <v>1515</v>
      </c>
      <c r="C9068" s="162" t="s">
        <v>7048</v>
      </c>
      <c r="D9068" s="8">
        <v>99362</v>
      </c>
      <c r="E9068" s="8"/>
      <c r="F9068" s="92">
        <f t="shared" ref="F9068" si="183">F9067+E9068-D9068</f>
        <v>56825</v>
      </c>
    </row>
    <row r="9069" spans="1:6" x14ac:dyDescent="0.25">
      <c r="A9069" s="204">
        <v>44266</v>
      </c>
      <c r="B9069" s="26" t="s">
        <v>19</v>
      </c>
      <c r="C9069" s="26" t="s">
        <v>295</v>
      </c>
      <c r="D9069" s="8">
        <v>5000</v>
      </c>
      <c r="E9069" s="8"/>
      <c r="F9069" s="92">
        <f t="shared" si="182"/>
        <v>51825</v>
      </c>
    </row>
    <row r="9070" spans="1:6" x14ac:dyDescent="0.25">
      <c r="A9070" s="204">
        <v>44266</v>
      </c>
      <c r="B9070" s="282" t="s">
        <v>85</v>
      </c>
      <c r="C9070" s="282" t="s">
        <v>7763</v>
      </c>
      <c r="D9070" s="365">
        <v>200</v>
      </c>
      <c r="E9070" s="8"/>
      <c r="F9070" s="92">
        <f t="shared" si="182"/>
        <v>51625</v>
      </c>
    </row>
    <row r="9071" spans="1:6" x14ac:dyDescent="0.25">
      <c r="A9071" s="204">
        <v>44266</v>
      </c>
      <c r="B9071" s="26" t="s">
        <v>6770</v>
      </c>
      <c r="C9071" s="26" t="s">
        <v>7765</v>
      </c>
      <c r="D9071" s="8">
        <v>25000</v>
      </c>
      <c r="E9071" s="8"/>
      <c r="F9071" s="92">
        <f t="shared" si="182"/>
        <v>26625</v>
      </c>
    </row>
    <row r="9072" spans="1:6" x14ac:dyDescent="0.25">
      <c r="A9072" s="204">
        <v>44266</v>
      </c>
      <c r="B9072" s="26" t="s">
        <v>6770</v>
      </c>
      <c r="C9072" s="26" t="s">
        <v>7764</v>
      </c>
      <c r="D9072" s="8">
        <v>6300</v>
      </c>
      <c r="E9072" s="8"/>
      <c r="F9072" s="92">
        <f t="shared" si="182"/>
        <v>20325</v>
      </c>
    </row>
    <row r="9073" spans="1:7" x14ac:dyDescent="0.25">
      <c r="A9073" s="204">
        <v>44266</v>
      </c>
      <c r="B9073" s="456" t="s">
        <v>4621</v>
      </c>
      <c r="C9073" s="457"/>
      <c r="D9073" s="458"/>
      <c r="E9073" s="8">
        <v>250000</v>
      </c>
      <c r="F9073" s="92">
        <f t="shared" ref="F9073" si="184">F9072+E9073-D9073</f>
        <v>270325</v>
      </c>
    </row>
    <row r="9074" spans="1:7" x14ac:dyDescent="0.25">
      <c r="A9074" s="204">
        <v>44266</v>
      </c>
      <c r="B9074" s="26" t="s">
        <v>6877</v>
      </c>
      <c r="C9074" s="26" t="s">
        <v>295</v>
      </c>
      <c r="D9074" s="8">
        <v>5000</v>
      </c>
      <c r="E9074" s="8"/>
      <c r="F9074" s="92">
        <f t="shared" si="182"/>
        <v>265325</v>
      </c>
    </row>
    <row r="9075" spans="1:7" x14ac:dyDescent="0.25">
      <c r="A9075" s="204">
        <v>44267</v>
      </c>
      <c r="B9075" s="366" t="s">
        <v>7769</v>
      </c>
      <c r="C9075" s="366" t="s">
        <v>7770</v>
      </c>
      <c r="D9075" s="367">
        <v>45000</v>
      </c>
      <c r="E9075" s="8"/>
      <c r="F9075" s="92">
        <f t="shared" si="182"/>
        <v>220325</v>
      </c>
    </row>
    <row r="9076" spans="1:7" x14ac:dyDescent="0.25">
      <c r="A9076" s="204">
        <v>44267</v>
      </c>
      <c r="B9076" s="366" t="s">
        <v>7771</v>
      </c>
      <c r="C9076" s="366" t="s">
        <v>7772</v>
      </c>
      <c r="D9076" s="367">
        <v>2170</v>
      </c>
      <c r="E9076" s="8"/>
      <c r="F9076" s="92">
        <f t="shared" si="182"/>
        <v>218155</v>
      </c>
    </row>
    <row r="9077" spans="1:7" x14ac:dyDescent="0.25">
      <c r="A9077" s="204">
        <v>44267</v>
      </c>
      <c r="B9077" s="26" t="s">
        <v>1015</v>
      </c>
      <c r="C9077" s="26" t="s">
        <v>7773</v>
      </c>
      <c r="D9077" s="8">
        <v>15000</v>
      </c>
      <c r="E9077" s="8"/>
      <c r="F9077" s="92">
        <f t="shared" si="182"/>
        <v>203155</v>
      </c>
    </row>
    <row r="9078" spans="1:7" x14ac:dyDescent="0.25">
      <c r="A9078" s="204">
        <v>44267</v>
      </c>
      <c r="B9078" s="26" t="s">
        <v>5971</v>
      </c>
      <c r="C9078" s="26" t="s">
        <v>7772</v>
      </c>
      <c r="D9078" s="8">
        <v>9000</v>
      </c>
      <c r="E9078" s="8"/>
      <c r="F9078" s="92">
        <f t="shared" ref="F9078:F9086" si="185">F9077+E9078-D9078</f>
        <v>194155</v>
      </c>
      <c r="G9078" s="25"/>
    </row>
    <row r="9079" spans="1:7" x14ac:dyDescent="0.25">
      <c r="A9079" s="204">
        <v>44267</v>
      </c>
      <c r="B9079" s="26" t="s">
        <v>0</v>
      </c>
      <c r="C9079" s="26" t="s">
        <v>295</v>
      </c>
      <c r="D9079" s="8">
        <v>30000</v>
      </c>
      <c r="E9079" s="8"/>
      <c r="F9079" s="92">
        <f t="shared" si="185"/>
        <v>164155</v>
      </c>
    </row>
    <row r="9080" spans="1:7" x14ac:dyDescent="0.25">
      <c r="A9080" s="204">
        <v>44267</v>
      </c>
      <c r="B9080" s="456" t="s">
        <v>7774</v>
      </c>
      <c r="C9080" s="457"/>
      <c r="D9080" s="458"/>
      <c r="E9080" s="8">
        <v>57500</v>
      </c>
      <c r="F9080" s="92">
        <f t="shared" si="185"/>
        <v>221655</v>
      </c>
    </row>
    <row r="9081" spans="1:7" x14ac:dyDescent="0.25">
      <c r="A9081" s="204">
        <v>44267</v>
      </c>
      <c r="B9081" s="26" t="s">
        <v>0</v>
      </c>
      <c r="C9081" s="26" t="s">
        <v>7775</v>
      </c>
      <c r="D9081" s="8">
        <v>5000</v>
      </c>
      <c r="E9081" s="8"/>
      <c r="F9081" s="92">
        <f t="shared" si="185"/>
        <v>216655</v>
      </c>
    </row>
    <row r="9082" spans="1:7" x14ac:dyDescent="0.25">
      <c r="A9082" s="204">
        <v>44267</v>
      </c>
      <c r="B9082" s="26" t="s">
        <v>0</v>
      </c>
      <c r="C9082" s="26" t="s">
        <v>295</v>
      </c>
      <c r="D9082" s="8">
        <v>131000</v>
      </c>
      <c r="E9082" s="8"/>
      <c r="F9082" s="92">
        <f t="shared" si="185"/>
        <v>85655</v>
      </c>
    </row>
    <row r="9083" spans="1:7" x14ac:dyDescent="0.25">
      <c r="A9083" s="204">
        <v>44267</v>
      </c>
      <c r="B9083" s="26" t="s">
        <v>7778</v>
      </c>
      <c r="C9083" s="26" t="s">
        <v>7779</v>
      </c>
      <c r="D9083" s="8">
        <v>35000</v>
      </c>
      <c r="E9083" s="8"/>
      <c r="F9083" s="92">
        <f t="shared" si="185"/>
        <v>50655</v>
      </c>
    </row>
    <row r="9084" spans="1:7" x14ac:dyDescent="0.25">
      <c r="A9084" s="204">
        <v>44267</v>
      </c>
      <c r="B9084" s="26" t="s">
        <v>7776</v>
      </c>
      <c r="C9084" s="26" t="s">
        <v>41</v>
      </c>
      <c r="D9084" s="8">
        <v>1200</v>
      </c>
      <c r="E9084" s="8"/>
      <c r="F9084" s="92">
        <f t="shared" si="185"/>
        <v>49455</v>
      </c>
    </row>
    <row r="9085" spans="1:7" x14ac:dyDescent="0.25">
      <c r="A9085" s="204">
        <v>44267</v>
      </c>
      <c r="B9085" s="26" t="s">
        <v>3563</v>
      </c>
      <c r="C9085" s="26" t="s">
        <v>7777</v>
      </c>
      <c r="D9085" s="8">
        <v>25000</v>
      </c>
      <c r="E9085" s="8"/>
      <c r="F9085" s="92">
        <f t="shared" si="185"/>
        <v>24455</v>
      </c>
    </row>
    <row r="9086" spans="1:7" x14ac:dyDescent="0.25">
      <c r="A9086" s="204">
        <v>44268</v>
      </c>
      <c r="B9086" s="29" t="s">
        <v>26</v>
      </c>
      <c r="C9086" s="29" t="s">
        <v>4280</v>
      </c>
      <c r="D9086" s="8">
        <f>800+600+40+440+280+90+90+800+100+40+20+90+360+170+100+100+280+25</f>
        <v>4425</v>
      </c>
      <c r="E9086" s="8"/>
      <c r="F9086" s="92">
        <f t="shared" si="185"/>
        <v>20030</v>
      </c>
    </row>
    <row r="9087" spans="1:7" x14ac:dyDescent="0.25">
      <c r="A9087" s="204">
        <v>44268</v>
      </c>
      <c r="B9087" s="26" t="s">
        <v>26</v>
      </c>
      <c r="C9087" s="26" t="s">
        <v>7781</v>
      </c>
      <c r="D9087" s="8">
        <v>860</v>
      </c>
      <c r="E9087" s="8"/>
      <c r="F9087" s="92">
        <f t="shared" ref="F9087:F9152" si="186">F9086+E9087-D9087</f>
        <v>19170</v>
      </c>
    </row>
    <row r="9088" spans="1:7" x14ac:dyDescent="0.25">
      <c r="A9088" s="204">
        <v>44268</v>
      </c>
      <c r="B9088" s="26" t="s">
        <v>7460</v>
      </c>
      <c r="C9088" s="26" t="s">
        <v>7782</v>
      </c>
      <c r="D9088" s="8">
        <v>7000</v>
      </c>
      <c r="E9088" s="8"/>
      <c r="F9088" s="92">
        <f t="shared" si="186"/>
        <v>12170</v>
      </c>
    </row>
    <row r="9089" spans="1:6" x14ac:dyDescent="0.25">
      <c r="A9089" s="204">
        <v>44268</v>
      </c>
      <c r="B9089" s="26" t="s">
        <v>85</v>
      </c>
      <c r="C9089" s="26" t="s">
        <v>7783</v>
      </c>
      <c r="D9089" s="8">
        <v>2000</v>
      </c>
      <c r="E9089" s="8"/>
      <c r="F9089" s="92">
        <f t="shared" si="186"/>
        <v>10170</v>
      </c>
    </row>
    <row r="9090" spans="1:6" x14ac:dyDescent="0.25">
      <c r="A9090" s="204">
        <v>44268</v>
      </c>
      <c r="B9090" s="26" t="s">
        <v>26</v>
      </c>
      <c r="C9090" s="26" t="s">
        <v>7793</v>
      </c>
      <c r="D9090" s="8">
        <v>230</v>
      </c>
      <c r="E9090" s="8"/>
      <c r="F9090" s="92">
        <f t="shared" si="186"/>
        <v>9940</v>
      </c>
    </row>
    <row r="9091" spans="1:6" ht="30" x14ac:dyDescent="0.25">
      <c r="A9091" s="204">
        <v>44270</v>
      </c>
      <c r="B9091" s="26" t="s">
        <v>26</v>
      </c>
      <c r="C9091" s="87" t="s">
        <v>7796</v>
      </c>
      <c r="D9091" s="8">
        <v>2000</v>
      </c>
      <c r="E9091" s="8"/>
      <c r="F9091" s="92">
        <f t="shared" si="186"/>
        <v>7940</v>
      </c>
    </row>
    <row r="9092" spans="1:6" x14ac:dyDescent="0.25">
      <c r="A9092" s="204">
        <v>44270</v>
      </c>
      <c r="B9092" s="26" t="s">
        <v>1840</v>
      </c>
      <c r="C9092" s="26" t="s">
        <v>7797</v>
      </c>
      <c r="D9092" s="8">
        <v>1000</v>
      </c>
      <c r="E9092" s="8"/>
      <c r="F9092" s="92">
        <f t="shared" si="186"/>
        <v>6940</v>
      </c>
    </row>
    <row r="9093" spans="1:6" x14ac:dyDescent="0.25">
      <c r="A9093" s="204">
        <v>44270</v>
      </c>
      <c r="B9093" s="26" t="s">
        <v>58</v>
      </c>
      <c r="C9093" s="26" t="s">
        <v>4191</v>
      </c>
      <c r="D9093" s="8">
        <v>3000</v>
      </c>
      <c r="E9093" s="8"/>
      <c r="F9093" s="92">
        <f t="shared" si="186"/>
        <v>3940</v>
      </c>
    </row>
    <row r="9094" spans="1:6" x14ac:dyDescent="0.25">
      <c r="A9094" s="204">
        <v>44270</v>
      </c>
      <c r="B9094" s="456" t="s">
        <v>864</v>
      </c>
      <c r="C9094" s="457"/>
      <c r="D9094" s="458"/>
      <c r="E9094" s="8">
        <v>50000</v>
      </c>
      <c r="F9094" s="92">
        <f t="shared" si="186"/>
        <v>53940</v>
      </c>
    </row>
    <row r="9095" spans="1:6" x14ac:dyDescent="0.25">
      <c r="A9095" s="204">
        <v>44270</v>
      </c>
      <c r="B9095" s="26" t="s">
        <v>6770</v>
      </c>
      <c r="C9095" s="26" t="s">
        <v>7798</v>
      </c>
      <c r="D9095" s="8">
        <v>11000</v>
      </c>
      <c r="E9095" s="8"/>
      <c r="F9095" s="92">
        <f t="shared" si="186"/>
        <v>42940</v>
      </c>
    </row>
    <row r="9096" spans="1:6" x14ac:dyDescent="0.25">
      <c r="A9096" s="204">
        <v>44270</v>
      </c>
      <c r="B9096" s="26" t="s">
        <v>6877</v>
      </c>
      <c r="C9096" s="26" t="s">
        <v>7800</v>
      </c>
      <c r="D9096" s="8">
        <v>3000</v>
      </c>
      <c r="E9096" s="8"/>
      <c r="F9096" s="92">
        <f t="shared" si="186"/>
        <v>39940</v>
      </c>
    </row>
    <row r="9097" spans="1:6" x14ac:dyDescent="0.25">
      <c r="A9097" s="204">
        <v>44270</v>
      </c>
      <c r="B9097" s="26" t="s">
        <v>85</v>
      </c>
      <c r="C9097" s="26" t="s">
        <v>7807</v>
      </c>
      <c r="D9097" s="8">
        <v>4000</v>
      </c>
      <c r="E9097" s="8"/>
      <c r="F9097" s="92">
        <f t="shared" si="186"/>
        <v>35940</v>
      </c>
    </row>
    <row r="9098" spans="1:6" x14ac:dyDescent="0.25">
      <c r="A9098" s="204">
        <v>44270</v>
      </c>
      <c r="B9098" s="26" t="s">
        <v>85</v>
      </c>
      <c r="C9098" s="26" t="s">
        <v>7808</v>
      </c>
      <c r="D9098" s="8">
        <v>1000</v>
      </c>
      <c r="E9098" s="8"/>
      <c r="F9098" s="92">
        <f t="shared" si="186"/>
        <v>34940</v>
      </c>
    </row>
    <row r="9099" spans="1:6" x14ac:dyDescent="0.25">
      <c r="A9099" s="204">
        <v>44270</v>
      </c>
      <c r="B9099" s="26" t="s">
        <v>26</v>
      </c>
      <c r="C9099" s="26" t="s">
        <v>7809</v>
      </c>
      <c r="D9099" s="8">
        <v>3175</v>
      </c>
      <c r="E9099" s="8"/>
      <c r="F9099" s="92">
        <f t="shared" si="186"/>
        <v>31765</v>
      </c>
    </row>
    <row r="9100" spans="1:6" x14ac:dyDescent="0.25">
      <c r="A9100" s="204">
        <v>44270</v>
      </c>
      <c r="B9100" s="26" t="s">
        <v>19</v>
      </c>
      <c r="C9100" s="26" t="s">
        <v>7810</v>
      </c>
      <c r="D9100" s="8">
        <v>10000</v>
      </c>
      <c r="E9100" s="8"/>
      <c r="F9100" s="92">
        <f t="shared" si="186"/>
        <v>21765</v>
      </c>
    </row>
    <row r="9101" spans="1:6" x14ac:dyDescent="0.25">
      <c r="A9101" s="204">
        <v>44270</v>
      </c>
      <c r="B9101" s="26" t="s">
        <v>0</v>
      </c>
      <c r="C9101" s="26" t="s">
        <v>295</v>
      </c>
      <c r="D9101" s="8">
        <v>5000</v>
      </c>
      <c r="E9101" s="8"/>
      <c r="F9101" s="92">
        <f t="shared" si="186"/>
        <v>16765</v>
      </c>
    </row>
    <row r="9102" spans="1:6" x14ac:dyDescent="0.25">
      <c r="A9102" s="204">
        <v>44271</v>
      </c>
      <c r="B9102" s="456" t="s">
        <v>7811</v>
      </c>
      <c r="C9102" s="457"/>
      <c r="D9102" s="458"/>
      <c r="E9102" s="8">
        <v>30000</v>
      </c>
      <c r="F9102" s="92">
        <f t="shared" si="186"/>
        <v>46765</v>
      </c>
    </row>
    <row r="9103" spans="1:6" x14ac:dyDescent="0.25">
      <c r="A9103" s="204">
        <v>44271</v>
      </c>
      <c r="B9103" s="26" t="s">
        <v>0</v>
      </c>
      <c r="C9103" s="26" t="s">
        <v>295</v>
      </c>
      <c r="D9103" s="8">
        <v>20000</v>
      </c>
      <c r="E9103" s="8"/>
      <c r="F9103" s="92">
        <f t="shared" si="186"/>
        <v>26765</v>
      </c>
    </row>
    <row r="9104" spans="1:6" x14ac:dyDescent="0.25">
      <c r="A9104" s="204">
        <v>44271</v>
      </c>
      <c r="B9104" s="26" t="s">
        <v>5140</v>
      </c>
      <c r="C9104" s="26" t="s">
        <v>41</v>
      </c>
      <c r="D9104" s="8">
        <v>4170</v>
      </c>
      <c r="E9104" s="8"/>
      <c r="F9104" s="92">
        <f t="shared" si="186"/>
        <v>22595</v>
      </c>
    </row>
    <row r="9105" spans="1:6" x14ac:dyDescent="0.25">
      <c r="A9105" s="204">
        <v>44271</v>
      </c>
      <c r="B9105" s="26" t="s">
        <v>26</v>
      </c>
      <c r="C9105" s="26" t="s">
        <v>2016</v>
      </c>
      <c r="D9105" s="8">
        <v>160</v>
      </c>
      <c r="E9105" s="8"/>
      <c r="F9105" s="92">
        <f t="shared" si="186"/>
        <v>22435</v>
      </c>
    </row>
    <row r="9106" spans="1:6" x14ac:dyDescent="0.25">
      <c r="A9106" s="204">
        <v>44271</v>
      </c>
      <c r="B9106" s="29" t="s">
        <v>1790</v>
      </c>
      <c r="C9106" s="29" t="s">
        <v>41</v>
      </c>
      <c r="D9106" s="8">
        <v>1200</v>
      </c>
      <c r="E9106" s="8"/>
      <c r="F9106" s="92">
        <f t="shared" si="186"/>
        <v>21235</v>
      </c>
    </row>
    <row r="9107" spans="1:6" x14ac:dyDescent="0.25">
      <c r="A9107" s="204">
        <v>44271</v>
      </c>
      <c r="B9107" s="29" t="s">
        <v>6063</v>
      </c>
      <c r="C9107" s="29" t="s">
        <v>41</v>
      </c>
      <c r="D9107" s="8">
        <v>5000</v>
      </c>
      <c r="E9107" s="8"/>
      <c r="F9107" s="92">
        <f t="shared" si="186"/>
        <v>16235</v>
      </c>
    </row>
    <row r="9108" spans="1:6" x14ac:dyDescent="0.25">
      <c r="A9108" s="204">
        <v>44271</v>
      </c>
      <c r="B9108" s="29" t="s">
        <v>6877</v>
      </c>
      <c r="C9108" s="29" t="s">
        <v>295</v>
      </c>
      <c r="D9108" s="8">
        <v>950</v>
      </c>
      <c r="E9108" s="8"/>
      <c r="F9108" s="92">
        <f t="shared" si="186"/>
        <v>15285</v>
      </c>
    </row>
    <row r="9109" spans="1:6" x14ac:dyDescent="0.25">
      <c r="A9109" s="204">
        <v>44272</v>
      </c>
      <c r="B9109" s="456" t="s">
        <v>7813</v>
      </c>
      <c r="C9109" s="457"/>
      <c r="D9109" s="458"/>
      <c r="E9109" s="8">
        <v>100000</v>
      </c>
      <c r="F9109" s="92">
        <f t="shared" si="186"/>
        <v>115285</v>
      </c>
    </row>
    <row r="9110" spans="1:6" x14ac:dyDescent="0.25">
      <c r="A9110" s="204">
        <v>44272</v>
      </c>
      <c r="B9110" s="26" t="s">
        <v>55</v>
      </c>
      <c r="C9110" s="26" t="s">
        <v>7814</v>
      </c>
      <c r="D9110" s="8">
        <f>15000+16500</f>
        <v>31500</v>
      </c>
      <c r="E9110" s="8"/>
      <c r="F9110" s="92">
        <f t="shared" si="186"/>
        <v>83785</v>
      </c>
    </row>
    <row r="9111" spans="1:6" x14ac:dyDescent="0.25">
      <c r="A9111" s="204">
        <v>44272</v>
      </c>
      <c r="B9111" s="26" t="s">
        <v>6019</v>
      </c>
      <c r="C9111" s="26" t="s">
        <v>7819</v>
      </c>
      <c r="D9111" s="8">
        <v>20000</v>
      </c>
      <c r="E9111" s="8"/>
      <c r="F9111" s="92">
        <f t="shared" si="186"/>
        <v>63785</v>
      </c>
    </row>
    <row r="9112" spans="1:6" x14ac:dyDescent="0.25">
      <c r="A9112" s="204">
        <v>44272</v>
      </c>
      <c r="B9112" s="26" t="s">
        <v>4776</v>
      </c>
      <c r="C9112" s="26" t="s">
        <v>7820</v>
      </c>
      <c r="D9112" s="8">
        <v>20000</v>
      </c>
      <c r="E9112" s="8"/>
      <c r="F9112" s="92">
        <f t="shared" si="186"/>
        <v>43785</v>
      </c>
    </row>
    <row r="9113" spans="1:6" x14ac:dyDescent="0.25">
      <c r="A9113" s="204">
        <v>44272</v>
      </c>
      <c r="B9113" s="26" t="s">
        <v>5485</v>
      </c>
      <c r="C9113" s="26" t="s">
        <v>7821</v>
      </c>
      <c r="D9113" s="8">
        <v>600</v>
      </c>
      <c r="E9113" s="8"/>
      <c r="F9113" s="92">
        <f t="shared" si="186"/>
        <v>43185</v>
      </c>
    </row>
    <row r="9114" spans="1:6" x14ac:dyDescent="0.25">
      <c r="A9114" s="204">
        <v>44273</v>
      </c>
      <c r="B9114" s="26" t="s">
        <v>7834</v>
      </c>
      <c r="C9114" s="26" t="s">
        <v>7823</v>
      </c>
      <c r="D9114" s="8">
        <v>10000</v>
      </c>
      <c r="E9114" s="8"/>
      <c r="F9114" s="92">
        <f t="shared" si="186"/>
        <v>33185</v>
      </c>
    </row>
    <row r="9115" spans="1:6" x14ac:dyDescent="0.25">
      <c r="A9115" s="204">
        <v>44273</v>
      </c>
      <c r="B9115" s="26" t="s">
        <v>0</v>
      </c>
      <c r="C9115" s="26" t="s">
        <v>295</v>
      </c>
      <c r="D9115" s="8">
        <v>10000</v>
      </c>
      <c r="E9115" s="8"/>
      <c r="F9115" s="92">
        <f t="shared" si="186"/>
        <v>23185</v>
      </c>
    </row>
    <row r="9116" spans="1:6" x14ac:dyDescent="0.25">
      <c r="A9116" s="204">
        <v>44273</v>
      </c>
      <c r="B9116" s="29" t="s">
        <v>1840</v>
      </c>
      <c r="C9116" s="29" t="s">
        <v>295</v>
      </c>
      <c r="D9116" s="8">
        <v>2000</v>
      </c>
      <c r="E9116" s="8"/>
      <c r="F9116" s="92">
        <f t="shared" si="186"/>
        <v>21185</v>
      </c>
    </row>
    <row r="9117" spans="1:6" ht="45" x14ac:dyDescent="0.25">
      <c r="A9117" s="204">
        <v>44273</v>
      </c>
      <c r="B9117" s="26" t="s">
        <v>1077</v>
      </c>
      <c r="C9117" s="87" t="s">
        <v>7839</v>
      </c>
      <c r="D9117" s="8">
        <f>8010+5000</f>
        <v>13010</v>
      </c>
      <c r="E9117" s="8"/>
      <c r="F9117" s="92">
        <f t="shared" si="186"/>
        <v>8175</v>
      </c>
    </row>
    <row r="9118" spans="1:6" x14ac:dyDescent="0.25">
      <c r="A9118" s="204">
        <v>44273</v>
      </c>
      <c r="B9118" s="26" t="s">
        <v>85</v>
      </c>
      <c r="C9118" s="26" t="s">
        <v>7824</v>
      </c>
      <c r="D9118" s="8">
        <v>3000</v>
      </c>
      <c r="E9118" s="8"/>
      <c r="F9118" s="92">
        <f t="shared" si="186"/>
        <v>5175</v>
      </c>
    </row>
    <row r="9119" spans="1:6" x14ac:dyDescent="0.25">
      <c r="A9119" s="204">
        <v>44273</v>
      </c>
      <c r="B9119" s="456" t="s">
        <v>7688</v>
      </c>
      <c r="C9119" s="457"/>
      <c r="D9119" s="458"/>
      <c r="E9119" s="8">
        <v>150000</v>
      </c>
      <c r="F9119" s="92">
        <f t="shared" si="186"/>
        <v>155175</v>
      </c>
    </row>
    <row r="9120" spans="1:6" x14ac:dyDescent="0.25">
      <c r="A9120" s="204">
        <v>44273</v>
      </c>
      <c r="B9120" s="26" t="s">
        <v>7769</v>
      </c>
      <c r="C9120" s="26" t="s">
        <v>7825</v>
      </c>
      <c r="D9120" s="8">
        <v>70000</v>
      </c>
      <c r="E9120" s="8"/>
      <c r="F9120" s="92">
        <f t="shared" si="186"/>
        <v>85175</v>
      </c>
    </row>
    <row r="9121" spans="1:12" x14ac:dyDescent="0.25">
      <c r="A9121" s="204">
        <v>44273</v>
      </c>
      <c r="B9121" s="26" t="s">
        <v>7701</v>
      </c>
      <c r="C9121" s="26" t="s">
        <v>7826</v>
      </c>
      <c r="D9121" s="8">
        <v>4700</v>
      </c>
      <c r="E9121" s="8"/>
      <c r="F9121" s="92">
        <f t="shared" si="186"/>
        <v>80475</v>
      </c>
    </row>
    <row r="9122" spans="1:12" x14ac:dyDescent="0.25">
      <c r="A9122" s="204">
        <v>44273</v>
      </c>
      <c r="B9122" s="26" t="s">
        <v>85</v>
      </c>
      <c r="C9122" s="26" t="s">
        <v>7827</v>
      </c>
      <c r="D9122" s="8">
        <v>5000</v>
      </c>
      <c r="E9122" s="8"/>
      <c r="F9122" s="92">
        <f t="shared" si="186"/>
        <v>75475</v>
      </c>
      <c r="L9122" s="22"/>
    </row>
    <row r="9123" spans="1:12" x14ac:dyDescent="0.25">
      <c r="A9123" s="204">
        <v>44274</v>
      </c>
      <c r="B9123" s="26" t="s">
        <v>108</v>
      </c>
      <c r="C9123" s="26" t="s">
        <v>7828</v>
      </c>
      <c r="D9123" s="8">
        <v>1400</v>
      </c>
      <c r="E9123" s="8"/>
      <c r="F9123" s="92">
        <f t="shared" si="186"/>
        <v>74075</v>
      </c>
      <c r="J9123" s="281"/>
      <c r="K9123" s="281"/>
      <c r="L9123" s="281"/>
    </row>
    <row r="9124" spans="1:12" x14ac:dyDescent="0.25">
      <c r="A9124" s="204">
        <v>44274</v>
      </c>
      <c r="B9124" s="26" t="s">
        <v>108</v>
      </c>
      <c r="C9124" s="26" t="s">
        <v>4967</v>
      </c>
      <c r="D9124" s="8">
        <v>1000</v>
      </c>
      <c r="E9124" s="8"/>
      <c r="F9124" s="92">
        <f t="shared" si="186"/>
        <v>73075</v>
      </c>
    </row>
    <row r="9125" spans="1:12" x14ac:dyDescent="0.25">
      <c r="A9125" s="204">
        <v>44274</v>
      </c>
      <c r="B9125" s="29" t="s">
        <v>26</v>
      </c>
      <c r="C9125" s="26" t="s">
        <v>4280</v>
      </c>
      <c r="D9125" s="8">
        <v>8257</v>
      </c>
      <c r="E9125" s="8"/>
      <c r="F9125" s="92">
        <f t="shared" si="186"/>
        <v>64818</v>
      </c>
      <c r="L9125" s="372"/>
    </row>
    <row r="9126" spans="1:12" x14ac:dyDescent="0.25">
      <c r="A9126" s="204">
        <v>44274</v>
      </c>
      <c r="B9126" s="26" t="s">
        <v>6293</v>
      </c>
      <c r="C9126" s="26" t="s">
        <v>5853</v>
      </c>
      <c r="D9126" s="8">
        <v>20000</v>
      </c>
      <c r="E9126" s="8"/>
      <c r="F9126" s="92">
        <f t="shared" si="186"/>
        <v>44818</v>
      </c>
    </row>
    <row r="9127" spans="1:12" x14ac:dyDescent="0.25">
      <c r="A9127" s="204">
        <v>44274</v>
      </c>
      <c r="B9127" s="26" t="s">
        <v>7628</v>
      </c>
      <c r="C9127" s="26" t="s">
        <v>41</v>
      </c>
      <c r="D9127" s="8">
        <v>1000</v>
      </c>
      <c r="E9127" s="8"/>
      <c r="F9127" s="92">
        <f t="shared" si="186"/>
        <v>43818</v>
      </c>
    </row>
    <row r="9128" spans="1:12" x14ac:dyDescent="0.25">
      <c r="A9128" s="204">
        <v>44274</v>
      </c>
      <c r="B9128" s="26" t="s">
        <v>7837</v>
      </c>
      <c r="C9128" s="26" t="s">
        <v>7838</v>
      </c>
      <c r="D9128" s="8">
        <v>100</v>
      </c>
      <c r="E9128" s="8"/>
      <c r="F9128" s="92">
        <f t="shared" si="186"/>
        <v>43718</v>
      </c>
    </row>
    <row r="9129" spans="1:12" x14ac:dyDescent="0.25">
      <c r="A9129" s="204">
        <v>44274</v>
      </c>
      <c r="B9129" s="26" t="s">
        <v>7628</v>
      </c>
      <c r="C9129" s="26" t="s">
        <v>5853</v>
      </c>
      <c r="D9129" s="8">
        <v>10000</v>
      </c>
      <c r="E9129" s="8"/>
      <c r="F9129" s="92">
        <f t="shared" si="186"/>
        <v>33718</v>
      </c>
    </row>
    <row r="9130" spans="1:12" x14ac:dyDescent="0.25">
      <c r="A9130" s="204">
        <v>44274</v>
      </c>
      <c r="B9130" s="26" t="s">
        <v>14</v>
      </c>
      <c r="C9130" s="26" t="s">
        <v>5853</v>
      </c>
      <c r="D9130" s="8">
        <v>10000</v>
      </c>
      <c r="E9130" s="8"/>
      <c r="F9130" s="92">
        <f t="shared" si="186"/>
        <v>23718</v>
      </c>
    </row>
    <row r="9131" spans="1:12" x14ac:dyDescent="0.25">
      <c r="A9131" s="204">
        <v>44274</v>
      </c>
      <c r="B9131" s="26" t="s">
        <v>6770</v>
      </c>
      <c r="C9131" s="26" t="s">
        <v>7840</v>
      </c>
      <c r="D9131" s="8">
        <v>10000</v>
      </c>
      <c r="E9131" s="8"/>
      <c r="F9131" s="92">
        <f t="shared" si="186"/>
        <v>13718</v>
      </c>
    </row>
    <row r="9132" spans="1:12" x14ac:dyDescent="0.25">
      <c r="A9132" s="204">
        <v>44274</v>
      </c>
      <c r="B9132" s="26" t="s">
        <v>6877</v>
      </c>
      <c r="C9132" s="26" t="s">
        <v>7841</v>
      </c>
      <c r="D9132" s="8">
        <v>5000</v>
      </c>
      <c r="E9132" s="8"/>
      <c r="F9132" s="92">
        <f t="shared" si="186"/>
        <v>8718</v>
      </c>
    </row>
    <row r="9133" spans="1:12" x14ac:dyDescent="0.25">
      <c r="A9133" s="204">
        <v>44274</v>
      </c>
      <c r="B9133" s="26" t="s">
        <v>65</v>
      </c>
      <c r="C9133" s="29" t="s">
        <v>41</v>
      </c>
      <c r="D9133" s="8">
        <v>3000</v>
      </c>
      <c r="E9133" s="8"/>
      <c r="F9133" s="92">
        <f t="shared" si="186"/>
        <v>5718</v>
      </c>
    </row>
    <row r="9134" spans="1:12" x14ac:dyDescent="0.25">
      <c r="A9134" s="204">
        <v>44274</v>
      </c>
      <c r="B9134" s="26" t="s">
        <v>7460</v>
      </c>
      <c r="C9134" s="29" t="s">
        <v>7843</v>
      </c>
      <c r="D9134" s="8">
        <v>3000</v>
      </c>
      <c r="E9134" s="8"/>
      <c r="F9134" s="92">
        <f t="shared" si="186"/>
        <v>2718</v>
      </c>
    </row>
    <row r="9135" spans="1:12" x14ac:dyDescent="0.25">
      <c r="A9135" s="204">
        <v>44277</v>
      </c>
      <c r="B9135" s="456" t="s">
        <v>3448</v>
      </c>
      <c r="C9135" s="457"/>
      <c r="D9135" s="458"/>
      <c r="E9135" s="8">
        <v>150000</v>
      </c>
      <c r="F9135" s="92">
        <f t="shared" si="186"/>
        <v>152718</v>
      </c>
    </row>
    <row r="9136" spans="1:12" x14ac:dyDescent="0.25">
      <c r="A9136" s="204">
        <v>44277</v>
      </c>
      <c r="B9136" s="29" t="s">
        <v>0</v>
      </c>
      <c r="C9136" s="29" t="s">
        <v>295</v>
      </c>
      <c r="D9136" s="8">
        <v>40000</v>
      </c>
      <c r="E9136" s="8"/>
      <c r="F9136" s="92">
        <f t="shared" si="186"/>
        <v>112718</v>
      </c>
    </row>
    <row r="9137" spans="1:6" x14ac:dyDescent="0.25">
      <c r="A9137" s="204">
        <v>44277</v>
      </c>
      <c r="B9137" s="29" t="s">
        <v>14</v>
      </c>
      <c r="C9137" s="29" t="s">
        <v>295</v>
      </c>
      <c r="D9137" s="8">
        <v>25000</v>
      </c>
      <c r="E9137" s="8"/>
      <c r="F9137" s="92">
        <f t="shared" si="186"/>
        <v>87718</v>
      </c>
    </row>
    <row r="9138" spans="1:6" x14ac:dyDescent="0.25">
      <c r="A9138" s="204">
        <v>44277</v>
      </c>
      <c r="B9138" s="29" t="s">
        <v>85</v>
      </c>
      <c r="C9138" s="29" t="s">
        <v>7847</v>
      </c>
      <c r="D9138" s="8">
        <v>10000</v>
      </c>
      <c r="E9138" s="8"/>
      <c r="F9138" s="92">
        <f t="shared" si="186"/>
        <v>77718</v>
      </c>
    </row>
    <row r="9139" spans="1:6" x14ac:dyDescent="0.25">
      <c r="A9139" s="204">
        <v>44277</v>
      </c>
      <c r="B9139" s="29" t="s">
        <v>55</v>
      </c>
      <c r="C9139" s="29" t="s">
        <v>7848</v>
      </c>
      <c r="D9139" s="8">
        <v>13450</v>
      </c>
      <c r="E9139" s="8"/>
      <c r="F9139" s="92">
        <f t="shared" si="186"/>
        <v>64268</v>
      </c>
    </row>
    <row r="9140" spans="1:6" x14ac:dyDescent="0.25">
      <c r="A9140" s="204">
        <v>44277</v>
      </c>
      <c r="B9140" s="29" t="s">
        <v>7460</v>
      </c>
      <c r="C9140" s="29" t="s">
        <v>7849</v>
      </c>
      <c r="D9140" s="8">
        <v>3500</v>
      </c>
      <c r="E9140" s="8"/>
      <c r="F9140" s="92">
        <f t="shared" si="186"/>
        <v>60768</v>
      </c>
    </row>
    <row r="9141" spans="1:6" x14ac:dyDescent="0.25">
      <c r="A9141" s="204">
        <v>44277</v>
      </c>
      <c r="B9141" s="29" t="s">
        <v>7460</v>
      </c>
      <c r="C9141" s="29" t="s">
        <v>7849</v>
      </c>
      <c r="D9141" s="8">
        <v>2000</v>
      </c>
      <c r="E9141" s="8"/>
      <c r="F9141" s="92">
        <f t="shared" si="186"/>
        <v>58768</v>
      </c>
    </row>
    <row r="9142" spans="1:6" x14ac:dyDescent="0.25">
      <c r="A9142" s="204">
        <v>44277</v>
      </c>
      <c r="B9142" s="29" t="s">
        <v>55</v>
      </c>
      <c r="C9142" s="29" t="s">
        <v>7850</v>
      </c>
      <c r="D9142" s="8">
        <v>5000</v>
      </c>
      <c r="E9142" s="8"/>
      <c r="F9142" s="92">
        <f t="shared" si="186"/>
        <v>53768</v>
      </c>
    </row>
    <row r="9143" spans="1:6" x14ac:dyDescent="0.25">
      <c r="A9143" s="204">
        <v>44277</v>
      </c>
      <c r="B9143" s="29" t="s">
        <v>7851</v>
      </c>
      <c r="C9143" s="29" t="s">
        <v>4945</v>
      </c>
      <c r="D9143" s="8">
        <v>500</v>
      </c>
      <c r="E9143" s="8"/>
      <c r="F9143" s="92">
        <f t="shared" si="186"/>
        <v>53268</v>
      </c>
    </row>
    <row r="9144" spans="1:6" x14ac:dyDescent="0.25">
      <c r="A9144" s="204">
        <v>44277</v>
      </c>
      <c r="B9144" s="26" t="s">
        <v>6063</v>
      </c>
      <c r="C9144" s="26" t="s">
        <v>7852</v>
      </c>
      <c r="D9144" s="8">
        <v>20000</v>
      </c>
      <c r="E9144" s="8"/>
      <c r="F9144" s="92">
        <f t="shared" si="186"/>
        <v>33268</v>
      </c>
    </row>
    <row r="9145" spans="1:6" x14ac:dyDescent="0.25">
      <c r="A9145" s="204">
        <v>44277</v>
      </c>
      <c r="B9145" s="26" t="s">
        <v>4776</v>
      </c>
      <c r="C9145" s="26" t="s">
        <v>439</v>
      </c>
      <c r="D9145" s="8">
        <v>20000</v>
      </c>
      <c r="E9145" s="8"/>
      <c r="F9145" s="92">
        <f t="shared" si="186"/>
        <v>13268</v>
      </c>
    </row>
    <row r="9146" spans="1:6" x14ac:dyDescent="0.25">
      <c r="A9146" s="204">
        <v>44277</v>
      </c>
      <c r="B9146" s="26" t="s">
        <v>26</v>
      </c>
      <c r="C9146" s="26" t="s">
        <v>7853</v>
      </c>
      <c r="D9146" s="8">
        <v>4000</v>
      </c>
      <c r="E9146" s="8"/>
      <c r="F9146" s="92">
        <f t="shared" si="186"/>
        <v>9268</v>
      </c>
    </row>
    <row r="9147" spans="1:6" x14ac:dyDescent="0.25">
      <c r="A9147" s="204">
        <v>44277</v>
      </c>
      <c r="B9147" s="26" t="s">
        <v>7628</v>
      </c>
      <c r="C9147" s="26" t="s">
        <v>41</v>
      </c>
      <c r="D9147" s="8">
        <v>6500</v>
      </c>
      <c r="E9147" s="8"/>
      <c r="F9147" s="92">
        <f t="shared" si="186"/>
        <v>2768</v>
      </c>
    </row>
    <row r="9148" spans="1:6" x14ac:dyDescent="0.25">
      <c r="A9148" s="204">
        <v>44279</v>
      </c>
      <c r="B9148" s="456" t="s">
        <v>3448</v>
      </c>
      <c r="C9148" s="457"/>
      <c r="D9148" s="458"/>
      <c r="E9148" s="8">
        <v>100000</v>
      </c>
      <c r="F9148" s="92">
        <f t="shared" ref="F9148" si="187">F9147+E9148-D9148</f>
        <v>102768</v>
      </c>
    </row>
    <row r="9149" spans="1:6" x14ac:dyDescent="0.25">
      <c r="A9149" s="204">
        <v>44279</v>
      </c>
      <c r="B9149" s="29" t="s">
        <v>58</v>
      </c>
      <c r="C9149" s="29" t="s">
        <v>7856</v>
      </c>
      <c r="D9149" s="8">
        <v>5000</v>
      </c>
      <c r="E9149" s="8"/>
      <c r="F9149" s="92">
        <f t="shared" si="186"/>
        <v>97768</v>
      </c>
    </row>
    <row r="9150" spans="1:6" x14ac:dyDescent="0.25">
      <c r="A9150" s="204">
        <v>44279</v>
      </c>
      <c r="B9150" s="29" t="s">
        <v>1840</v>
      </c>
      <c r="C9150" s="29" t="s">
        <v>7857</v>
      </c>
      <c r="D9150" s="8">
        <v>2500</v>
      </c>
      <c r="E9150" s="8"/>
      <c r="F9150" s="92">
        <f t="shared" si="186"/>
        <v>95268</v>
      </c>
    </row>
    <row r="9151" spans="1:6" x14ac:dyDescent="0.25">
      <c r="A9151" s="204">
        <v>44279</v>
      </c>
      <c r="B9151" s="29" t="s">
        <v>85</v>
      </c>
      <c r="C9151" s="29" t="s">
        <v>7858</v>
      </c>
      <c r="D9151" s="8">
        <v>2000</v>
      </c>
      <c r="E9151" s="8"/>
      <c r="F9151" s="92">
        <f t="shared" si="186"/>
        <v>93268</v>
      </c>
    </row>
    <row r="9152" spans="1:6" x14ac:dyDescent="0.25">
      <c r="A9152" s="204">
        <v>44279</v>
      </c>
      <c r="B9152" s="29" t="s">
        <v>1077</v>
      </c>
      <c r="C9152" s="29" t="s">
        <v>7859</v>
      </c>
      <c r="D9152" s="8">
        <f>13212+2871+2923+8229</f>
        <v>27235</v>
      </c>
      <c r="E9152" s="8"/>
      <c r="F9152" s="92">
        <f t="shared" si="186"/>
        <v>66033</v>
      </c>
    </row>
    <row r="9153" spans="1:6" x14ac:dyDescent="0.25">
      <c r="A9153" s="204">
        <v>44279</v>
      </c>
      <c r="B9153" s="29" t="s">
        <v>14</v>
      </c>
      <c r="C9153" s="29" t="s">
        <v>6967</v>
      </c>
      <c r="D9153" s="8">
        <v>1852</v>
      </c>
      <c r="E9153" s="8"/>
      <c r="F9153" s="92">
        <f t="shared" ref="F9153:F9215" si="188">F9152+E9153-D9153</f>
        <v>64181</v>
      </c>
    </row>
    <row r="9154" spans="1:6" x14ac:dyDescent="0.25">
      <c r="A9154" s="204">
        <v>44279</v>
      </c>
      <c r="B9154" s="29" t="s">
        <v>0</v>
      </c>
      <c r="C9154" s="29" t="s">
        <v>7860</v>
      </c>
      <c r="D9154" s="8">
        <v>15000</v>
      </c>
      <c r="E9154" s="8"/>
      <c r="F9154" s="92">
        <f t="shared" si="188"/>
        <v>49181</v>
      </c>
    </row>
    <row r="9155" spans="1:6" x14ac:dyDescent="0.25">
      <c r="A9155" s="204">
        <v>44279</v>
      </c>
      <c r="B9155" s="29" t="s">
        <v>6877</v>
      </c>
      <c r="C9155" s="29" t="s">
        <v>295</v>
      </c>
      <c r="D9155" s="8">
        <v>3000</v>
      </c>
      <c r="E9155" s="8"/>
      <c r="F9155" s="92">
        <f t="shared" si="188"/>
        <v>46181</v>
      </c>
    </row>
    <row r="9156" spans="1:6" x14ac:dyDescent="0.25">
      <c r="A9156" s="204">
        <v>44279</v>
      </c>
      <c r="B9156" s="29" t="s">
        <v>85</v>
      </c>
      <c r="C9156" s="29" t="s">
        <v>7861</v>
      </c>
      <c r="D9156" s="8">
        <v>5000</v>
      </c>
      <c r="E9156" s="8"/>
      <c r="F9156" s="92">
        <f t="shared" si="188"/>
        <v>41181</v>
      </c>
    </row>
    <row r="9157" spans="1:6" x14ac:dyDescent="0.25">
      <c r="A9157" s="204">
        <v>44279</v>
      </c>
      <c r="B9157" s="29" t="s">
        <v>85</v>
      </c>
      <c r="C9157" s="29" t="s">
        <v>7862</v>
      </c>
      <c r="D9157" s="8">
        <v>2000</v>
      </c>
      <c r="E9157" s="8"/>
      <c r="F9157" s="92">
        <f t="shared" si="188"/>
        <v>39181</v>
      </c>
    </row>
    <row r="9158" spans="1:6" x14ac:dyDescent="0.25">
      <c r="A9158" s="204">
        <v>44280</v>
      </c>
      <c r="B9158" s="26" t="s">
        <v>7729</v>
      </c>
      <c r="C9158" s="26" t="s">
        <v>7863</v>
      </c>
      <c r="D9158" s="8">
        <v>450</v>
      </c>
      <c r="E9158" s="8"/>
      <c r="F9158" s="92">
        <f t="shared" si="188"/>
        <v>38731</v>
      </c>
    </row>
    <row r="9159" spans="1:6" x14ac:dyDescent="0.25">
      <c r="A9159" s="204">
        <v>44280</v>
      </c>
      <c r="B9159" s="26" t="s">
        <v>19</v>
      </c>
      <c r="C9159" s="26" t="s">
        <v>7810</v>
      </c>
      <c r="D9159" s="8">
        <v>10000</v>
      </c>
      <c r="E9159" s="8"/>
      <c r="F9159" s="92">
        <f t="shared" si="188"/>
        <v>28731</v>
      </c>
    </row>
    <row r="9160" spans="1:6" x14ac:dyDescent="0.25">
      <c r="A9160" s="204">
        <v>44280</v>
      </c>
      <c r="B9160" s="29" t="s">
        <v>7628</v>
      </c>
      <c r="C9160" s="29" t="s">
        <v>41</v>
      </c>
      <c r="D9160" s="8">
        <v>5000</v>
      </c>
      <c r="E9160" s="8"/>
      <c r="F9160" s="92">
        <f t="shared" si="188"/>
        <v>23731</v>
      </c>
    </row>
    <row r="9161" spans="1:6" x14ac:dyDescent="0.25">
      <c r="A9161" s="204">
        <v>44280</v>
      </c>
      <c r="B9161" s="29" t="s">
        <v>5479</v>
      </c>
      <c r="C9161" s="29" t="s">
        <v>7869</v>
      </c>
      <c r="D9161" s="8">
        <v>350</v>
      </c>
      <c r="E9161" s="8"/>
      <c r="F9161" s="92">
        <f t="shared" si="188"/>
        <v>23381</v>
      </c>
    </row>
    <row r="9162" spans="1:6" x14ac:dyDescent="0.25">
      <c r="A9162" s="204">
        <v>44280</v>
      </c>
      <c r="B9162" s="29" t="s">
        <v>1790</v>
      </c>
      <c r="C9162" s="29" t="s">
        <v>7873</v>
      </c>
      <c r="D9162" s="8">
        <v>1000</v>
      </c>
      <c r="E9162" s="8"/>
      <c r="F9162" s="92">
        <f t="shared" si="188"/>
        <v>22381</v>
      </c>
    </row>
    <row r="9163" spans="1:6" x14ac:dyDescent="0.25">
      <c r="A9163" s="204">
        <v>44281</v>
      </c>
      <c r="B9163" s="26" t="s">
        <v>108</v>
      </c>
      <c r="C9163" s="26" t="s">
        <v>7874</v>
      </c>
      <c r="D9163" s="8">
        <v>500</v>
      </c>
      <c r="E9163" s="8"/>
      <c r="F9163" s="92">
        <f t="shared" si="188"/>
        <v>21881</v>
      </c>
    </row>
    <row r="9164" spans="1:6" x14ac:dyDescent="0.25">
      <c r="A9164" s="204">
        <v>44281</v>
      </c>
      <c r="B9164" s="26" t="s">
        <v>14</v>
      </c>
      <c r="C9164" s="26" t="s">
        <v>295</v>
      </c>
      <c r="D9164" s="8">
        <v>1500</v>
      </c>
      <c r="E9164" s="8"/>
      <c r="F9164" s="92">
        <f t="shared" si="188"/>
        <v>20381</v>
      </c>
    </row>
    <row r="9165" spans="1:6" x14ac:dyDescent="0.25">
      <c r="A9165" s="204">
        <v>44281</v>
      </c>
      <c r="B9165" s="26" t="s">
        <v>6063</v>
      </c>
      <c r="C9165" s="26" t="s">
        <v>7875</v>
      </c>
      <c r="D9165" s="8">
        <v>13600</v>
      </c>
      <c r="E9165" s="8"/>
      <c r="F9165" s="92">
        <f t="shared" si="188"/>
        <v>6781</v>
      </c>
    </row>
    <row r="9166" spans="1:6" x14ac:dyDescent="0.25">
      <c r="A9166" s="204">
        <v>44282</v>
      </c>
      <c r="B9166" s="456" t="s">
        <v>864</v>
      </c>
      <c r="C9166" s="457"/>
      <c r="D9166" s="458"/>
      <c r="E9166" s="8">
        <v>100000</v>
      </c>
      <c r="F9166" s="92">
        <f t="shared" si="188"/>
        <v>106781</v>
      </c>
    </row>
    <row r="9167" spans="1:6" x14ac:dyDescent="0.25">
      <c r="A9167" s="204">
        <v>44282</v>
      </c>
      <c r="B9167" s="29" t="s">
        <v>7701</v>
      </c>
      <c r="C9167" s="26" t="s">
        <v>7894</v>
      </c>
      <c r="D9167" s="8">
        <v>9430</v>
      </c>
      <c r="E9167" s="8"/>
      <c r="F9167" s="92">
        <f t="shared" si="188"/>
        <v>97351</v>
      </c>
    </row>
    <row r="9168" spans="1:6" x14ac:dyDescent="0.25">
      <c r="A9168" s="204">
        <v>44282</v>
      </c>
      <c r="B9168" s="29" t="s">
        <v>26</v>
      </c>
      <c r="C9168" s="26" t="s">
        <v>4280</v>
      </c>
      <c r="D9168" s="8">
        <v>5150</v>
      </c>
      <c r="E9168" s="8"/>
      <c r="F9168" s="92">
        <f t="shared" si="188"/>
        <v>92201</v>
      </c>
    </row>
    <row r="9169" spans="1:6" x14ac:dyDescent="0.25">
      <c r="A9169" s="204">
        <v>44282</v>
      </c>
      <c r="B9169" s="26" t="s">
        <v>6877</v>
      </c>
      <c r="C9169" s="26" t="s">
        <v>295</v>
      </c>
      <c r="D9169" s="8">
        <v>3000</v>
      </c>
      <c r="E9169" s="8"/>
      <c r="F9169" s="92">
        <f t="shared" si="188"/>
        <v>89201</v>
      </c>
    </row>
    <row r="9170" spans="1:6" x14ac:dyDescent="0.25">
      <c r="A9170" s="204">
        <v>44284</v>
      </c>
      <c r="B9170" s="26" t="s">
        <v>6877</v>
      </c>
      <c r="C9170" s="26" t="s">
        <v>295</v>
      </c>
      <c r="D9170" s="8">
        <v>5000</v>
      </c>
      <c r="E9170" s="8"/>
      <c r="F9170" s="92">
        <f t="shared" si="188"/>
        <v>84201</v>
      </c>
    </row>
    <row r="9171" spans="1:6" x14ac:dyDescent="0.25">
      <c r="A9171" s="204">
        <v>44282</v>
      </c>
      <c r="B9171" s="26" t="s">
        <v>4776</v>
      </c>
      <c r="C9171" s="26" t="s">
        <v>7878</v>
      </c>
      <c r="D9171" s="8">
        <v>5000</v>
      </c>
      <c r="E9171" s="8"/>
      <c r="F9171" s="92">
        <f t="shared" si="188"/>
        <v>79201</v>
      </c>
    </row>
    <row r="9172" spans="1:6" x14ac:dyDescent="0.25">
      <c r="A9172" s="204">
        <v>44284</v>
      </c>
      <c r="B9172" s="29" t="s">
        <v>19</v>
      </c>
      <c r="C9172" s="29" t="s">
        <v>295</v>
      </c>
      <c r="D9172" s="8">
        <v>5000</v>
      </c>
      <c r="E9172" s="8"/>
      <c r="F9172" s="92">
        <f t="shared" si="188"/>
        <v>74201</v>
      </c>
    </row>
    <row r="9173" spans="1:6" x14ac:dyDescent="0.25">
      <c r="A9173" s="204">
        <v>44284</v>
      </c>
      <c r="B9173" s="29" t="s">
        <v>26</v>
      </c>
      <c r="C9173" s="29" t="s">
        <v>7879</v>
      </c>
      <c r="D9173" s="8">
        <v>300</v>
      </c>
      <c r="E9173" s="8"/>
      <c r="F9173" s="92">
        <f t="shared" si="188"/>
        <v>73901</v>
      </c>
    </row>
    <row r="9174" spans="1:6" x14ac:dyDescent="0.25">
      <c r="A9174" s="204">
        <v>44284</v>
      </c>
      <c r="B9174" s="26" t="s">
        <v>6626</v>
      </c>
      <c r="C9174" s="26" t="s">
        <v>7798</v>
      </c>
      <c r="D9174" s="8">
        <v>35200</v>
      </c>
      <c r="E9174" s="8"/>
      <c r="F9174" s="92">
        <f t="shared" si="188"/>
        <v>38701</v>
      </c>
    </row>
    <row r="9175" spans="1:6" x14ac:dyDescent="0.25">
      <c r="A9175" s="204">
        <v>44284</v>
      </c>
      <c r="B9175" s="26" t="s">
        <v>14</v>
      </c>
      <c r="C9175" s="26" t="s">
        <v>295</v>
      </c>
      <c r="D9175" s="8">
        <v>15000</v>
      </c>
      <c r="E9175" s="8"/>
      <c r="F9175" s="92">
        <f t="shared" si="188"/>
        <v>23701</v>
      </c>
    </row>
    <row r="9176" spans="1:6" x14ac:dyDescent="0.25">
      <c r="A9176" s="204">
        <v>44284</v>
      </c>
      <c r="B9176" s="26" t="s">
        <v>7460</v>
      </c>
      <c r="C9176" s="26" t="s">
        <v>7843</v>
      </c>
      <c r="D9176" s="8">
        <v>2000</v>
      </c>
      <c r="E9176" s="8"/>
      <c r="F9176" s="92">
        <f t="shared" si="188"/>
        <v>21701</v>
      </c>
    </row>
    <row r="9177" spans="1:6" x14ac:dyDescent="0.25">
      <c r="A9177" s="204">
        <v>44284</v>
      </c>
      <c r="B9177" s="26" t="s">
        <v>6877</v>
      </c>
      <c r="C9177" s="26" t="s">
        <v>4354</v>
      </c>
      <c r="D9177" s="8">
        <v>3000</v>
      </c>
      <c r="E9177" s="8"/>
      <c r="F9177" s="92">
        <f t="shared" si="188"/>
        <v>18701</v>
      </c>
    </row>
    <row r="9178" spans="1:6" x14ac:dyDescent="0.25">
      <c r="A9178" s="204">
        <v>44284</v>
      </c>
      <c r="B9178" s="26" t="s">
        <v>7628</v>
      </c>
      <c r="C9178" s="26" t="s">
        <v>5853</v>
      </c>
      <c r="D9178" s="8">
        <v>10000</v>
      </c>
      <c r="E9178" s="8"/>
      <c r="F9178" s="92">
        <f t="shared" si="188"/>
        <v>8701</v>
      </c>
    </row>
    <row r="9179" spans="1:6" x14ac:dyDescent="0.25">
      <c r="A9179" s="204">
        <v>44284</v>
      </c>
      <c r="B9179" s="456" t="s">
        <v>5771</v>
      </c>
      <c r="C9179" s="457"/>
      <c r="D9179" s="458"/>
      <c r="E9179" s="8">
        <v>20000</v>
      </c>
      <c r="F9179" s="92">
        <f t="shared" si="188"/>
        <v>28701</v>
      </c>
    </row>
    <row r="9180" spans="1:6" x14ac:dyDescent="0.25">
      <c r="A9180" s="204">
        <v>44284</v>
      </c>
      <c r="B9180" s="26" t="s">
        <v>7729</v>
      </c>
      <c r="C9180" s="26" t="s">
        <v>7881</v>
      </c>
      <c r="D9180" s="8">
        <v>20000</v>
      </c>
      <c r="E9180" s="8"/>
      <c r="F9180" s="92">
        <f t="shared" si="188"/>
        <v>8701</v>
      </c>
    </row>
    <row r="9181" spans="1:6" x14ac:dyDescent="0.25">
      <c r="A9181" s="204">
        <v>44285</v>
      </c>
      <c r="B9181" s="26" t="s">
        <v>26</v>
      </c>
      <c r="C9181" s="26" t="s">
        <v>7882</v>
      </c>
      <c r="D9181" s="8">
        <f>527+250</f>
        <v>777</v>
      </c>
      <c r="E9181" s="8"/>
      <c r="F9181" s="92">
        <f t="shared" si="188"/>
        <v>7924</v>
      </c>
    </row>
    <row r="9182" spans="1:6" x14ac:dyDescent="0.25">
      <c r="A9182" s="204">
        <v>44285</v>
      </c>
      <c r="B9182" s="39" t="s">
        <v>6877</v>
      </c>
      <c r="C9182" s="39" t="s">
        <v>2016</v>
      </c>
      <c r="D9182" s="10">
        <v>500</v>
      </c>
      <c r="F9182" s="92">
        <f t="shared" si="188"/>
        <v>7424</v>
      </c>
    </row>
    <row r="9183" spans="1:6" x14ac:dyDescent="0.25">
      <c r="A9183" s="204">
        <v>44285</v>
      </c>
      <c r="B9183" s="456" t="s">
        <v>5771</v>
      </c>
      <c r="C9183" s="457"/>
      <c r="D9183" s="458"/>
      <c r="E9183" s="8">
        <v>200000</v>
      </c>
      <c r="F9183" s="92">
        <f t="shared" si="188"/>
        <v>207424</v>
      </c>
    </row>
    <row r="9184" spans="1:6" x14ac:dyDescent="0.25">
      <c r="A9184" s="204">
        <v>44285</v>
      </c>
      <c r="B9184" s="29" t="s">
        <v>7884</v>
      </c>
      <c r="C9184" s="29" t="s">
        <v>7598</v>
      </c>
      <c r="D9184" s="8">
        <v>20000</v>
      </c>
      <c r="E9184" s="8"/>
      <c r="F9184" s="92">
        <f t="shared" si="188"/>
        <v>187424</v>
      </c>
    </row>
    <row r="9185" spans="1:7" x14ac:dyDescent="0.25">
      <c r="A9185" s="204">
        <v>44285</v>
      </c>
      <c r="B9185" s="29" t="s">
        <v>2227</v>
      </c>
      <c r="C9185" s="29" t="s">
        <v>7885</v>
      </c>
      <c r="D9185" s="8">
        <v>50000</v>
      </c>
      <c r="E9185" s="8"/>
      <c r="F9185" s="92">
        <f t="shared" si="188"/>
        <v>137424</v>
      </c>
    </row>
    <row r="9186" spans="1:7" x14ac:dyDescent="0.25">
      <c r="A9186" s="241">
        <v>44285</v>
      </c>
      <c r="B9186" s="29" t="s">
        <v>3563</v>
      </c>
      <c r="C9186" s="29" t="s">
        <v>92</v>
      </c>
      <c r="D9186" s="8">
        <v>650</v>
      </c>
      <c r="E9186" s="8"/>
      <c r="F9186" s="92">
        <f t="shared" si="188"/>
        <v>136774</v>
      </c>
    </row>
    <row r="9187" spans="1:7" x14ac:dyDescent="0.25">
      <c r="A9187" s="204">
        <v>44285</v>
      </c>
      <c r="B9187" s="29" t="s">
        <v>6877</v>
      </c>
      <c r="C9187" s="29" t="s">
        <v>7886</v>
      </c>
      <c r="D9187" s="8">
        <v>5800</v>
      </c>
      <c r="E9187" s="8"/>
      <c r="F9187" s="92">
        <f t="shared" si="188"/>
        <v>130974</v>
      </c>
    </row>
    <row r="9188" spans="1:7" x14ac:dyDescent="0.25">
      <c r="A9188" s="204">
        <v>44285</v>
      </c>
      <c r="B9188" s="29" t="s">
        <v>6877</v>
      </c>
      <c r="C9188" s="29" t="s">
        <v>7912</v>
      </c>
      <c r="D9188" s="8">
        <v>1000</v>
      </c>
      <c r="E9188" s="8"/>
      <c r="F9188" s="92">
        <f t="shared" si="188"/>
        <v>129974</v>
      </c>
    </row>
    <row r="9189" spans="1:7" x14ac:dyDescent="0.25">
      <c r="A9189" s="204">
        <v>44286</v>
      </c>
      <c r="B9189" s="26" t="s">
        <v>6250</v>
      </c>
      <c r="C9189" s="26" t="s">
        <v>41</v>
      </c>
      <c r="D9189" s="8">
        <v>4000</v>
      </c>
      <c r="E9189" s="8"/>
      <c r="F9189" s="92">
        <f t="shared" si="188"/>
        <v>125974</v>
      </c>
    </row>
    <row r="9190" spans="1:7" x14ac:dyDescent="0.25">
      <c r="A9190" s="204">
        <v>44286</v>
      </c>
      <c r="B9190" s="26" t="s">
        <v>6877</v>
      </c>
      <c r="C9190" s="26" t="s">
        <v>295</v>
      </c>
      <c r="D9190" s="8">
        <v>5000</v>
      </c>
      <c r="E9190" s="8"/>
      <c r="F9190" s="92">
        <f t="shared" si="188"/>
        <v>120974</v>
      </c>
    </row>
    <row r="9191" spans="1:7" x14ac:dyDescent="0.25">
      <c r="A9191" s="204">
        <v>44286</v>
      </c>
      <c r="B9191" s="26" t="s">
        <v>0</v>
      </c>
      <c r="C9191" s="26" t="s">
        <v>295</v>
      </c>
      <c r="D9191" s="8">
        <v>18000</v>
      </c>
      <c r="E9191" s="8"/>
      <c r="F9191" s="92">
        <f t="shared" si="188"/>
        <v>102974</v>
      </c>
    </row>
    <row r="9192" spans="1:7" x14ac:dyDescent="0.25">
      <c r="A9192" s="204">
        <v>44286</v>
      </c>
      <c r="B9192" s="26" t="s">
        <v>4059</v>
      </c>
      <c r="C9192" s="26" t="s">
        <v>41</v>
      </c>
      <c r="D9192" s="8">
        <v>16870</v>
      </c>
      <c r="E9192" s="8"/>
      <c r="F9192" s="92">
        <f t="shared" si="188"/>
        <v>86104</v>
      </c>
    </row>
    <row r="9193" spans="1:7" x14ac:dyDescent="0.25">
      <c r="A9193" s="204">
        <v>44286</v>
      </c>
      <c r="B9193" s="26" t="s">
        <v>6569</v>
      </c>
      <c r="C9193" s="26" t="s">
        <v>41</v>
      </c>
      <c r="D9193" s="8">
        <v>22000</v>
      </c>
      <c r="E9193" s="8"/>
      <c r="F9193" s="92">
        <f t="shared" si="188"/>
        <v>64104</v>
      </c>
    </row>
    <row r="9194" spans="1:7" x14ac:dyDescent="0.25">
      <c r="A9194" s="204">
        <v>44287</v>
      </c>
      <c r="B9194" s="26" t="s">
        <v>6877</v>
      </c>
      <c r="C9194" s="26" t="s">
        <v>4847</v>
      </c>
      <c r="D9194" s="8">
        <v>7940</v>
      </c>
      <c r="E9194" s="8"/>
      <c r="F9194" s="92">
        <f t="shared" si="188"/>
        <v>56164</v>
      </c>
    </row>
    <row r="9195" spans="1:7" x14ac:dyDescent="0.25">
      <c r="A9195" s="204">
        <v>44287</v>
      </c>
      <c r="B9195" s="26" t="s">
        <v>6019</v>
      </c>
      <c r="C9195" s="26" t="s">
        <v>7890</v>
      </c>
      <c r="D9195" s="8">
        <v>30000</v>
      </c>
      <c r="E9195" s="8"/>
      <c r="F9195" s="92">
        <f t="shared" si="188"/>
        <v>26164</v>
      </c>
    </row>
    <row r="9196" spans="1:7" x14ac:dyDescent="0.25">
      <c r="A9196" s="204">
        <v>44287</v>
      </c>
      <c r="B9196" s="26" t="s">
        <v>7483</v>
      </c>
      <c r="C9196" s="26" t="s">
        <v>7891</v>
      </c>
      <c r="D9196" s="8">
        <v>12000</v>
      </c>
      <c r="E9196" s="8"/>
      <c r="F9196" s="92">
        <f t="shared" si="188"/>
        <v>14164</v>
      </c>
      <c r="G9196" s="25"/>
    </row>
    <row r="9197" spans="1:7" x14ac:dyDescent="0.25">
      <c r="A9197" s="204">
        <v>44287</v>
      </c>
      <c r="B9197" s="456" t="s">
        <v>7892</v>
      </c>
      <c r="C9197" s="457"/>
      <c r="D9197" s="458"/>
      <c r="E9197" s="8">
        <v>124000</v>
      </c>
      <c r="F9197" s="92">
        <f t="shared" si="188"/>
        <v>138164</v>
      </c>
    </row>
    <row r="9198" spans="1:7" x14ac:dyDescent="0.25">
      <c r="A9198" s="204">
        <v>44287</v>
      </c>
      <c r="B9198" s="29" t="s">
        <v>6877</v>
      </c>
      <c r="C9198" s="29" t="s">
        <v>7734</v>
      </c>
      <c r="D9198" s="8">
        <v>3300</v>
      </c>
      <c r="E9198" s="8"/>
      <c r="F9198" s="92">
        <f t="shared" si="188"/>
        <v>134864</v>
      </c>
    </row>
    <row r="9199" spans="1:7" x14ac:dyDescent="0.25">
      <c r="A9199" s="204">
        <v>44287</v>
      </c>
      <c r="B9199" s="29" t="s">
        <v>4776</v>
      </c>
      <c r="C9199" s="29" t="s">
        <v>295</v>
      </c>
      <c r="D9199" s="8">
        <v>100000</v>
      </c>
      <c r="E9199" s="8"/>
      <c r="F9199" s="92">
        <f t="shared" si="188"/>
        <v>34864</v>
      </c>
    </row>
    <row r="9200" spans="1:7" x14ac:dyDescent="0.25">
      <c r="A9200" s="204">
        <v>44288</v>
      </c>
      <c r="B9200" s="29" t="s">
        <v>58</v>
      </c>
      <c r="C9200" s="29" t="s">
        <v>7893</v>
      </c>
      <c r="D9200" s="8">
        <v>2000</v>
      </c>
      <c r="E9200" s="8"/>
      <c r="F9200" s="92">
        <f t="shared" si="188"/>
        <v>32864</v>
      </c>
      <c r="G9200" s="25"/>
    </row>
    <row r="9201" spans="1:6" x14ac:dyDescent="0.25">
      <c r="A9201" s="204">
        <v>44288</v>
      </c>
      <c r="B9201" s="29" t="s">
        <v>14</v>
      </c>
      <c r="C9201" s="29" t="s">
        <v>295</v>
      </c>
      <c r="D9201" s="8">
        <v>13000</v>
      </c>
      <c r="E9201" s="8"/>
      <c r="F9201" s="92">
        <f t="shared" si="188"/>
        <v>19864</v>
      </c>
    </row>
    <row r="9202" spans="1:6" x14ac:dyDescent="0.25">
      <c r="A9202" s="204">
        <v>44288</v>
      </c>
      <c r="B9202" s="29" t="s">
        <v>26</v>
      </c>
      <c r="C9202" s="29" t="s">
        <v>4280</v>
      </c>
      <c r="D9202" s="8">
        <f>1400+30+110+860+280+80+220+160+70+100+280+290+260+360+50+100+30</f>
        <v>4680</v>
      </c>
      <c r="E9202" s="8"/>
      <c r="F9202" s="92">
        <f t="shared" si="188"/>
        <v>15184</v>
      </c>
    </row>
    <row r="9203" spans="1:6" x14ac:dyDescent="0.25">
      <c r="A9203" s="204">
        <v>44288</v>
      </c>
      <c r="B9203" s="19" t="s">
        <v>7771</v>
      </c>
      <c r="C9203" s="378" t="s">
        <v>7915</v>
      </c>
      <c r="D9203" s="379">
        <v>1250</v>
      </c>
      <c r="E9203" s="8"/>
      <c r="F9203" s="92">
        <f t="shared" si="188"/>
        <v>13934</v>
      </c>
    </row>
    <row r="9204" spans="1:6" x14ac:dyDescent="0.25">
      <c r="A9204" s="204">
        <v>44291</v>
      </c>
      <c r="B9204" s="456" t="s">
        <v>4621</v>
      </c>
      <c r="C9204" s="457"/>
      <c r="D9204" s="458"/>
      <c r="E9204" s="8">
        <v>395000</v>
      </c>
      <c r="F9204" s="92">
        <f t="shared" si="188"/>
        <v>408934</v>
      </c>
    </row>
    <row r="9205" spans="1:6" x14ac:dyDescent="0.25">
      <c r="A9205" s="204">
        <v>44291</v>
      </c>
      <c r="B9205" s="26" t="s">
        <v>0</v>
      </c>
      <c r="C9205" s="26" t="s">
        <v>295</v>
      </c>
      <c r="D9205" s="8">
        <v>5000</v>
      </c>
      <c r="E9205" s="8"/>
      <c r="F9205" s="92">
        <f t="shared" si="188"/>
        <v>403934</v>
      </c>
    </row>
    <row r="9206" spans="1:6" x14ac:dyDescent="0.25">
      <c r="A9206" s="204">
        <v>44291</v>
      </c>
      <c r="B9206" s="26" t="s">
        <v>7460</v>
      </c>
      <c r="C9206" s="26" t="s">
        <v>295</v>
      </c>
      <c r="D9206" s="8">
        <v>10000</v>
      </c>
      <c r="E9206" s="8"/>
      <c r="F9206" s="92">
        <f t="shared" si="188"/>
        <v>393934</v>
      </c>
    </row>
    <row r="9207" spans="1:6" x14ac:dyDescent="0.25">
      <c r="A9207" s="204">
        <v>44291</v>
      </c>
      <c r="B9207" s="26" t="s">
        <v>7916</v>
      </c>
      <c r="C9207" s="26" t="s">
        <v>7917</v>
      </c>
      <c r="D9207" s="8">
        <v>20000</v>
      </c>
      <c r="E9207" s="8"/>
      <c r="F9207" s="92">
        <f t="shared" si="188"/>
        <v>373934</v>
      </c>
    </row>
    <row r="9208" spans="1:6" x14ac:dyDescent="0.25">
      <c r="A9208" s="204">
        <v>44291</v>
      </c>
      <c r="B9208" s="26" t="s">
        <v>5479</v>
      </c>
      <c r="C9208" s="26" t="s">
        <v>7918</v>
      </c>
      <c r="D9208" s="8">
        <v>1800</v>
      </c>
      <c r="E9208" s="8"/>
      <c r="F9208" s="92">
        <f t="shared" si="188"/>
        <v>372134</v>
      </c>
    </row>
    <row r="9209" spans="1:6" x14ac:dyDescent="0.25">
      <c r="A9209" s="204">
        <v>44291</v>
      </c>
      <c r="B9209" s="26" t="s">
        <v>26</v>
      </c>
      <c r="C9209" s="26" t="s">
        <v>7919</v>
      </c>
      <c r="D9209" s="8">
        <v>200</v>
      </c>
      <c r="E9209" s="8"/>
      <c r="F9209" s="92">
        <f t="shared" si="188"/>
        <v>371934</v>
      </c>
    </row>
    <row r="9210" spans="1:6" x14ac:dyDescent="0.25">
      <c r="A9210" s="204">
        <v>44291</v>
      </c>
      <c r="B9210" s="26" t="s">
        <v>19</v>
      </c>
      <c r="C9210" s="26" t="s">
        <v>3914</v>
      </c>
      <c r="D9210" s="8">
        <v>5000</v>
      </c>
      <c r="E9210" s="8"/>
      <c r="F9210" s="92">
        <f t="shared" si="188"/>
        <v>366934</v>
      </c>
    </row>
    <row r="9211" spans="1:6" x14ac:dyDescent="0.25">
      <c r="A9211" s="204">
        <v>44291</v>
      </c>
      <c r="B9211" s="456" t="s">
        <v>4621</v>
      </c>
      <c r="C9211" s="457"/>
      <c r="D9211" s="458"/>
      <c r="E9211" s="8">
        <v>250000</v>
      </c>
      <c r="F9211" s="92">
        <f t="shared" si="188"/>
        <v>616934</v>
      </c>
    </row>
    <row r="9212" spans="1:6" ht="94.5" x14ac:dyDescent="0.25">
      <c r="A9212" s="204">
        <v>44291</v>
      </c>
      <c r="B9212" s="380" t="s">
        <v>1515</v>
      </c>
      <c r="C9212" s="381" t="s">
        <v>7934</v>
      </c>
      <c r="D9212" s="296">
        <v>540670</v>
      </c>
      <c r="E9212" s="8"/>
      <c r="F9212" s="92">
        <f t="shared" si="188"/>
        <v>76264</v>
      </c>
    </row>
    <row r="9213" spans="1:6" x14ac:dyDescent="0.25">
      <c r="A9213" s="204">
        <v>44291</v>
      </c>
      <c r="B9213" s="40" t="s">
        <v>26</v>
      </c>
      <c r="C9213" s="40" t="s">
        <v>651</v>
      </c>
      <c r="D9213" s="140">
        <v>1000</v>
      </c>
      <c r="E9213" s="140"/>
      <c r="F9213" s="92">
        <f t="shared" si="188"/>
        <v>75264</v>
      </c>
    </row>
    <row r="9214" spans="1:6" x14ac:dyDescent="0.25">
      <c r="A9214" s="204">
        <v>44291</v>
      </c>
      <c r="B9214" s="46" t="s">
        <v>7736</v>
      </c>
      <c r="C9214" s="46" t="s">
        <v>7921</v>
      </c>
      <c r="D9214" s="140">
        <v>2000</v>
      </c>
      <c r="E9214" s="140"/>
      <c r="F9214" s="92">
        <f t="shared" si="188"/>
        <v>73264</v>
      </c>
    </row>
    <row r="9215" spans="1:6" x14ac:dyDescent="0.25">
      <c r="A9215" s="204">
        <v>44292</v>
      </c>
      <c r="B9215" s="46" t="s">
        <v>3567</v>
      </c>
      <c r="C9215" s="46" t="s">
        <v>7922</v>
      </c>
      <c r="D9215" s="140">
        <f>3375+1127</f>
        <v>4502</v>
      </c>
      <c r="E9215" s="140"/>
      <c r="F9215" s="92">
        <f t="shared" si="188"/>
        <v>68762</v>
      </c>
    </row>
    <row r="9216" spans="1:6" x14ac:dyDescent="0.25">
      <c r="A9216" s="204">
        <v>44292</v>
      </c>
      <c r="B9216" s="46" t="s">
        <v>6334</v>
      </c>
      <c r="C9216" s="46" t="s">
        <v>41</v>
      </c>
      <c r="D9216" s="140">
        <v>12000</v>
      </c>
      <c r="E9216" s="140"/>
      <c r="F9216" s="92">
        <f t="shared" ref="F9216:F9217" si="189">F9215+E9216-D9216</f>
        <v>56762</v>
      </c>
    </row>
    <row r="9217" spans="1:6" x14ac:dyDescent="0.25">
      <c r="A9217" s="204">
        <v>44292</v>
      </c>
      <c r="B9217" s="26" t="s">
        <v>542</v>
      </c>
      <c r="C9217" s="26" t="s">
        <v>7928</v>
      </c>
      <c r="D9217" s="8">
        <v>9500</v>
      </c>
      <c r="E9217" s="8"/>
      <c r="F9217" s="92">
        <f t="shared" si="189"/>
        <v>47262</v>
      </c>
    </row>
    <row r="9218" spans="1:6" x14ac:dyDescent="0.25">
      <c r="A9218" s="204">
        <v>44292</v>
      </c>
      <c r="B9218" s="26" t="s">
        <v>58</v>
      </c>
      <c r="C9218" s="26" t="s">
        <v>4191</v>
      </c>
      <c r="D9218" s="8">
        <v>3000</v>
      </c>
      <c r="E9218" s="8"/>
      <c r="F9218" s="92">
        <f t="shared" ref="F9218:F9285" si="190">F9217+E9218-D9218</f>
        <v>44262</v>
      </c>
    </row>
    <row r="9219" spans="1:6" x14ac:dyDescent="0.25">
      <c r="A9219" s="204">
        <v>44292</v>
      </c>
      <c r="B9219" s="26" t="s">
        <v>14</v>
      </c>
      <c r="C9219" s="26" t="s">
        <v>7929</v>
      </c>
      <c r="D9219" s="8">
        <v>20000</v>
      </c>
      <c r="E9219" s="8"/>
      <c r="F9219" s="92">
        <f t="shared" si="190"/>
        <v>24262</v>
      </c>
    </row>
    <row r="9220" spans="1:6" x14ac:dyDescent="0.25">
      <c r="A9220" s="204">
        <v>44293</v>
      </c>
      <c r="B9220" s="29" t="s">
        <v>7628</v>
      </c>
      <c r="C9220" s="29" t="s">
        <v>295</v>
      </c>
      <c r="D9220" s="8">
        <v>10000</v>
      </c>
      <c r="E9220" s="8"/>
      <c r="F9220" s="92">
        <f t="shared" si="190"/>
        <v>14262</v>
      </c>
    </row>
    <row r="9221" spans="1:6" x14ac:dyDescent="0.25">
      <c r="A9221" s="204">
        <v>44293</v>
      </c>
      <c r="B9221" s="29" t="s">
        <v>108</v>
      </c>
      <c r="C9221" s="29" t="s">
        <v>295</v>
      </c>
      <c r="D9221" s="8">
        <v>1000</v>
      </c>
      <c r="E9221" s="8"/>
      <c r="F9221" s="92">
        <f t="shared" si="190"/>
        <v>13262</v>
      </c>
    </row>
    <row r="9222" spans="1:6" x14ac:dyDescent="0.25">
      <c r="A9222" s="204">
        <v>44293</v>
      </c>
      <c r="B9222" s="29" t="s">
        <v>108</v>
      </c>
      <c r="C9222" s="29" t="s">
        <v>7933</v>
      </c>
      <c r="D9222" s="8">
        <v>300</v>
      </c>
      <c r="E9222" s="8"/>
      <c r="F9222" s="92">
        <f t="shared" si="190"/>
        <v>12962</v>
      </c>
    </row>
    <row r="9223" spans="1:6" x14ac:dyDescent="0.25">
      <c r="A9223" s="204">
        <v>44293</v>
      </c>
      <c r="B9223" s="29" t="s">
        <v>26</v>
      </c>
      <c r="C9223" s="29" t="s">
        <v>4280</v>
      </c>
      <c r="D9223" s="8">
        <f>1000+1000+600+1000+500+350+60+100+40+80+50+200+350+100+50+260+80+80+100+300</f>
        <v>6300</v>
      </c>
      <c r="E9223" s="8"/>
      <c r="F9223" s="92">
        <f t="shared" si="190"/>
        <v>6662</v>
      </c>
    </row>
    <row r="9224" spans="1:6" x14ac:dyDescent="0.25">
      <c r="A9224" s="204">
        <v>44293</v>
      </c>
      <c r="B9224" s="29" t="s">
        <v>1790</v>
      </c>
      <c r="C9224" s="29" t="s">
        <v>7935</v>
      </c>
      <c r="D9224" s="8">
        <v>1500</v>
      </c>
      <c r="E9224" s="8"/>
      <c r="F9224" s="92">
        <f t="shared" si="190"/>
        <v>5162</v>
      </c>
    </row>
    <row r="9225" spans="1:6" x14ac:dyDescent="0.25">
      <c r="A9225" s="204">
        <v>44293</v>
      </c>
      <c r="B9225" s="29" t="s">
        <v>6770</v>
      </c>
      <c r="C9225" s="29" t="s">
        <v>7936</v>
      </c>
      <c r="D9225" s="8">
        <v>1500</v>
      </c>
      <c r="E9225" s="8"/>
      <c r="F9225" s="92">
        <f t="shared" si="190"/>
        <v>3662</v>
      </c>
    </row>
    <row r="9226" spans="1:6" x14ac:dyDescent="0.25">
      <c r="A9226" s="204">
        <v>44293</v>
      </c>
      <c r="B9226" s="456" t="s">
        <v>4333</v>
      </c>
      <c r="C9226" s="457"/>
      <c r="D9226" s="458"/>
      <c r="E9226" s="8">
        <v>500000</v>
      </c>
      <c r="F9226" s="92">
        <f t="shared" si="190"/>
        <v>503662</v>
      </c>
    </row>
    <row r="9227" spans="1:6" ht="100.5" customHeight="1" x14ac:dyDescent="0.25">
      <c r="A9227" s="204">
        <v>44293</v>
      </c>
      <c r="B9227" s="380" t="s">
        <v>1515</v>
      </c>
      <c r="C9227" s="381" t="s">
        <v>7944</v>
      </c>
      <c r="D9227" s="296">
        <v>452899</v>
      </c>
      <c r="E9227" s="8"/>
      <c r="F9227" s="92">
        <f t="shared" si="190"/>
        <v>50763</v>
      </c>
    </row>
    <row r="9228" spans="1:6" x14ac:dyDescent="0.25">
      <c r="A9228" s="204">
        <v>44293</v>
      </c>
      <c r="B9228" s="29" t="s">
        <v>14</v>
      </c>
      <c r="C9228" s="29" t="s">
        <v>295</v>
      </c>
      <c r="D9228" s="8">
        <v>15000</v>
      </c>
      <c r="E9228" s="8"/>
      <c r="F9228" s="92">
        <f t="shared" si="190"/>
        <v>35763</v>
      </c>
    </row>
    <row r="9229" spans="1:6" x14ac:dyDescent="0.25">
      <c r="A9229" s="204">
        <v>44293</v>
      </c>
      <c r="B9229" s="29" t="s">
        <v>7701</v>
      </c>
      <c r="C9229" s="29" t="s">
        <v>7938</v>
      </c>
      <c r="D9229" s="8">
        <v>1500</v>
      </c>
      <c r="E9229" s="8"/>
      <c r="F9229" s="92">
        <f t="shared" si="190"/>
        <v>34263</v>
      </c>
    </row>
    <row r="9230" spans="1:6" x14ac:dyDescent="0.25">
      <c r="A9230" s="204">
        <v>44293</v>
      </c>
      <c r="B9230" s="29" t="s">
        <v>7628</v>
      </c>
      <c r="C9230" s="29" t="s">
        <v>7939</v>
      </c>
      <c r="D9230" s="8">
        <v>20000</v>
      </c>
      <c r="E9230" s="8"/>
      <c r="F9230" s="92">
        <f t="shared" si="190"/>
        <v>14263</v>
      </c>
    </row>
    <row r="9231" spans="1:6" x14ac:dyDescent="0.25">
      <c r="A9231" s="204">
        <v>44294</v>
      </c>
      <c r="B9231" s="29" t="s">
        <v>0</v>
      </c>
      <c r="C9231" s="29" t="s">
        <v>295</v>
      </c>
      <c r="D9231" s="8">
        <v>500</v>
      </c>
      <c r="E9231" s="8"/>
      <c r="F9231" s="92">
        <f t="shared" si="190"/>
        <v>13763</v>
      </c>
    </row>
    <row r="9232" spans="1:6" x14ac:dyDescent="0.25">
      <c r="A9232" s="204">
        <v>44294</v>
      </c>
      <c r="B9232" s="26" t="s">
        <v>11</v>
      </c>
      <c r="C9232" s="26" t="s">
        <v>7945</v>
      </c>
      <c r="D9232" s="8">
        <v>2000</v>
      </c>
      <c r="E9232" s="8"/>
      <c r="F9232" s="92">
        <f t="shared" si="190"/>
        <v>11763</v>
      </c>
    </row>
    <row r="9233" spans="1:6" x14ac:dyDescent="0.25">
      <c r="A9233" s="204">
        <v>44294</v>
      </c>
      <c r="B9233" s="26" t="s">
        <v>7729</v>
      </c>
      <c r="C9233" s="26" t="s">
        <v>295</v>
      </c>
      <c r="D9233" s="8">
        <v>5000</v>
      </c>
      <c r="E9233" s="8"/>
      <c r="F9233" s="92">
        <f t="shared" si="190"/>
        <v>6763</v>
      </c>
    </row>
    <row r="9234" spans="1:6" x14ac:dyDescent="0.25">
      <c r="A9234" s="204">
        <v>44295</v>
      </c>
      <c r="B9234" s="26" t="s">
        <v>0</v>
      </c>
      <c r="C9234" s="26" t="s">
        <v>295</v>
      </c>
      <c r="D9234" s="8">
        <v>200</v>
      </c>
      <c r="E9234" s="8"/>
      <c r="F9234" s="92">
        <f t="shared" si="190"/>
        <v>6563</v>
      </c>
    </row>
    <row r="9235" spans="1:6" x14ac:dyDescent="0.25">
      <c r="A9235" s="204">
        <v>44298</v>
      </c>
      <c r="B9235" s="456" t="s">
        <v>5771</v>
      </c>
      <c r="C9235" s="457"/>
      <c r="D9235" s="458"/>
      <c r="E9235" s="8">
        <v>70000</v>
      </c>
      <c r="F9235" s="92">
        <f t="shared" si="190"/>
        <v>76563</v>
      </c>
    </row>
    <row r="9236" spans="1:6" x14ac:dyDescent="0.25">
      <c r="A9236" s="204">
        <v>44298</v>
      </c>
      <c r="B9236" s="456" t="s">
        <v>5771</v>
      </c>
      <c r="C9236" s="457"/>
      <c r="D9236" s="458"/>
      <c r="E9236" s="8">
        <v>45000</v>
      </c>
      <c r="F9236" s="92">
        <f t="shared" si="190"/>
        <v>121563</v>
      </c>
    </row>
    <row r="9237" spans="1:6" x14ac:dyDescent="0.25">
      <c r="A9237" s="204">
        <v>44298</v>
      </c>
      <c r="B9237" s="456" t="s">
        <v>5771</v>
      </c>
      <c r="C9237" s="457"/>
      <c r="D9237" s="458"/>
      <c r="E9237" s="8">
        <v>50000</v>
      </c>
      <c r="F9237" s="92">
        <f t="shared" si="190"/>
        <v>171563</v>
      </c>
    </row>
    <row r="9238" spans="1:6" ht="30" x14ac:dyDescent="0.25">
      <c r="A9238" s="204">
        <v>44298</v>
      </c>
      <c r="B9238" s="205" t="s">
        <v>7701</v>
      </c>
      <c r="C9238" s="89" t="s">
        <v>7946</v>
      </c>
      <c r="D9238" s="8">
        <v>7580</v>
      </c>
      <c r="E9238" s="8"/>
      <c r="F9238" s="92">
        <f t="shared" si="190"/>
        <v>163983</v>
      </c>
    </row>
    <row r="9239" spans="1:6" x14ac:dyDescent="0.25">
      <c r="A9239" s="204">
        <v>44298</v>
      </c>
      <c r="B9239" s="205" t="s">
        <v>69</v>
      </c>
      <c r="C9239" s="89" t="s">
        <v>4736</v>
      </c>
      <c r="D9239" s="8">
        <v>500</v>
      </c>
      <c r="E9239" s="8"/>
      <c r="F9239" s="92">
        <f t="shared" si="190"/>
        <v>163483</v>
      </c>
    </row>
    <row r="9240" spans="1:6" x14ac:dyDescent="0.25">
      <c r="A9240" s="204">
        <v>44298</v>
      </c>
      <c r="B9240" s="26" t="s">
        <v>7953</v>
      </c>
      <c r="C9240" s="26" t="s">
        <v>7954</v>
      </c>
      <c r="D9240" s="8">
        <v>38000</v>
      </c>
      <c r="E9240" s="8"/>
      <c r="F9240" s="92">
        <f t="shared" si="190"/>
        <v>125483</v>
      </c>
    </row>
    <row r="9241" spans="1:6" x14ac:dyDescent="0.25">
      <c r="A9241" s="204">
        <v>44298</v>
      </c>
      <c r="B9241" s="26" t="s">
        <v>6877</v>
      </c>
      <c r="C9241" s="26" t="s">
        <v>5988</v>
      </c>
      <c r="D9241" s="8">
        <v>20000</v>
      </c>
      <c r="E9241" s="8"/>
      <c r="F9241" s="92">
        <f t="shared" si="190"/>
        <v>105483</v>
      </c>
    </row>
    <row r="9242" spans="1:6" x14ac:dyDescent="0.25">
      <c r="A9242" s="204">
        <v>44298</v>
      </c>
      <c r="B9242" s="456" t="s">
        <v>7955</v>
      </c>
      <c r="C9242" s="457"/>
      <c r="D9242" s="458"/>
      <c r="E9242" s="8">
        <v>10000</v>
      </c>
      <c r="F9242" s="92">
        <f t="shared" si="190"/>
        <v>115483</v>
      </c>
    </row>
    <row r="9243" spans="1:6" x14ac:dyDescent="0.25">
      <c r="A9243" s="204">
        <v>44298</v>
      </c>
      <c r="B9243" s="162" t="s">
        <v>1515</v>
      </c>
      <c r="C9243" s="162" t="s">
        <v>7950</v>
      </c>
      <c r="D9243" s="8">
        <v>38000</v>
      </c>
      <c r="E9243" s="8"/>
      <c r="F9243" s="92">
        <f t="shared" si="190"/>
        <v>77483</v>
      </c>
    </row>
    <row r="9244" spans="1:6" x14ac:dyDescent="0.25">
      <c r="A9244" s="204">
        <v>44298</v>
      </c>
      <c r="B9244" s="162" t="s">
        <v>1515</v>
      </c>
      <c r="C9244" s="162" t="s">
        <v>3622</v>
      </c>
      <c r="D9244" s="8">
        <v>45000</v>
      </c>
      <c r="E9244" s="8"/>
      <c r="F9244" s="92">
        <f t="shared" si="190"/>
        <v>32483</v>
      </c>
    </row>
    <row r="9245" spans="1:6" x14ac:dyDescent="0.25">
      <c r="A9245" s="204">
        <v>44298</v>
      </c>
      <c r="B9245" s="162" t="s">
        <v>1515</v>
      </c>
      <c r="C9245" s="162" t="s">
        <v>7951</v>
      </c>
      <c r="D9245" s="8">
        <v>12774</v>
      </c>
      <c r="E9245" s="8"/>
      <c r="F9245" s="92">
        <f t="shared" si="190"/>
        <v>19709</v>
      </c>
    </row>
    <row r="9246" spans="1:6" x14ac:dyDescent="0.25">
      <c r="A9246" s="204">
        <v>44298</v>
      </c>
      <c r="B9246" s="162" t="s">
        <v>1515</v>
      </c>
      <c r="C9246" s="162" t="s">
        <v>7952</v>
      </c>
      <c r="D9246" s="8">
        <v>11032</v>
      </c>
      <c r="E9246" s="8"/>
      <c r="F9246" s="92">
        <f t="shared" si="190"/>
        <v>8677</v>
      </c>
    </row>
    <row r="9247" spans="1:6" x14ac:dyDescent="0.25">
      <c r="A9247" s="204">
        <v>44298</v>
      </c>
      <c r="B9247" s="26" t="s">
        <v>26</v>
      </c>
      <c r="C9247" s="26" t="s">
        <v>4280</v>
      </c>
      <c r="D9247" s="8">
        <f>180+650+100+120+260+130+200+80+250+60+1000+260+300+300+60+50+200+1250+200+260+100+80+70+600+1100</f>
        <v>7860</v>
      </c>
      <c r="E9247" s="8"/>
      <c r="F9247" s="92">
        <f t="shared" si="190"/>
        <v>817</v>
      </c>
    </row>
    <row r="9248" spans="1:6" x14ac:dyDescent="0.25">
      <c r="A9248" s="204">
        <v>44298</v>
      </c>
      <c r="B9248" s="26" t="s">
        <v>26</v>
      </c>
      <c r="C9248" s="26" t="s">
        <v>7406</v>
      </c>
      <c r="D9248" s="8">
        <v>100</v>
      </c>
      <c r="E9248" s="8"/>
      <c r="F9248" s="92">
        <f t="shared" si="190"/>
        <v>717</v>
      </c>
    </row>
    <row r="9249" spans="1:6" x14ac:dyDescent="0.25">
      <c r="A9249" s="204">
        <v>44298</v>
      </c>
      <c r="B9249" s="456" t="s">
        <v>5771</v>
      </c>
      <c r="C9249" s="457"/>
      <c r="D9249" s="458"/>
      <c r="E9249" s="8">
        <v>100000</v>
      </c>
      <c r="F9249" s="92">
        <f t="shared" ref="F9249:F9250" si="191">F9248+E9249-D9249</f>
        <v>100717</v>
      </c>
    </row>
    <row r="9250" spans="1:6" x14ac:dyDescent="0.25">
      <c r="A9250" s="204">
        <v>44298</v>
      </c>
      <c r="B9250" s="26" t="s">
        <v>0</v>
      </c>
      <c r="C9250" s="26" t="s">
        <v>295</v>
      </c>
      <c r="D9250" s="8">
        <v>10000</v>
      </c>
      <c r="E9250" s="8"/>
      <c r="F9250" s="92">
        <f t="shared" si="191"/>
        <v>90717</v>
      </c>
    </row>
    <row r="9251" spans="1:6" x14ac:dyDescent="0.25">
      <c r="A9251" s="204">
        <v>44298</v>
      </c>
      <c r="B9251" s="87" t="s">
        <v>7960</v>
      </c>
      <c r="C9251" s="26" t="s">
        <v>7961</v>
      </c>
      <c r="D9251" s="8">
        <v>10000</v>
      </c>
      <c r="E9251" s="8"/>
      <c r="F9251" s="92">
        <f t="shared" si="190"/>
        <v>80717</v>
      </c>
    </row>
    <row r="9252" spans="1:6" x14ac:dyDescent="0.25">
      <c r="A9252" s="204">
        <v>44300</v>
      </c>
      <c r="B9252" s="26" t="s">
        <v>14</v>
      </c>
      <c r="C9252" s="26" t="s">
        <v>7962</v>
      </c>
      <c r="D9252" s="8">
        <v>11000</v>
      </c>
      <c r="E9252" s="8"/>
      <c r="F9252" s="92">
        <f t="shared" si="190"/>
        <v>69717</v>
      </c>
    </row>
    <row r="9253" spans="1:6" x14ac:dyDescent="0.25">
      <c r="A9253" s="204">
        <v>44300</v>
      </c>
      <c r="B9253" s="26" t="s">
        <v>14</v>
      </c>
      <c r="C9253" s="26" t="s">
        <v>295</v>
      </c>
      <c r="D9253" s="8">
        <v>15000</v>
      </c>
      <c r="E9253" s="8"/>
      <c r="F9253" s="92">
        <f t="shared" si="190"/>
        <v>54717</v>
      </c>
    </row>
    <row r="9254" spans="1:6" x14ac:dyDescent="0.25">
      <c r="A9254" s="204">
        <v>44300</v>
      </c>
      <c r="B9254" s="162" t="s">
        <v>1515</v>
      </c>
      <c r="C9254" s="162" t="s">
        <v>7963</v>
      </c>
      <c r="D9254" s="8">
        <f>16500+15000</f>
        <v>31500</v>
      </c>
      <c r="E9254" s="8"/>
      <c r="F9254" s="92">
        <f t="shared" si="190"/>
        <v>23217</v>
      </c>
    </row>
    <row r="9255" spans="1:6" x14ac:dyDescent="0.25">
      <c r="A9255" s="204">
        <v>44300</v>
      </c>
      <c r="B9255" s="26" t="s">
        <v>5479</v>
      </c>
      <c r="C9255" s="26" t="s">
        <v>7964</v>
      </c>
      <c r="D9255" s="8">
        <v>5750</v>
      </c>
      <c r="E9255" s="8"/>
      <c r="F9255" s="92">
        <f t="shared" si="190"/>
        <v>17467</v>
      </c>
    </row>
    <row r="9256" spans="1:6" x14ac:dyDescent="0.25">
      <c r="A9256" s="204">
        <v>44300</v>
      </c>
      <c r="B9256" s="29" t="s">
        <v>5485</v>
      </c>
      <c r="C9256" s="29" t="s">
        <v>7968</v>
      </c>
      <c r="D9256" s="8">
        <v>700</v>
      </c>
      <c r="E9256" s="8"/>
      <c r="F9256" s="92">
        <f t="shared" si="190"/>
        <v>16767</v>
      </c>
    </row>
    <row r="9257" spans="1:6" x14ac:dyDescent="0.25">
      <c r="A9257" s="204">
        <v>44300</v>
      </c>
      <c r="B9257" s="29" t="s">
        <v>5485</v>
      </c>
      <c r="C9257" s="26" t="s">
        <v>7969</v>
      </c>
      <c r="D9257" s="8">
        <v>650</v>
      </c>
      <c r="E9257" s="8"/>
      <c r="F9257" s="92">
        <f t="shared" si="190"/>
        <v>16117</v>
      </c>
    </row>
    <row r="9258" spans="1:6" x14ac:dyDescent="0.25">
      <c r="A9258" s="204">
        <v>44300</v>
      </c>
      <c r="B9258" s="456" t="s">
        <v>3448</v>
      </c>
      <c r="C9258" s="457"/>
      <c r="D9258" s="458"/>
      <c r="E9258" s="8">
        <v>100000</v>
      </c>
      <c r="F9258" s="92">
        <f t="shared" si="190"/>
        <v>116117</v>
      </c>
    </row>
    <row r="9259" spans="1:6" x14ac:dyDescent="0.25">
      <c r="A9259" s="204">
        <v>44300</v>
      </c>
      <c r="B9259" s="162" t="s">
        <v>1515</v>
      </c>
      <c r="C9259" s="162" t="s">
        <v>7971</v>
      </c>
      <c r="D9259" s="8">
        <v>81164</v>
      </c>
      <c r="E9259" s="8"/>
      <c r="F9259" s="92">
        <f t="shared" si="190"/>
        <v>34953</v>
      </c>
    </row>
    <row r="9260" spans="1:6" x14ac:dyDescent="0.25">
      <c r="A9260" s="204">
        <v>44300</v>
      </c>
      <c r="B9260" s="26" t="s">
        <v>6770</v>
      </c>
      <c r="C9260" s="26" t="s">
        <v>7972</v>
      </c>
      <c r="D9260" s="8">
        <v>3500</v>
      </c>
      <c r="E9260" s="8"/>
      <c r="F9260" s="92">
        <f t="shared" si="190"/>
        <v>31453</v>
      </c>
    </row>
    <row r="9261" spans="1:6" x14ac:dyDescent="0.25">
      <c r="A9261" s="204">
        <v>44300</v>
      </c>
      <c r="B9261" s="29" t="s">
        <v>65</v>
      </c>
      <c r="C9261" s="29" t="s">
        <v>7973</v>
      </c>
      <c r="D9261" s="8">
        <v>6000</v>
      </c>
      <c r="E9261" s="8"/>
      <c r="F9261" s="92">
        <f t="shared" si="190"/>
        <v>25453</v>
      </c>
    </row>
    <row r="9262" spans="1:6" x14ac:dyDescent="0.25">
      <c r="A9262" s="204">
        <v>44301</v>
      </c>
      <c r="B9262" s="29" t="s">
        <v>6293</v>
      </c>
      <c r="C9262" s="29" t="s">
        <v>41</v>
      </c>
      <c r="D9262" s="8">
        <v>20000</v>
      </c>
      <c r="E9262" s="8"/>
      <c r="F9262" s="92">
        <f t="shared" si="190"/>
        <v>5453</v>
      </c>
    </row>
    <row r="9263" spans="1:6" x14ac:dyDescent="0.25">
      <c r="A9263" s="204">
        <v>44301</v>
      </c>
      <c r="B9263" s="452" t="s">
        <v>5771</v>
      </c>
      <c r="C9263" s="452"/>
      <c r="D9263" s="452"/>
      <c r="E9263" s="8">
        <v>100000</v>
      </c>
      <c r="F9263" s="92">
        <f t="shared" si="190"/>
        <v>105453</v>
      </c>
    </row>
    <row r="9264" spans="1:6" x14ac:dyDescent="0.25">
      <c r="A9264" s="204">
        <v>44301</v>
      </c>
      <c r="B9264" s="29" t="s">
        <v>7976</v>
      </c>
      <c r="C9264" s="29" t="s">
        <v>7977</v>
      </c>
      <c r="D9264" s="8">
        <v>2827</v>
      </c>
      <c r="E9264" s="8"/>
      <c r="F9264" s="92">
        <f t="shared" si="190"/>
        <v>102626</v>
      </c>
    </row>
    <row r="9265" spans="1:6" x14ac:dyDescent="0.25">
      <c r="A9265" s="204">
        <v>44301</v>
      </c>
      <c r="B9265" s="29" t="s">
        <v>4059</v>
      </c>
      <c r="C9265" s="29" t="s">
        <v>295</v>
      </c>
      <c r="D9265" s="8">
        <v>2700</v>
      </c>
      <c r="E9265" s="8"/>
      <c r="F9265" s="92">
        <f t="shared" si="190"/>
        <v>99926</v>
      </c>
    </row>
    <row r="9266" spans="1:6" x14ac:dyDescent="0.25">
      <c r="A9266" s="204">
        <v>44301</v>
      </c>
      <c r="B9266" s="26" t="s">
        <v>7729</v>
      </c>
      <c r="C9266" s="26" t="s">
        <v>7978</v>
      </c>
      <c r="D9266" s="8">
        <v>30000</v>
      </c>
      <c r="E9266" s="8"/>
      <c r="F9266" s="92">
        <f t="shared" si="190"/>
        <v>69926</v>
      </c>
    </row>
    <row r="9267" spans="1:6" x14ac:dyDescent="0.25">
      <c r="A9267" s="204">
        <v>44301</v>
      </c>
      <c r="B9267" s="26" t="s">
        <v>4776</v>
      </c>
      <c r="C9267" s="26" t="s">
        <v>295</v>
      </c>
      <c r="D9267" s="8">
        <v>30000</v>
      </c>
      <c r="E9267" s="8"/>
      <c r="F9267" s="92">
        <f t="shared" si="190"/>
        <v>39926</v>
      </c>
    </row>
    <row r="9268" spans="1:6" x14ac:dyDescent="0.25">
      <c r="A9268" s="204">
        <v>44301</v>
      </c>
      <c r="B9268" s="26" t="s">
        <v>6770</v>
      </c>
      <c r="C9268" s="26" t="s">
        <v>7451</v>
      </c>
      <c r="D9268" s="8">
        <v>15000</v>
      </c>
      <c r="E9268" s="8"/>
      <c r="F9268" s="92">
        <f t="shared" si="190"/>
        <v>24926</v>
      </c>
    </row>
    <row r="9269" spans="1:6" x14ac:dyDescent="0.25">
      <c r="A9269" s="204">
        <v>44301</v>
      </c>
      <c r="B9269" s="26" t="s">
        <v>4059</v>
      </c>
      <c r="C9269" s="137" t="s">
        <v>7979</v>
      </c>
      <c r="D9269" s="8">
        <v>2000</v>
      </c>
      <c r="E9269" s="8"/>
      <c r="F9269" s="92">
        <f t="shared" si="190"/>
        <v>22926</v>
      </c>
    </row>
    <row r="9270" spans="1:6" x14ac:dyDescent="0.25">
      <c r="A9270" s="204">
        <v>44301</v>
      </c>
      <c r="B9270" s="162" t="s">
        <v>1515</v>
      </c>
      <c r="C9270" s="162" t="s">
        <v>7985</v>
      </c>
      <c r="D9270" s="8">
        <v>6000</v>
      </c>
      <c r="E9270" s="8"/>
      <c r="F9270" s="92">
        <f t="shared" ref="F9270" si="192">F9269+E9270-D9270</f>
        <v>16926</v>
      </c>
    </row>
    <row r="9271" spans="1:6" x14ac:dyDescent="0.25">
      <c r="A9271" s="204">
        <v>44301</v>
      </c>
      <c r="B9271" s="26" t="s">
        <v>58</v>
      </c>
      <c r="C9271" s="26" t="s">
        <v>7996</v>
      </c>
      <c r="D9271" s="8">
        <v>1000</v>
      </c>
      <c r="E9271" s="8"/>
      <c r="F9271" s="92">
        <f t="shared" si="190"/>
        <v>15926</v>
      </c>
    </row>
    <row r="9272" spans="1:6" x14ac:dyDescent="0.25">
      <c r="A9272" s="204">
        <v>44302</v>
      </c>
      <c r="B9272" s="26" t="s">
        <v>14</v>
      </c>
      <c r="C9272" s="26" t="s">
        <v>7042</v>
      </c>
      <c r="D9272" s="8">
        <v>1000</v>
      </c>
      <c r="E9272" s="8"/>
      <c r="F9272" s="92">
        <f t="shared" si="190"/>
        <v>14926</v>
      </c>
    </row>
    <row r="9273" spans="1:6" x14ac:dyDescent="0.25">
      <c r="A9273" s="204">
        <v>44302</v>
      </c>
      <c r="B9273" s="26" t="s">
        <v>5485</v>
      </c>
      <c r="C9273" s="26" t="s">
        <v>7981</v>
      </c>
      <c r="D9273" s="8">
        <v>3000</v>
      </c>
      <c r="E9273" s="8"/>
      <c r="F9273" s="92">
        <f t="shared" si="190"/>
        <v>11926</v>
      </c>
    </row>
    <row r="9274" spans="1:6" x14ac:dyDescent="0.25">
      <c r="A9274" s="204">
        <v>44304</v>
      </c>
      <c r="B9274" s="452" t="s">
        <v>5771</v>
      </c>
      <c r="C9274" s="452"/>
      <c r="D9274" s="452"/>
      <c r="E9274" s="8">
        <v>100000</v>
      </c>
      <c r="F9274" s="92">
        <f t="shared" ref="F9274" si="193">F9273+E9274-D9274</f>
        <v>111926</v>
      </c>
    </row>
    <row r="9275" spans="1:6" x14ac:dyDescent="0.25">
      <c r="A9275" s="204">
        <v>44304</v>
      </c>
      <c r="B9275" s="29" t="s">
        <v>85</v>
      </c>
      <c r="C9275" s="29" t="s">
        <v>7982</v>
      </c>
      <c r="D9275" s="8">
        <v>10000</v>
      </c>
      <c r="E9275" s="8"/>
      <c r="F9275" s="92">
        <f t="shared" si="190"/>
        <v>101926</v>
      </c>
    </row>
    <row r="9276" spans="1:6" x14ac:dyDescent="0.25">
      <c r="A9276" s="204">
        <v>44305</v>
      </c>
      <c r="B9276" s="29" t="s">
        <v>1840</v>
      </c>
      <c r="C9276" s="29" t="s">
        <v>7857</v>
      </c>
      <c r="D9276" s="8">
        <v>2000</v>
      </c>
      <c r="E9276" s="8"/>
      <c r="F9276" s="92">
        <f t="shared" si="190"/>
        <v>99926</v>
      </c>
    </row>
    <row r="9277" spans="1:6" ht="30" x14ac:dyDescent="0.25">
      <c r="A9277" s="204">
        <v>44305</v>
      </c>
      <c r="B9277" s="138" t="s">
        <v>69</v>
      </c>
      <c r="C9277" s="279" t="s">
        <v>8097</v>
      </c>
      <c r="D9277" s="139">
        <v>17000</v>
      </c>
      <c r="E9277" s="8"/>
      <c r="F9277" s="92">
        <f t="shared" si="190"/>
        <v>82926</v>
      </c>
    </row>
    <row r="9278" spans="1:6" x14ac:dyDescent="0.25">
      <c r="A9278" s="204">
        <v>44305</v>
      </c>
      <c r="B9278" s="29" t="s">
        <v>1840</v>
      </c>
      <c r="C9278" s="29" t="s">
        <v>7983</v>
      </c>
      <c r="D9278" s="8">
        <v>1000</v>
      </c>
      <c r="E9278" s="8"/>
      <c r="F9278" s="92">
        <f t="shared" si="190"/>
        <v>81926</v>
      </c>
    </row>
    <row r="9279" spans="1:6" x14ac:dyDescent="0.25">
      <c r="A9279" s="204">
        <v>44305</v>
      </c>
      <c r="B9279" s="29" t="s">
        <v>1840</v>
      </c>
      <c r="C9279" s="26" t="s">
        <v>7984</v>
      </c>
      <c r="D9279" s="8">
        <v>8000</v>
      </c>
      <c r="E9279" s="8"/>
      <c r="F9279" s="92">
        <f t="shared" si="190"/>
        <v>73926</v>
      </c>
    </row>
    <row r="9280" spans="1:6" x14ac:dyDescent="0.25">
      <c r="A9280" s="204">
        <v>44305</v>
      </c>
      <c r="B9280" s="29" t="s">
        <v>1077</v>
      </c>
      <c r="C9280" s="26" t="s">
        <v>7986</v>
      </c>
      <c r="D9280" s="8">
        <f>1370+2520+2790+4880</f>
        <v>11560</v>
      </c>
      <c r="E9280" s="8"/>
      <c r="F9280" s="92">
        <f t="shared" si="190"/>
        <v>62366</v>
      </c>
    </row>
    <row r="9281" spans="1:6" x14ac:dyDescent="0.25">
      <c r="A9281" s="204">
        <v>44306</v>
      </c>
      <c r="B9281" s="26" t="s">
        <v>5140</v>
      </c>
      <c r="C9281" s="26" t="s">
        <v>41</v>
      </c>
      <c r="D9281" s="8">
        <v>4370</v>
      </c>
      <c r="E9281" s="8"/>
      <c r="F9281" s="92">
        <f t="shared" si="190"/>
        <v>57996</v>
      </c>
    </row>
    <row r="9282" spans="1:6" x14ac:dyDescent="0.25">
      <c r="A9282" s="204">
        <v>44306</v>
      </c>
      <c r="B9282" s="26" t="s">
        <v>7988</v>
      </c>
      <c r="C9282" s="26" t="s">
        <v>7989</v>
      </c>
      <c r="D9282" s="8">
        <v>53250</v>
      </c>
      <c r="E9282" s="8"/>
      <c r="F9282" s="92">
        <f t="shared" si="190"/>
        <v>4746</v>
      </c>
    </row>
    <row r="9283" spans="1:6" x14ac:dyDescent="0.25">
      <c r="A9283" s="204">
        <v>44307</v>
      </c>
      <c r="B9283" s="452" t="s">
        <v>7992</v>
      </c>
      <c r="C9283" s="452"/>
      <c r="D9283" s="452"/>
      <c r="E9283" s="8">
        <v>25000</v>
      </c>
      <c r="F9283" s="92">
        <f t="shared" si="190"/>
        <v>29746</v>
      </c>
    </row>
    <row r="9284" spans="1:6" x14ac:dyDescent="0.25">
      <c r="A9284" s="204">
        <v>44307</v>
      </c>
      <c r="B9284" s="26" t="s">
        <v>7628</v>
      </c>
      <c r="C9284" s="26" t="s">
        <v>5853</v>
      </c>
      <c r="D9284" s="8">
        <v>5000</v>
      </c>
      <c r="E9284" s="8"/>
      <c r="F9284" s="92">
        <f t="shared" si="190"/>
        <v>24746</v>
      </c>
    </row>
    <row r="9285" spans="1:6" x14ac:dyDescent="0.25">
      <c r="A9285" s="204">
        <v>44307</v>
      </c>
      <c r="B9285" s="26" t="s">
        <v>7993</v>
      </c>
      <c r="C9285" s="26" t="s">
        <v>7994</v>
      </c>
      <c r="D9285" s="8">
        <v>5000</v>
      </c>
      <c r="E9285" s="8"/>
      <c r="F9285" s="92">
        <f t="shared" si="190"/>
        <v>19746</v>
      </c>
    </row>
    <row r="9286" spans="1:6" x14ac:dyDescent="0.25">
      <c r="A9286" s="204">
        <v>44307</v>
      </c>
      <c r="B9286" s="26" t="s">
        <v>26</v>
      </c>
      <c r="C9286" s="26" t="s">
        <v>4280</v>
      </c>
      <c r="D9286" s="8">
        <f>1000+1550+300+200+600</f>
        <v>3650</v>
      </c>
      <c r="E9286" s="8"/>
      <c r="F9286" s="92">
        <f t="shared" ref="F9286:F9349" si="194">F9285+E9286-D9286</f>
        <v>16096</v>
      </c>
    </row>
    <row r="9287" spans="1:6" x14ac:dyDescent="0.25">
      <c r="A9287" s="204">
        <v>44307</v>
      </c>
      <c r="B9287" s="452" t="s">
        <v>7997</v>
      </c>
      <c r="C9287" s="452"/>
      <c r="D9287" s="452"/>
      <c r="E9287" s="8">
        <v>20000</v>
      </c>
      <c r="F9287" s="92">
        <f t="shared" si="194"/>
        <v>36096</v>
      </c>
    </row>
    <row r="9288" spans="1:6" x14ac:dyDescent="0.25">
      <c r="A9288" s="204">
        <v>44307</v>
      </c>
      <c r="B9288" s="29" t="s">
        <v>19</v>
      </c>
      <c r="C9288" s="29" t="s">
        <v>7995</v>
      </c>
      <c r="D9288" s="8">
        <v>33000</v>
      </c>
      <c r="E9288" s="8"/>
      <c r="F9288" s="92">
        <f t="shared" si="194"/>
        <v>3096</v>
      </c>
    </row>
    <row r="9289" spans="1:6" x14ac:dyDescent="0.25">
      <c r="A9289" s="204">
        <v>44308</v>
      </c>
      <c r="B9289" s="452" t="s">
        <v>5771</v>
      </c>
      <c r="C9289" s="452"/>
      <c r="D9289" s="452"/>
      <c r="E9289" s="8">
        <v>90000</v>
      </c>
      <c r="F9289" s="92">
        <f t="shared" si="194"/>
        <v>93096</v>
      </c>
    </row>
    <row r="9290" spans="1:6" x14ac:dyDescent="0.25">
      <c r="A9290" s="204">
        <v>44308</v>
      </c>
      <c r="B9290" s="26" t="s">
        <v>85</v>
      </c>
      <c r="C9290" s="26" t="s">
        <v>8000</v>
      </c>
      <c r="D9290" s="8">
        <v>20000</v>
      </c>
      <c r="E9290" s="8"/>
      <c r="F9290" s="92">
        <f t="shared" si="194"/>
        <v>73096</v>
      </c>
    </row>
    <row r="9291" spans="1:6" x14ac:dyDescent="0.25">
      <c r="A9291" s="204">
        <v>44308</v>
      </c>
      <c r="B9291" s="26" t="s">
        <v>7998</v>
      </c>
      <c r="C9291" s="26" t="s">
        <v>7999</v>
      </c>
      <c r="D9291" s="8">
        <v>20000</v>
      </c>
      <c r="E9291" s="8"/>
      <c r="F9291" s="92">
        <f t="shared" si="194"/>
        <v>53096</v>
      </c>
    </row>
    <row r="9292" spans="1:6" x14ac:dyDescent="0.25">
      <c r="A9292" s="204">
        <v>44309</v>
      </c>
      <c r="B9292" s="26" t="s">
        <v>7771</v>
      </c>
      <c r="C9292" s="26" t="s">
        <v>4191</v>
      </c>
      <c r="D9292" s="8">
        <v>600</v>
      </c>
      <c r="E9292" s="8"/>
      <c r="F9292" s="92">
        <f t="shared" si="194"/>
        <v>52496</v>
      </c>
    </row>
    <row r="9293" spans="1:6" x14ac:dyDescent="0.25">
      <c r="A9293" s="204">
        <v>44309</v>
      </c>
      <c r="B9293" s="26" t="s">
        <v>7771</v>
      </c>
      <c r="C9293" s="26" t="s">
        <v>8001</v>
      </c>
      <c r="D9293" s="8">
        <v>1000</v>
      </c>
      <c r="E9293" s="8"/>
      <c r="F9293" s="92">
        <f t="shared" si="194"/>
        <v>51496</v>
      </c>
    </row>
    <row r="9294" spans="1:6" x14ac:dyDescent="0.25">
      <c r="A9294" s="204">
        <v>44309</v>
      </c>
      <c r="B9294" s="26" t="s">
        <v>58</v>
      </c>
      <c r="C9294" s="26" t="s">
        <v>8027</v>
      </c>
      <c r="D9294" s="8">
        <v>1000</v>
      </c>
      <c r="E9294" s="8"/>
      <c r="F9294" s="92">
        <f t="shared" si="194"/>
        <v>50496</v>
      </c>
    </row>
    <row r="9295" spans="1:6" x14ac:dyDescent="0.25">
      <c r="A9295" s="204">
        <v>44310</v>
      </c>
      <c r="B9295" s="26" t="s">
        <v>1840</v>
      </c>
      <c r="C9295" s="26" t="s">
        <v>8005</v>
      </c>
      <c r="D9295" s="8">
        <v>1000</v>
      </c>
      <c r="E9295" s="8"/>
      <c r="F9295" s="92">
        <f t="shared" si="194"/>
        <v>49496</v>
      </c>
    </row>
    <row r="9296" spans="1:6" x14ac:dyDescent="0.25">
      <c r="A9296" s="204">
        <v>44310</v>
      </c>
      <c r="B9296" s="26" t="s">
        <v>19</v>
      </c>
      <c r="C9296" s="26" t="s">
        <v>8006</v>
      </c>
      <c r="D9296" s="8">
        <v>33000</v>
      </c>
      <c r="E9296" s="8"/>
      <c r="F9296" s="92">
        <f t="shared" si="194"/>
        <v>16496</v>
      </c>
    </row>
    <row r="9297" spans="1:6" x14ac:dyDescent="0.25">
      <c r="A9297" s="204">
        <v>44310</v>
      </c>
      <c r="B9297" s="26" t="s">
        <v>1619</v>
      </c>
      <c r="C9297" s="26" t="s">
        <v>641</v>
      </c>
      <c r="D9297" s="8">
        <v>1500</v>
      </c>
      <c r="E9297" s="8"/>
      <c r="F9297" s="92">
        <f t="shared" si="194"/>
        <v>14996</v>
      </c>
    </row>
    <row r="9298" spans="1:6" x14ac:dyDescent="0.25">
      <c r="A9298" s="204">
        <v>44310</v>
      </c>
      <c r="B9298" s="26" t="s">
        <v>6877</v>
      </c>
      <c r="C9298" s="26" t="s">
        <v>3561</v>
      </c>
      <c r="D9298" s="8">
        <v>3000</v>
      </c>
      <c r="E9298" s="8"/>
      <c r="F9298" s="92">
        <f t="shared" si="194"/>
        <v>11996</v>
      </c>
    </row>
    <row r="9299" spans="1:6" x14ac:dyDescent="0.25">
      <c r="A9299" s="204">
        <v>44310</v>
      </c>
      <c r="B9299" s="26" t="s">
        <v>85</v>
      </c>
      <c r="C9299" s="26" t="s">
        <v>8010</v>
      </c>
      <c r="D9299" s="8">
        <v>5000</v>
      </c>
      <c r="E9299" s="8"/>
      <c r="F9299" s="92">
        <f t="shared" si="194"/>
        <v>6996</v>
      </c>
    </row>
    <row r="9300" spans="1:6" x14ac:dyDescent="0.25">
      <c r="A9300" s="204">
        <v>44310</v>
      </c>
      <c r="B9300" s="452" t="s">
        <v>5771</v>
      </c>
      <c r="C9300" s="452"/>
      <c r="D9300" s="452"/>
      <c r="E9300" s="8">
        <v>100000</v>
      </c>
      <c r="F9300" s="92">
        <f t="shared" ref="F9300" si="195">F9299+E9300-D9300</f>
        <v>106996</v>
      </c>
    </row>
    <row r="9301" spans="1:6" x14ac:dyDescent="0.25">
      <c r="A9301" s="204">
        <v>44310</v>
      </c>
      <c r="B9301" s="29" t="s">
        <v>0</v>
      </c>
      <c r="C9301" s="29" t="s">
        <v>295</v>
      </c>
      <c r="D9301" s="8">
        <v>30000</v>
      </c>
      <c r="E9301" s="8"/>
      <c r="F9301" s="92">
        <f t="shared" si="194"/>
        <v>76996</v>
      </c>
    </row>
    <row r="9302" spans="1:6" x14ac:dyDescent="0.25">
      <c r="A9302" s="204">
        <v>44310</v>
      </c>
      <c r="B9302" s="29" t="s">
        <v>85</v>
      </c>
      <c r="C9302" s="29" t="s">
        <v>8011</v>
      </c>
      <c r="D9302" s="8">
        <v>5000</v>
      </c>
      <c r="E9302" s="8"/>
      <c r="F9302" s="92">
        <f t="shared" si="194"/>
        <v>71996</v>
      </c>
    </row>
    <row r="9303" spans="1:6" x14ac:dyDescent="0.25">
      <c r="A9303" s="204">
        <v>44310</v>
      </c>
      <c r="B9303" s="29" t="s">
        <v>1840</v>
      </c>
      <c r="C9303" s="29" t="s">
        <v>8013</v>
      </c>
      <c r="D9303" s="8">
        <v>400</v>
      </c>
      <c r="E9303" s="8"/>
      <c r="F9303" s="92">
        <f t="shared" si="194"/>
        <v>71596</v>
      </c>
    </row>
    <row r="9304" spans="1:6" x14ac:dyDescent="0.25">
      <c r="A9304" s="204">
        <v>44312</v>
      </c>
      <c r="B9304" s="26" t="s">
        <v>85</v>
      </c>
      <c r="C9304" s="26" t="s">
        <v>8015</v>
      </c>
      <c r="D9304" s="8">
        <v>5000</v>
      </c>
      <c r="E9304" s="8"/>
      <c r="F9304" s="92">
        <f t="shared" ref="F9304" si="196">F9303+E9304-D9304</f>
        <v>66596</v>
      </c>
    </row>
    <row r="9305" spans="1:6" x14ac:dyDescent="0.25">
      <c r="A9305" s="204">
        <v>44312</v>
      </c>
      <c r="B9305" s="29" t="s">
        <v>4776</v>
      </c>
      <c r="C9305" s="29" t="s">
        <v>295</v>
      </c>
      <c r="D9305" s="8">
        <v>22000</v>
      </c>
      <c r="E9305" s="8"/>
      <c r="F9305" s="92">
        <f t="shared" si="194"/>
        <v>44596</v>
      </c>
    </row>
    <row r="9306" spans="1:6" x14ac:dyDescent="0.25">
      <c r="A9306" s="204">
        <v>44312</v>
      </c>
      <c r="B9306" s="452" t="s">
        <v>5771</v>
      </c>
      <c r="C9306" s="452"/>
      <c r="D9306" s="452"/>
      <c r="E9306" s="8">
        <v>50000</v>
      </c>
      <c r="F9306" s="92">
        <f t="shared" si="194"/>
        <v>94596</v>
      </c>
    </row>
    <row r="9307" spans="1:6" x14ac:dyDescent="0.25">
      <c r="A9307" s="204">
        <v>44312</v>
      </c>
      <c r="B9307" s="137" t="s">
        <v>19</v>
      </c>
      <c r="C9307" s="137" t="s">
        <v>8026</v>
      </c>
      <c r="D9307" s="139">
        <v>53600</v>
      </c>
      <c r="E9307" s="8"/>
      <c r="F9307" s="92">
        <f t="shared" si="194"/>
        <v>40996</v>
      </c>
    </row>
    <row r="9308" spans="1:6" x14ac:dyDescent="0.25">
      <c r="A9308" s="204">
        <v>44312</v>
      </c>
      <c r="B9308" s="26" t="s">
        <v>8016</v>
      </c>
      <c r="C9308" s="26" t="s">
        <v>8017</v>
      </c>
      <c r="D9308" s="8">
        <v>20000</v>
      </c>
      <c r="E9308" s="8"/>
      <c r="F9308" s="92">
        <f t="shared" si="194"/>
        <v>20996</v>
      </c>
    </row>
    <row r="9309" spans="1:6" x14ac:dyDescent="0.25">
      <c r="A9309" s="204">
        <v>44312</v>
      </c>
      <c r="B9309" s="26" t="s">
        <v>8016</v>
      </c>
      <c r="C9309" s="26" t="s">
        <v>8018</v>
      </c>
      <c r="D9309" s="8">
        <v>20000</v>
      </c>
      <c r="E9309" s="8"/>
      <c r="F9309" s="92">
        <f t="shared" si="194"/>
        <v>996</v>
      </c>
    </row>
    <row r="9310" spans="1:6" x14ac:dyDescent="0.25">
      <c r="A9310" s="204">
        <v>44312</v>
      </c>
      <c r="B9310" s="452" t="s">
        <v>5771</v>
      </c>
      <c r="C9310" s="452"/>
      <c r="D9310" s="452"/>
      <c r="E9310" s="8">
        <v>50000</v>
      </c>
      <c r="F9310" s="92">
        <f t="shared" ref="F9310:F9312" si="197">F9309+E9310-D9310</f>
        <v>50996</v>
      </c>
    </row>
    <row r="9311" spans="1:6" x14ac:dyDescent="0.25">
      <c r="A9311" s="204">
        <v>44312</v>
      </c>
      <c r="B9311" s="26" t="s">
        <v>8019</v>
      </c>
      <c r="C9311" s="26" t="s">
        <v>8020</v>
      </c>
      <c r="D9311" s="8">
        <v>44000</v>
      </c>
      <c r="E9311" s="8"/>
      <c r="F9311" s="92">
        <f t="shared" si="197"/>
        <v>6996</v>
      </c>
    </row>
    <row r="9312" spans="1:6" x14ac:dyDescent="0.25">
      <c r="A9312" s="204">
        <v>44312</v>
      </c>
      <c r="B9312" s="26" t="s">
        <v>7460</v>
      </c>
      <c r="C9312" s="26" t="s">
        <v>8021</v>
      </c>
      <c r="D9312" s="8">
        <v>5000</v>
      </c>
      <c r="E9312" s="8"/>
      <c r="F9312" s="92">
        <f t="shared" si="197"/>
        <v>1996</v>
      </c>
    </row>
    <row r="9313" spans="1:7" x14ac:dyDescent="0.25">
      <c r="A9313" s="204">
        <v>44313</v>
      </c>
      <c r="B9313" s="26" t="s">
        <v>57</v>
      </c>
      <c r="C9313" s="26" t="s">
        <v>2016</v>
      </c>
      <c r="D9313" s="8">
        <v>220</v>
      </c>
      <c r="E9313" s="8"/>
      <c r="F9313" s="92">
        <f t="shared" si="194"/>
        <v>1776</v>
      </c>
    </row>
    <row r="9314" spans="1:7" x14ac:dyDescent="0.25">
      <c r="A9314" s="204">
        <v>44314</v>
      </c>
      <c r="B9314" s="452" t="s">
        <v>8025</v>
      </c>
      <c r="C9314" s="452"/>
      <c r="D9314" s="452"/>
      <c r="E9314" s="8">
        <v>201000</v>
      </c>
      <c r="F9314" s="92">
        <f t="shared" si="194"/>
        <v>202776</v>
      </c>
    </row>
    <row r="9315" spans="1:7" x14ac:dyDescent="0.25">
      <c r="A9315" s="204">
        <v>44314</v>
      </c>
      <c r="B9315" s="26" t="s">
        <v>7628</v>
      </c>
      <c r="C9315" s="26" t="s">
        <v>295</v>
      </c>
      <c r="D9315" s="8">
        <v>8000</v>
      </c>
      <c r="E9315" s="8"/>
      <c r="F9315" s="92">
        <f t="shared" si="194"/>
        <v>194776</v>
      </c>
    </row>
    <row r="9316" spans="1:7" x14ac:dyDescent="0.25">
      <c r="A9316" s="204">
        <v>44314</v>
      </c>
      <c r="B9316" s="26" t="s">
        <v>19</v>
      </c>
      <c r="C9316" s="137" t="s">
        <v>8026</v>
      </c>
      <c r="D9316" s="8">
        <v>39000</v>
      </c>
      <c r="E9316" s="8"/>
      <c r="F9316" s="92">
        <f t="shared" si="194"/>
        <v>155776</v>
      </c>
    </row>
    <row r="9317" spans="1:7" x14ac:dyDescent="0.25">
      <c r="A9317" s="204">
        <v>44314</v>
      </c>
      <c r="B9317" s="29" t="s">
        <v>5479</v>
      </c>
      <c r="C9317" s="29" t="s">
        <v>7483</v>
      </c>
      <c r="D9317" s="8">
        <v>720</v>
      </c>
      <c r="E9317" s="8"/>
      <c r="F9317" s="92">
        <f t="shared" si="194"/>
        <v>155056</v>
      </c>
    </row>
    <row r="9318" spans="1:7" x14ac:dyDescent="0.25">
      <c r="A9318" s="204">
        <v>44314</v>
      </c>
      <c r="B9318" s="26" t="s">
        <v>58</v>
      </c>
      <c r="C9318" s="26" t="s">
        <v>8004</v>
      </c>
      <c r="D9318" s="8">
        <v>2000</v>
      </c>
      <c r="E9318" s="8"/>
      <c r="F9318" s="92">
        <f t="shared" si="194"/>
        <v>153056</v>
      </c>
    </row>
    <row r="9319" spans="1:7" x14ac:dyDescent="0.25">
      <c r="A9319" s="204">
        <v>44315</v>
      </c>
      <c r="B9319" s="26" t="s">
        <v>7701</v>
      </c>
      <c r="C9319" s="26" t="s">
        <v>8028</v>
      </c>
      <c r="D9319" s="8">
        <v>5000</v>
      </c>
      <c r="E9319" s="8"/>
      <c r="F9319" s="92">
        <f t="shared" si="194"/>
        <v>148056</v>
      </c>
    </row>
    <row r="9320" spans="1:7" x14ac:dyDescent="0.25">
      <c r="A9320" s="204">
        <v>44315</v>
      </c>
      <c r="B9320" s="26" t="s">
        <v>7960</v>
      </c>
      <c r="C9320" s="26" t="s">
        <v>8029</v>
      </c>
      <c r="D9320" s="8">
        <v>6500</v>
      </c>
      <c r="E9320" s="8"/>
      <c r="F9320" s="92">
        <f t="shared" si="194"/>
        <v>141556</v>
      </c>
    </row>
    <row r="9321" spans="1:7" x14ac:dyDescent="0.25">
      <c r="A9321" s="204">
        <v>44315</v>
      </c>
      <c r="B9321" s="26" t="s">
        <v>6063</v>
      </c>
      <c r="C9321" s="26" t="s">
        <v>295</v>
      </c>
      <c r="D9321" s="8">
        <v>5000</v>
      </c>
      <c r="E9321" s="8"/>
      <c r="F9321" s="92">
        <f t="shared" si="194"/>
        <v>136556</v>
      </c>
    </row>
    <row r="9322" spans="1:7" x14ac:dyDescent="0.25">
      <c r="A9322" s="204">
        <v>44316</v>
      </c>
      <c r="B9322" s="26" t="s">
        <v>48</v>
      </c>
      <c r="C9322" s="26" t="s">
        <v>8031</v>
      </c>
      <c r="D9322" s="8">
        <v>1500</v>
      </c>
      <c r="E9322" s="8"/>
      <c r="F9322" s="92">
        <f t="shared" si="194"/>
        <v>135056</v>
      </c>
    </row>
    <row r="9323" spans="1:7" x14ac:dyDescent="0.25">
      <c r="A9323" s="204">
        <v>44316</v>
      </c>
      <c r="B9323" s="26" t="s">
        <v>542</v>
      </c>
      <c r="C9323" s="26" t="s">
        <v>5711</v>
      </c>
      <c r="D9323" s="8">
        <v>600</v>
      </c>
      <c r="E9323" s="8"/>
      <c r="F9323" s="92">
        <f t="shared" si="194"/>
        <v>134456</v>
      </c>
    </row>
    <row r="9324" spans="1:7" x14ac:dyDescent="0.25">
      <c r="A9324" s="204">
        <v>44319</v>
      </c>
      <c r="B9324" s="26" t="s">
        <v>14</v>
      </c>
      <c r="C9324" s="26" t="s">
        <v>8032</v>
      </c>
      <c r="D9324" s="8">
        <v>1000</v>
      </c>
      <c r="E9324" s="8"/>
      <c r="F9324" s="92">
        <f t="shared" si="194"/>
        <v>133456</v>
      </c>
      <c r="G9324" s="25"/>
    </row>
    <row r="9325" spans="1:7" x14ac:dyDescent="0.25">
      <c r="A9325" s="204">
        <v>44319</v>
      </c>
      <c r="B9325" s="26" t="s">
        <v>58</v>
      </c>
      <c r="C9325" s="26" t="s">
        <v>8033</v>
      </c>
      <c r="D9325" s="8">
        <v>1000</v>
      </c>
      <c r="E9325" s="8"/>
      <c r="F9325" s="92">
        <f t="shared" si="194"/>
        <v>132456</v>
      </c>
    </row>
    <row r="9326" spans="1:7" ht="30" x14ac:dyDescent="0.25">
      <c r="A9326" s="204">
        <v>44319</v>
      </c>
      <c r="B9326" s="199" t="s">
        <v>4776</v>
      </c>
      <c r="C9326" s="207" t="s">
        <v>8034</v>
      </c>
      <c r="D9326" s="91">
        <v>40000</v>
      </c>
      <c r="E9326" s="91"/>
      <c r="F9326" s="92">
        <f t="shared" si="194"/>
        <v>92456</v>
      </c>
    </row>
    <row r="9327" spans="1:7" x14ac:dyDescent="0.25">
      <c r="A9327" s="204">
        <v>44319</v>
      </c>
      <c r="B9327" s="29" t="s">
        <v>5140</v>
      </c>
      <c r="C9327" s="29" t="s">
        <v>41</v>
      </c>
      <c r="D9327" s="8">
        <v>4162</v>
      </c>
      <c r="E9327" s="8"/>
      <c r="F9327" s="92">
        <f t="shared" si="194"/>
        <v>88294</v>
      </c>
    </row>
    <row r="9328" spans="1:7" x14ac:dyDescent="0.25">
      <c r="A9328" s="204">
        <v>44319</v>
      </c>
      <c r="B9328" s="29" t="s">
        <v>1077</v>
      </c>
      <c r="C9328" s="26" t="s">
        <v>5239</v>
      </c>
      <c r="D9328" s="8">
        <v>526</v>
      </c>
      <c r="E9328" s="8"/>
      <c r="F9328" s="92">
        <f t="shared" si="194"/>
        <v>87768</v>
      </c>
    </row>
    <row r="9329" spans="1:13" x14ac:dyDescent="0.25">
      <c r="A9329" s="204">
        <v>44319</v>
      </c>
      <c r="B9329" s="29" t="s">
        <v>0</v>
      </c>
      <c r="C9329" s="29" t="s">
        <v>4354</v>
      </c>
      <c r="D9329" s="8">
        <v>15000</v>
      </c>
      <c r="E9329" s="8"/>
      <c r="F9329" s="92">
        <f t="shared" si="194"/>
        <v>72768</v>
      </c>
    </row>
    <row r="9330" spans="1:13" x14ac:dyDescent="0.25">
      <c r="A9330" s="204">
        <v>44319</v>
      </c>
      <c r="B9330" s="29" t="s">
        <v>7769</v>
      </c>
      <c r="C9330" s="29" t="s">
        <v>8035</v>
      </c>
      <c r="D9330" s="8">
        <v>30000</v>
      </c>
      <c r="E9330" s="8"/>
      <c r="F9330" s="92">
        <f t="shared" si="194"/>
        <v>42768</v>
      </c>
    </row>
    <row r="9331" spans="1:13" x14ac:dyDescent="0.25">
      <c r="A9331" s="204">
        <v>44319</v>
      </c>
      <c r="B9331" s="29" t="s">
        <v>14</v>
      </c>
      <c r="C9331" s="29" t="s">
        <v>8036</v>
      </c>
      <c r="D9331" s="8">
        <v>6503</v>
      </c>
      <c r="E9331" s="8"/>
      <c r="F9331" s="92">
        <f t="shared" si="194"/>
        <v>36265</v>
      </c>
    </row>
    <row r="9332" spans="1:13" x14ac:dyDescent="0.25">
      <c r="A9332" s="204">
        <v>44319</v>
      </c>
      <c r="B9332" s="26" t="s">
        <v>1515</v>
      </c>
      <c r="C9332" s="26" t="s">
        <v>8039</v>
      </c>
      <c r="D9332" s="8">
        <v>2000</v>
      </c>
      <c r="E9332" s="8"/>
      <c r="F9332" s="92">
        <f t="shared" si="194"/>
        <v>34265</v>
      </c>
    </row>
    <row r="9333" spans="1:13" x14ac:dyDescent="0.25">
      <c r="A9333" s="241">
        <v>44320</v>
      </c>
      <c r="B9333" s="33" t="s">
        <v>7771</v>
      </c>
      <c r="C9333" s="33" t="s">
        <v>4191</v>
      </c>
      <c r="D9333" s="27">
        <v>500</v>
      </c>
      <c r="E9333" s="27"/>
      <c r="F9333" s="429">
        <f t="shared" si="194"/>
        <v>33765</v>
      </c>
    </row>
    <row r="9334" spans="1:13" x14ac:dyDescent="0.25">
      <c r="A9334" s="204">
        <v>44320</v>
      </c>
      <c r="B9334" s="26" t="s">
        <v>1840</v>
      </c>
      <c r="C9334" s="26" t="s">
        <v>8041</v>
      </c>
      <c r="D9334" s="8">
        <v>500</v>
      </c>
      <c r="E9334" s="8"/>
      <c r="F9334" s="92">
        <f t="shared" si="194"/>
        <v>33265</v>
      </c>
    </row>
    <row r="9335" spans="1:13" x14ac:dyDescent="0.25">
      <c r="A9335" s="204">
        <v>44320</v>
      </c>
      <c r="B9335" s="26" t="s">
        <v>1840</v>
      </c>
      <c r="C9335" s="26" t="s">
        <v>1627</v>
      </c>
      <c r="D9335" s="8">
        <v>100</v>
      </c>
      <c r="E9335" s="8"/>
      <c r="F9335" s="92">
        <f t="shared" si="194"/>
        <v>33165</v>
      </c>
    </row>
    <row r="9336" spans="1:13" x14ac:dyDescent="0.25">
      <c r="A9336" s="204">
        <v>44320</v>
      </c>
      <c r="B9336" s="26" t="s">
        <v>19</v>
      </c>
      <c r="C9336" s="26" t="s">
        <v>8042</v>
      </c>
      <c r="D9336" s="8">
        <v>2000</v>
      </c>
      <c r="E9336" s="8"/>
      <c r="F9336" s="92">
        <f t="shared" si="194"/>
        <v>31165</v>
      </c>
    </row>
    <row r="9337" spans="1:13" x14ac:dyDescent="0.25">
      <c r="A9337" s="204">
        <v>44321</v>
      </c>
      <c r="B9337" s="26" t="s">
        <v>6877</v>
      </c>
      <c r="C9337" s="26" t="s">
        <v>5821</v>
      </c>
      <c r="D9337" s="8">
        <v>2000</v>
      </c>
      <c r="E9337" s="8"/>
      <c r="F9337" s="92">
        <f t="shared" si="194"/>
        <v>29165</v>
      </c>
    </row>
    <row r="9338" spans="1:13" x14ac:dyDescent="0.25">
      <c r="A9338" s="204">
        <v>44321</v>
      </c>
      <c r="B9338" s="26" t="s">
        <v>26</v>
      </c>
      <c r="C9338" s="26" t="s">
        <v>8060</v>
      </c>
      <c r="D9338" s="8">
        <v>1000</v>
      </c>
      <c r="E9338" s="8"/>
      <c r="F9338" s="92">
        <f t="shared" si="194"/>
        <v>28165</v>
      </c>
      <c r="H9338" s="204"/>
      <c r="I9338" s="8"/>
      <c r="J9338" s="26"/>
      <c r="K9338" s="8"/>
      <c r="L9338" s="8"/>
      <c r="M9338" s="92"/>
    </row>
    <row r="9339" spans="1:13" x14ac:dyDescent="0.25">
      <c r="A9339" s="204">
        <v>44321</v>
      </c>
      <c r="B9339" s="26" t="s">
        <v>4129</v>
      </c>
      <c r="C9339" s="26" t="s">
        <v>41</v>
      </c>
      <c r="D9339" s="8">
        <v>25000</v>
      </c>
      <c r="E9339" s="8"/>
      <c r="F9339" s="92">
        <f t="shared" si="194"/>
        <v>3165</v>
      </c>
    </row>
    <row r="9340" spans="1:13" x14ac:dyDescent="0.25">
      <c r="A9340" s="204">
        <v>44321</v>
      </c>
      <c r="B9340" s="452" t="s">
        <v>4333</v>
      </c>
      <c r="C9340" s="452"/>
      <c r="D9340" s="452"/>
      <c r="E9340" s="8">
        <v>500000</v>
      </c>
      <c r="F9340" s="92">
        <f t="shared" ref="F9340" si="198">F9339+E9340-D9340</f>
        <v>503165</v>
      </c>
    </row>
    <row r="9341" spans="1:13" x14ac:dyDescent="0.25">
      <c r="A9341" s="204">
        <v>44321</v>
      </c>
      <c r="B9341" s="452" t="s">
        <v>864</v>
      </c>
      <c r="C9341" s="452"/>
      <c r="D9341" s="452"/>
      <c r="E9341" s="8">
        <v>500000</v>
      </c>
      <c r="F9341" s="92">
        <f t="shared" ref="F9341:F9342" si="199">F9340+E9341-D9341</f>
        <v>1003165</v>
      </c>
    </row>
    <row r="9342" spans="1:13" x14ac:dyDescent="0.25">
      <c r="A9342" s="204">
        <v>44321</v>
      </c>
      <c r="B9342" s="162" t="s">
        <v>1515</v>
      </c>
      <c r="C9342" s="162" t="s">
        <v>7389</v>
      </c>
      <c r="D9342" s="8">
        <v>119000</v>
      </c>
      <c r="E9342" s="8"/>
      <c r="F9342" s="92">
        <f t="shared" si="199"/>
        <v>884165</v>
      </c>
    </row>
    <row r="9343" spans="1:13" x14ac:dyDescent="0.25">
      <c r="A9343" s="204">
        <v>44321</v>
      </c>
      <c r="B9343" s="162" t="s">
        <v>1515</v>
      </c>
      <c r="C9343" s="162" t="s">
        <v>7722</v>
      </c>
      <c r="D9343" s="8">
        <v>211115</v>
      </c>
      <c r="E9343" s="8"/>
      <c r="F9343" s="92">
        <f t="shared" si="194"/>
        <v>673050</v>
      </c>
    </row>
    <row r="9344" spans="1:13" x14ac:dyDescent="0.25">
      <c r="A9344" s="204">
        <v>44321</v>
      </c>
      <c r="B9344" s="162" t="s">
        <v>1515</v>
      </c>
      <c r="C9344" s="162" t="s">
        <v>7034</v>
      </c>
      <c r="D9344" s="8">
        <v>116254</v>
      </c>
      <c r="E9344" s="8"/>
      <c r="F9344" s="92">
        <f t="shared" si="194"/>
        <v>556796</v>
      </c>
    </row>
    <row r="9345" spans="1:7" x14ac:dyDescent="0.25">
      <c r="A9345" s="204">
        <v>44321</v>
      </c>
      <c r="B9345" s="162" t="s">
        <v>1515</v>
      </c>
      <c r="C9345" s="162" t="s">
        <v>6826</v>
      </c>
      <c r="D9345" s="8">
        <v>92458</v>
      </c>
      <c r="E9345" s="8"/>
      <c r="F9345" s="92">
        <f t="shared" si="194"/>
        <v>464338</v>
      </c>
    </row>
    <row r="9346" spans="1:7" x14ac:dyDescent="0.25">
      <c r="A9346" s="204">
        <v>44321</v>
      </c>
      <c r="B9346" s="162" t="s">
        <v>1515</v>
      </c>
      <c r="C9346" s="162" t="s">
        <v>7047</v>
      </c>
      <c r="D9346" s="8">
        <v>81067</v>
      </c>
      <c r="E9346" s="8"/>
      <c r="F9346" s="92">
        <f t="shared" si="194"/>
        <v>383271</v>
      </c>
    </row>
    <row r="9347" spans="1:7" x14ac:dyDescent="0.25">
      <c r="A9347" s="204">
        <v>44321</v>
      </c>
      <c r="B9347" s="162" t="s">
        <v>1515</v>
      </c>
      <c r="C9347" s="162" t="s">
        <v>8061</v>
      </c>
      <c r="D9347" s="8">
        <v>82483</v>
      </c>
      <c r="E9347" s="8"/>
      <c r="F9347" s="92">
        <f t="shared" si="194"/>
        <v>300788</v>
      </c>
    </row>
    <row r="9348" spans="1:7" x14ac:dyDescent="0.25">
      <c r="A9348" s="204">
        <v>44321</v>
      </c>
      <c r="B9348" s="162" t="s">
        <v>1515</v>
      </c>
      <c r="C9348" s="162" t="s">
        <v>692</v>
      </c>
      <c r="D9348" s="8">
        <v>47021</v>
      </c>
      <c r="E9348" s="8"/>
      <c r="F9348" s="92">
        <f t="shared" si="194"/>
        <v>253767</v>
      </c>
      <c r="G9348" s="25"/>
    </row>
    <row r="9349" spans="1:7" x14ac:dyDescent="0.25">
      <c r="A9349" s="204">
        <v>44321</v>
      </c>
      <c r="B9349" s="162" t="s">
        <v>1515</v>
      </c>
      <c r="C9349" s="162" t="s">
        <v>7425</v>
      </c>
      <c r="D9349" s="8">
        <v>127450</v>
      </c>
      <c r="E9349" s="8"/>
      <c r="F9349" s="92">
        <f t="shared" si="194"/>
        <v>126317</v>
      </c>
    </row>
    <row r="9350" spans="1:7" x14ac:dyDescent="0.25">
      <c r="A9350" s="204">
        <v>44321</v>
      </c>
      <c r="B9350" s="162" t="s">
        <v>1515</v>
      </c>
      <c r="C9350" s="162" t="s">
        <v>8062</v>
      </c>
      <c r="D9350" s="8">
        <v>108923</v>
      </c>
      <c r="E9350" s="8"/>
      <c r="F9350" s="92">
        <f t="shared" ref="F9350:F9358" si="200">F9349+E9350-D9350</f>
        <v>17394</v>
      </c>
    </row>
    <row r="9351" spans="1:7" x14ac:dyDescent="0.25">
      <c r="A9351" s="204">
        <v>44321</v>
      </c>
      <c r="B9351" s="26" t="s">
        <v>542</v>
      </c>
      <c r="C9351" s="26" t="s">
        <v>8063</v>
      </c>
      <c r="D9351" s="8">
        <v>15000</v>
      </c>
      <c r="E9351" s="8"/>
      <c r="F9351" s="92">
        <f t="shared" si="200"/>
        <v>2394</v>
      </c>
    </row>
    <row r="9352" spans="1:7" x14ac:dyDescent="0.25">
      <c r="A9352" s="204">
        <v>44322</v>
      </c>
      <c r="B9352" s="26" t="s">
        <v>1619</v>
      </c>
      <c r="C9352" s="26" t="s">
        <v>79</v>
      </c>
      <c r="D9352" s="8">
        <v>2000</v>
      </c>
      <c r="E9352" s="8"/>
      <c r="F9352" s="92">
        <f t="shared" si="200"/>
        <v>394</v>
      </c>
    </row>
    <row r="9353" spans="1:7" x14ac:dyDescent="0.25">
      <c r="A9353" s="204">
        <v>44322</v>
      </c>
      <c r="B9353" s="452" t="s">
        <v>8078</v>
      </c>
      <c r="C9353" s="452"/>
      <c r="D9353" s="452"/>
      <c r="E9353" s="8">
        <f>201000-10000</f>
        <v>191000</v>
      </c>
      <c r="F9353" s="92">
        <f t="shared" si="200"/>
        <v>191394</v>
      </c>
    </row>
    <row r="9354" spans="1:7" x14ac:dyDescent="0.25">
      <c r="A9354" s="204">
        <v>44322</v>
      </c>
      <c r="B9354" s="26" t="s">
        <v>1840</v>
      </c>
      <c r="C9354" s="26" t="s">
        <v>8068</v>
      </c>
      <c r="D9354" s="8">
        <v>500</v>
      </c>
      <c r="E9354" s="8"/>
      <c r="F9354" s="92">
        <f t="shared" si="200"/>
        <v>190894</v>
      </c>
    </row>
    <row r="9355" spans="1:7" x14ac:dyDescent="0.25">
      <c r="A9355" s="204">
        <v>44322</v>
      </c>
      <c r="B9355" s="26" t="s">
        <v>26</v>
      </c>
      <c r="C9355" s="26" t="s">
        <v>8069</v>
      </c>
      <c r="D9355" s="8">
        <v>200</v>
      </c>
      <c r="E9355" s="8"/>
      <c r="F9355" s="92">
        <f t="shared" si="200"/>
        <v>190694</v>
      </c>
    </row>
    <row r="9356" spans="1:7" x14ac:dyDescent="0.25">
      <c r="A9356" s="204">
        <v>44322</v>
      </c>
      <c r="B9356" s="29" t="s">
        <v>69</v>
      </c>
      <c r="C9356" s="89" t="s">
        <v>8070</v>
      </c>
      <c r="D9356" s="8">
        <v>5000</v>
      </c>
      <c r="E9356" s="8"/>
      <c r="F9356" s="92">
        <f t="shared" si="200"/>
        <v>185694</v>
      </c>
    </row>
    <row r="9357" spans="1:7" x14ac:dyDescent="0.25">
      <c r="A9357" s="204">
        <v>44322</v>
      </c>
      <c r="B9357" s="29" t="s">
        <v>5485</v>
      </c>
      <c r="C9357" s="89" t="s">
        <v>8101</v>
      </c>
      <c r="D9357" s="8">
        <v>5000</v>
      </c>
      <c r="E9357" s="8"/>
      <c r="F9357" s="92">
        <f t="shared" si="200"/>
        <v>180694</v>
      </c>
    </row>
    <row r="9358" spans="1:7" x14ac:dyDescent="0.25">
      <c r="A9358" s="204">
        <v>44322</v>
      </c>
      <c r="B9358" s="29" t="s">
        <v>8071</v>
      </c>
      <c r="C9358" s="89" t="s">
        <v>8072</v>
      </c>
      <c r="D9358" s="8">
        <v>40000</v>
      </c>
      <c r="E9358" s="8"/>
      <c r="F9358" s="92">
        <f t="shared" si="200"/>
        <v>140694</v>
      </c>
    </row>
    <row r="9359" spans="1:7" ht="30" x14ac:dyDescent="0.25">
      <c r="A9359" s="204">
        <v>44322</v>
      </c>
      <c r="B9359" s="29" t="s">
        <v>94</v>
      </c>
      <c r="C9359" s="89" t="s">
        <v>8073</v>
      </c>
      <c r="D9359" s="8">
        <v>13200</v>
      </c>
      <c r="E9359" s="8"/>
      <c r="F9359" s="92">
        <f t="shared" ref="F9359:F9383" si="201">F9358+E9359-D9359</f>
        <v>127494</v>
      </c>
    </row>
    <row r="9360" spans="1:7" x14ac:dyDescent="0.25">
      <c r="A9360" s="204">
        <v>44323</v>
      </c>
      <c r="B9360" s="29" t="s">
        <v>6285</v>
      </c>
      <c r="C9360" s="29" t="s">
        <v>8074</v>
      </c>
      <c r="D9360" s="8">
        <v>31680</v>
      </c>
      <c r="E9360" s="8"/>
      <c r="F9360" s="92">
        <f t="shared" si="201"/>
        <v>95814</v>
      </c>
    </row>
    <row r="9361" spans="1:6" x14ac:dyDescent="0.25">
      <c r="A9361" s="204">
        <v>44323</v>
      </c>
      <c r="B9361" s="162" t="s">
        <v>1515</v>
      </c>
      <c r="C9361" s="162" t="s">
        <v>8075</v>
      </c>
      <c r="D9361" s="8">
        <v>11000</v>
      </c>
      <c r="E9361" s="8"/>
      <c r="F9361" s="92">
        <f t="shared" si="201"/>
        <v>84814</v>
      </c>
    </row>
    <row r="9362" spans="1:6" x14ac:dyDescent="0.25">
      <c r="A9362" s="204">
        <v>44323</v>
      </c>
      <c r="B9362" s="162" t="s">
        <v>1515</v>
      </c>
      <c r="C9362" s="162" t="s">
        <v>8076</v>
      </c>
      <c r="D9362" s="8">
        <v>20000</v>
      </c>
      <c r="E9362" s="8"/>
      <c r="F9362" s="92">
        <f t="shared" si="201"/>
        <v>64814</v>
      </c>
    </row>
    <row r="9363" spans="1:6" x14ac:dyDescent="0.25">
      <c r="A9363" s="204">
        <v>44323</v>
      </c>
      <c r="B9363" s="162" t="s">
        <v>1515</v>
      </c>
      <c r="C9363" s="162" t="s">
        <v>8077</v>
      </c>
      <c r="D9363" s="8">
        <f>31500+2000+1500</f>
        <v>35000</v>
      </c>
      <c r="E9363" s="8"/>
      <c r="F9363" s="92">
        <f t="shared" si="201"/>
        <v>29814</v>
      </c>
    </row>
    <row r="9364" spans="1:6" x14ac:dyDescent="0.25">
      <c r="A9364" s="204">
        <v>44323</v>
      </c>
      <c r="B9364" s="26" t="s">
        <v>14</v>
      </c>
      <c r="C9364" s="26" t="s">
        <v>295</v>
      </c>
      <c r="D9364" s="8">
        <v>10000</v>
      </c>
      <c r="E9364" s="8"/>
      <c r="F9364" s="92">
        <f t="shared" si="201"/>
        <v>19814</v>
      </c>
    </row>
    <row r="9365" spans="1:6" x14ac:dyDescent="0.25">
      <c r="A9365" s="204">
        <v>44323</v>
      </c>
      <c r="B9365" s="452" t="s">
        <v>4621</v>
      </c>
      <c r="C9365" s="452"/>
      <c r="D9365" s="452"/>
      <c r="E9365" s="8">
        <v>750000</v>
      </c>
      <c r="F9365" s="92">
        <f t="shared" si="201"/>
        <v>769814</v>
      </c>
    </row>
    <row r="9366" spans="1:6" x14ac:dyDescent="0.25">
      <c r="A9366" s="204">
        <v>44323</v>
      </c>
      <c r="B9366" s="26" t="s">
        <v>8084</v>
      </c>
      <c r="C9366" s="26" t="s">
        <v>1956</v>
      </c>
      <c r="D9366" s="8">
        <v>457750</v>
      </c>
      <c r="E9366" s="8"/>
      <c r="F9366" s="92">
        <f t="shared" si="201"/>
        <v>312064</v>
      </c>
    </row>
    <row r="9367" spans="1:6" x14ac:dyDescent="0.25">
      <c r="A9367" s="204">
        <v>44323</v>
      </c>
      <c r="B9367" s="26" t="s">
        <v>14</v>
      </c>
      <c r="C9367" s="26" t="s">
        <v>8085</v>
      </c>
      <c r="D9367" s="8">
        <v>250000</v>
      </c>
      <c r="E9367" s="8"/>
      <c r="F9367" s="92">
        <f t="shared" si="201"/>
        <v>62064</v>
      </c>
    </row>
    <row r="9368" spans="1:6" x14ac:dyDescent="0.25">
      <c r="A9368" s="204">
        <v>44324</v>
      </c>
      <c r="B9368" s="452" t="s">
        <v>4621</v>
      </c>
      <c r="C9368" s="452"/>
      <c r="D9368" s="452"/>
      <c r="E9368" s="8">
        <v>200000</v>
      </c>
      <c r="F9368" s="92">
        <f t="shared" si="201"/>
        <v>262064</v>
      </c>
    </row>
    <row r="9369" spans="1:6" x14ac:dyDescent="0.25">
      <c r="A9369" s="204">
        <v>44323</v>
      </c>
      <c r="B9369" s="162" t="s">
        <v>1515</v>
      </c>
      <c r="C9369" s="162" t="s">
        <v>8086</v>
      </c>
      <c r="D9369" s="8">
        <v>72583</v>
      </c>
      <c r="E9369" s="8"/>
      <c r="F9369" s="92">
        <f t="shared" si="201"/>
        <v>189481</v>
      </c>
    </row>
    <row r="9370" spans="1:6" x14ac:dyDescent="0.25">
      <c r="A9370" s="204">
        <v>44324</v>
      </c>
      <c r="B9370" s="162" t="s">
        <v>1515</v>
      </c>
      <c r="C9370" s="29" t="s">
        <v>8087</v>
      </c>
      <c r="D9370" s="8">
        <v>34896</v>
      </c>
      <c r="E9370" s="8"/>
      <c r="F9370" s="92">
        <f t="shared" si="201"/>
        <v>154585</v>
      </c>
    </row>
    <row r="9371" spans="1:6" x14ac:dyDescent="0.25">
      <c r="A9371" s="204">
        <v>44324</v>
      </c>
      <c r="B9371" s="162" t="s">
        <v>1515</v>
      </c>
      <c r="C9371" s="29" t="s">
        <v>7194</v>
      </c>
      <c r="D9371" s="8">
        <v>20100</v>
      </c>
      <c r="E9371" s="8"/>
      <c r="F9371" s="92">
        <f t="shared" si="201"/>
        <v>134485</v>
      </c>
    </row>
    <row r="9372" spans="1:6" x14ac:dyDescent="0.25">
      <c r="A9372" s="204">
        <v>44323</v>
      </c>
      <c r="B9372" s="26" t="s">
        <v>6877</v>
      </c>
      <c r="C9372" s="29" t="s">
        <v>2016</v>
      </c>
      <c r="D9372" s="8">
        <v>100</v>
      </c>
      <c r="E9372" s="8"/>
      <c r="F9372" s="92">
        <f t="shared" si="201"/>
        <v>134385</v>
      </c>
    </row>
    <row r="9373" spans="1:6" x14ac:dyDescent="0.25">
      <c r="A9373" s="204">
        <v>44324</v>
      </c>
      <c r="B9373" s="26" t="s">
        <v>1346</v>
      </c>
      <c r="C9373" s="26" t="s">
        <v>8088</v>
      </c>
      <c r="D9373" s="8">
        <v>30000</v>
      </c>
      <c r="E9373" s="8"/>
      <c r="F9373" s="92">
        <f t="shared" si="201"/>
        <v>104385</v>
      </c>
    </row>
    <row r="9374" spans="1:6" x14ac:dyDescent="0.25">
      <c r="A9374" s="204">
        <v>44324</v>
      </c>
      <c r="B9374" s="26" t="s">
        <v>1089</v>
      </c>
      <c r="C9374" s="26" t="s">
        <v>8092</v>
      </c>
      <c r="D9374" s="8">
        <v>30000</v>
      </c>
      <c r="E9374" s="8"/>
      <c r="F9374" s="92">
        <f t="shared" si="201"/>
        <v>74385</v>
      </c>
    </row>
    <row r="9375" spans="1:6" x14ac:dyDescent="0.25">
      <c r="A9375" s="204">
        <v>44324</v>
      </c>
      <c r="B9375" s="26" t="s">
        <v>65</v>
      </c>
      <c r="C9375" s="26" t="s">
        <v>26</v>
      </c>
      <c r="D9375" s="8">
        <v>900</v>
      </c>
      <c r="E9375" s="8"/>
      <c r="F9375" s="92">
        <f t="shared" si="201"/>
        <v>73485</v>
      </c>
    </row>
    <row r="9376" spans="1:6" x14ac:dyDescent="0.25">
      <c r="A9376" s="204">
        <v>44324</v>
      </c>
      <c r="B9376" s="26" t="s">
        <v>14</v>
      </c>
      <c r="C9376" s="26" t="s">
        <v>8099</v>
      </c>
      <c r="D9376" s="8">
        <v>15000</v>
      </c>
      <c r="E9376" s="8"/>
      <c r="F9376" s="92">
        <f t="shared" si="201"/>
        <v>58485</v>
      </c>
    </row>
    <row r="9377" spans="1:6" x14ac:dyDescent="0.25">
      <c r="A9377" s="204">
        <v>44324</v>
      </c>
      <c r="B9377" s="26" t="s">
        <v>7628</v>
      </c>
      <c r="C9377" s="26" t="s">
        <v>295</v>
      </c>
      <c r="D9377" s="8">
        <v>10000</v>
      </c>
      <c r="E9377" s="8"/>
      <c r="F9377" s="92">
        <f t="shared" si="201"/>
        <v>48485</v>
      </c>
    </row>
    <row r="9378" spans="1:6" x14ac:dyDescent="0.25">
      <c r="A9378" s="204">
        <v>44324</v>
      </c>
      <c r="B9378" s="26" t="s">
        <v>6770</v>
      </c>
      <c r="C9378" s="26" t="s">
        <v>8091</v>
      </c>
      <c r="D9378" s="8">
        <v>10000</v>
      </c>
      <c r="E9378" s="8"/>
      <c r="F9378" s="92">
        <f t="shared" si="201"/>
        <v>38485</v>
      </c>
    </row>
    <row r="9379" spans="1:6" x14ac:dyDescent="0.25">
      <c r="A9379" s="204">
        <v>44333</v>
      </c>
      <c r="B9379" s="29" t="s">
        <v>58</v>
      </c>
      <c r="C9379" s="29" t="s">
        <v>8093</v>
      </c>
      <c r="D9379" s="8">
        <v>1000</v>
      </c>
      <c r="E9379" s="8"/>
      <c r="F9379" s="92">
        <f t="shared" si="201"/>
        <v>37485</v>
      </c>
    </row>
    <row r="9380" spans="1:6" x14ac:dyDescent="0.25">
      <c r="A9380" s="204">
        <v>44333</v>
      </c>
      <c r="B9380" s="452" t="s">
        <v>864</v>
      </c>
      <c r="C9380" s="452"/>
      <c r="D9380" s="452"/>
      <c r="E9380" s="8">
        <v>100000</v>
      </c>
      <c r="F9380" s="92">
        <f t="shared" si="201"/>
        <v>137485</v>
      </c>
    </row>
    <row r="9381" spans="1:6" x14ac:dyDescent="0.25">
      <c r="A9381" s="204">
        <v>44333</v>
      </c>
      <c r="B9381" s="138" t="s">
        <v>1840</v>
      </c>
      <c r="C9381" s="138" t="s">
        <v>8095</v>
      </c>
      <c r="D9381" s="139">
        <v>97000</v>
      </c>
      <c r="E9381" s="8"/>
      <c r="F9381" s="92">
        <f t="shared" si="201"/>
        <v>40485</v>
      </c>
    </row>
    <row r="9382" spans="1:6" x14ac:dyDescent="0.25">
      <c r="A9382" s="204">
        <v>44333</v>
      </c>
      <c r="B9382" s="29" t="s">
        <v>14</v>
      </c>
      <c r="C9382" s="29" t="s">
        <v>295</v>
      </c>
      <c r="D9382" s="8">
        <v>20000</v>
      </c>
      <c r="E9382" s="8"/>
      <c r="F9382" s="92">
        <f t="shared" si="201"/>
        <v>20485</v>
      </c>
    </row>
    <row r="9383" spans="1:6" x14ac:dyDescent="0.25">
      <c r="A9383" s="204">
        <v>44333</v>
      </c>
      <c r="B9383" s="29" t="s">
        <v>1077</v>
      </c>
      <c r="C9383" s="29" t="s">
        <v>41</v>
      </c>
      <c r="D9383" s="8">
        <v>3140</v>
      </c>
      <c r="E9383" s="8"/>
      <c r="F9383" s="92">
        <f t="shared" si="201"/>
        <v>17345</v>
      </c>
    </row>
    <row r="9384" spans="1:6" x14ac:dyDescent="0.25">
      <c r="A9384" s="204">
        <v>44333</v>
      </c>
      <c r="B9384" s="26" t="s">
        <v>27</v>
      </c>
      <c r="C9384" s="26" t="s">
        <v>8125</v>
      </c>
      <c r="D9384" s="8">
        <v>1650</v>
      </c>
      <c r="E9384" s="8"/>
      <c r="F9384" s="92">
        <f t="shared" ref="F9384:F9448" si="202">F9383+E9384-D9384</f>
        <v>15695</v>
      </c>
    </row>
    <row r="9385" spans="1:6" x14ac:dyDescent="0.25">
      <c r="A9385" s="204">
        <v>44333</v>
      </c>
      <c r="B9385" s="26" t="s">
        <v>26</v>
      </c>
      <c r="C9385" s="26" t="s">
        <v>7879</v>
      </c>
      <c r="D9385" s="8">
        <v>100</v>
      </c>
      <c r="E9385" s="8"/>
      <c r="F9385" s="92">
        <f t="shared" si="202"/>
        <v>15595</v>
      </c>
    </row>
    <row r="9386" spans="1:6" x14ac:dyDescent="0.25">
      <c r="A9386" s="204">
        <v>44333</v>
      </c>
      <c r="B9386" s="26" t="s">
        <v>26</v>
      </c>
      <c r="C9386" s="26" t="s">
        <v>8102</v>
      </c>
      <c r="D9386" s="8">
        <v>70</v>
      </c>
      <c r="E9386" s="8"/>
      <c r="F9386" s="92">
        <f t="shared" si="202"/>
        <v>15525</v>
      </c>
    </row>
    <row r="9387" spans="1:6" x14ac:dyDescent="0.25">
      <c r="A9387" s="204">
        <v>44333</v>
      </c>
      <c r="B9387" s="452" t="s">
        <v>8098</v>
      </c>
      <c r="C9387" s="452"/>
      <c r="D9387" s="452"/>
      <c r="E9387" s="8">
        <v>60000</v>
      </c>
      <c r="F9387" s="92">
        <f t="shared" si="202"/>
        <v>75525</v>
      </c>
    </row>
    <row r="9388" spans="1:6" x14ac:dyDescent="0.25">
      <c r="A9388" s="204">
        <v>44333</v>
      </c>
      <c r="B9388" s="26" t="s">
        <v>26</v>
      </c>
      <c r="C9388" s="26" t="s">
        <v>6430</v>
      </c>
      <c r="D9388" s="8">
        <v>100</v>
      </c>
      <c r="E9388" s="8"/>
      <c r="F9388" s="92">
        <f t="shared" si="202"/>
        <v>75425</v>
      </c>
    </row>
    <row r="9389" spans="1:6" x14ac:dyDescent="0.25">
      <c r="A9389" s="204">
        <v>44334</v>
      </c>
      <c r="B9389" s="26" t="s">
        <v>26</v>
      </c>
      <c r="C9389" s="26" t="s">
        <v>4280</v>
      </c>
      <c r="D9389" s="8">
        <v>7230</v>
      </c>
      <c r="E9389" s="8"/>
      <c r="F9389" s="92">
        <f t="shared" si="202"/>
        <v>68195</v>
      </c>
    </row>
    <row r="9390" spans="1:6" x14ac:dyDescent="0.25">
      <c r="A9390" s="204">
        <v>44335</v>
      </c>
      <c r="B9390" s="26" t="s">
        <v>6877</v>
      </c>
      <c r="C9390" s="26" t="s">
        <v>8103</v>
      </c>
      <c r="D9390" s="8">
        <v>1000</v>
      </c>
      <c r="E9390" s="8"/>
      <c r="F9390" s="92">
        <f t="shared" si="202"/>
        <v>67195</v>
      </c>
    </row>
    <row r="9391" spans="1:6" x14ac:dyDescent="0.25">
      <c r="A9391" s="204">
        <v>44335</v>
      </c>
      <c r="B9391" s="26" t="s">
        <v>6877</v>
      </c>
      <c r="C9391" s="26" t="s">
        <v>8104</v>
      </c>
      <c r="D9391" s="8">
        <v>1000</v>
      </c>
      <c r="E9391" s="8"/>
      <c r="F9391" s="92">
        <f t="shared" si="202"/>
        <v>66195</v>
      </c>
    </row>
    <row r="9392" spans="1:6" x14ac:dyDescent="0.25">
      <c r="A9392" s="204">
        <v>44335</v>
      </c>
      <c r="B9392" s="26" t="s">
        <v>0</v>
      </c>
      <c r="C9392" s="26" t="s">
        <v>3186</v>
      </c>
      <c r="D9392" s="8">
        <v>10000</v>
      </c>
      <c r="E9392" s="8"/>
      <c r="F9392" s="92">
        <f t="shared" si="202"/>
        <v>56195</v>
      </c>
    </row>
    <row r="9393" spans="1:12" x14ac:dyDescent="0.25">
      <c r="A9393" s="204">
        <v>44336</v>
      </c>
      <c r="B9393" s="26" t="s">
        <v>7834</v>
      </c>
      <c r="C9393" s="26" t="s">
        <v>8110</v>
      </c>
      <c r="D9393" s="8">
        <v>10000</v>
      </c>
      <c r="E9393" s="8"/>
      <c r="F9393" s="92">
        <f t="shared" si="202"/>
        <v>46195</v>
      </c>
    </row>
    <row r="9394" spans="1:12" x14ac:dyDescent="0.25">
      <c r="A9394" s="204">
        <v>44336</v>
      </c>
      <c r="B9394" s="26" t="s">
        <v>6019</v>
      </c>
      <c r="C9394" s="26" t="s">
        <v>8114</v>
      </c>
      <c r="D9394" s="8">
        <v>10000</v>
      </c>
      <c r="E9394" s="8"/>
      <c r="F9394" s="92">
        <f t="shared" si="202"/>
        <v>36195</v>
      </c>
    </row>
    <row r="9395" spans="1:12" x14ac:dyDescent="0.25">
      <c r="A9395" s="204">
        <v>44336</v>
      </c>
      <c r="B9395" s="26" t="s">
        <v>69</v>
      </c>
      <c r="C9395" s="26" t="s">
        <v>8116</v>
      </c>
      <c r="D9395" s="8">
        <v>15000</v>
      </c>
      <c r="E9395" s="8"/>
      <c r="F9395" s="92">
        <f t="shared" si="202"/>
        <v>21195</v>
      </c>
    </row>
    <row r="9396" spans="1:12" ht="18.75" x14ac:dyDescent="0.25">
      <c r="A9396" s="204">
        <v>44336</v>
      </c>
      <c r="B9396" s="29" t="s">
        <v>8117</v>
      </c>
      <c r="C9396" s="29" t="s">
        <v>8118</v>
      </c>
      <c r="D9396" s="8">
        <v>3000</v>
      </c>
      <c r="E9396" s="8"/>
      <c r="F9396" s="92">
        <f t="shared" si="202"/>
        <v>18195</v>
      </c>
      <c r="H9396" s="455" t="s">
        <v>8111</v>
      </c>
      <c r="I9396" s="455"/>
      <c r="J9396" s="455"/>
    </row>
    <row r="9397" spans="1:12" x14ac:dyDescent="0.25">
      <c r="A9397" s="204">
        <v>44336</v>
      </c>
      <c r="B9397" s="452" t="s">
        <v>8098</v>
      </c>
      <c r="C9397" s="452"/>
      <c r="D9397" s="452"/>
      <c r="E9397" s="8">
        <v>50000</v>
      </c>
      <c r="F9397" s="92">
        <f t="shared" si="202"/>
        <v>68195</v>
      </c>
      <c r="H9397" s="454" t="s">
        <v>8201</v>
      </c>
      <c r="I9397" s="454"/>
      <c r="J9397" s="8">
        <v>25000</v>
      </c>
    </row>
    <row r="9398" spans="1:12" x14ac:dyDescent="0.25">
      <c r="A9398" s="204">
        <v>44336</v>
      </c>
      <c r="B9398" s="29" t="s">
        <v>4059</v>
      </c>
      <c r="C9398" s="29" t="s">
        <v>8119</v>
      </c>
      <c r="D9398" s="8">
        <v>40000</v>
      </c>
      <c r="E9398" s="8"/>
      <c r="F9398" s="92">
        <f t="shared" si="202"/>
        <v>28195</v>
      </c>
      <c r="H9398" s="454" t="s">
        <v>8112</v>
      </c>
      <c r="I9398" s="454"/>
      <c r="J9398" s="8">
        <v>201000</v>
      </c>
    </row>
    <row r="9399" spans="1:12" x14ac:dyDescent="0.25">
      <c r="A9399" s="204">
        <v>44336</v>
      </c>
      <c r="B9399" s="26" t="s">
        <v>8120</v>
      </c>
      <c r="C9399" s="26" t="s">
        <v>8121</v>
      </c>
      <c r="D9399" s="8">
        <v>16000</v>
      </c>
      <c r="E9399" s="8"/>
      <c r="F9399" s="92">
        <f t="shared" si="202"/>
        <v>12195</v>
      </c>
      <c r="H9399" s="454" t="s">
        <v>8113</v>
      </c>
      <c r="I9399" s="454"/>
      <c r="J9399" s="8">
        <v>201000</v>
      </c>
    </row>
    <row r="9400" spans="1:12" x14ac:dyDescent="0.25">
      <c r="A9400" s="204">
        <v>44336</v>
      </c>
      <c r="B9400" s="26" t="s">
        <v>7834</v>
      </c>
      <c r="C9400" s="26" t="s">
        <v>8124</v>
      </c>
      <c r="D9400" s="8">
        <v>2500</v>
      </c>
      <c r="E9400" s="8"/>
      <c r="F9400" s="92">
        <f t="shared" si="202"/>
        <v>9695</v>
      </c>
      <c r="H9400" s="454" t="s">
        <v>8115</v>
      </c>
      <c r="I9400" s="454"/>
      <c r="J9400" s="8">
        <v>4000</v>
      </c>
    </row>
    <row r="9401" spans="1:12" x14ac:dyDescent="0.25">
      <c r="A9401" s="204">
        <v>44336</v>
      </c>
      <c r="B9401" s="452" t="s">
        <v>8098</v>
      </c>
      <c r="C9401" s="452"/>
      <c r="D9401" s="452"/>
      <c r="E9401" s="8">
        <v>50000</v>
      </c>
      <c r="F9401" s="92">
        <f t="shared" si="202"/>
        <v>59695</v>
      </c>
      <c r="H9401" s="454" t="s">
        <v>8129</v>
      </c>
      <c r="I9401" s="454"/>
      <c r="J9401" s="8">
        <f>SUM(J9397:J9400)</f>
        <v>431000</v>
      </c>
    </row>
    <row r="9402" spans="1:12" x14ac:dyDescent="0.25">
      <c r="A9402" s="204">
        <v>44336</v>
      </c>
      <c r="B9402" s="26" t="s">
        <v>4776</v>
      </c>
      <c r="C9402" s="26" t="s">
        <v>8126</v>
      </c>
      <c r="D9402" s="8">
        <v>20000</v>
      </c>
      <c r="E9402" s="8"/>
      <c r="F9402" s="92">
        <f t="shared" si="202"/>
        <v>39695</v>
      </c>
      <c r="H9402" s="454" t="s">
        <v>8128</v>
      </c>
      <c r="I9402" s="454"/>
      <c r="J9402" s="8">
        <v>67000</v>
      </c>
    </row>
    <row r="9403" spans="1:12" x14ac:dyDescent="0.25">
      <c r="A9403" s="204">
        <v>44337</v>
      </c>
      <c r="B9403" s="26" t="s">
        <v>5479</v>
      </c>
      <c r="C9403" s="26" t="s">
        <v>8132</v>
      </c>
      <c r="D9403" s="8">
        <v>7260</v>
      </c>
      <c r="E9403" s="8"/>
      <c r="F9403" s="92">
        <f t="shared" si="202"/>
        <v>32435</v>
      </c>
      <c r="H9403" s="454" t="s">
        <v>8130</v>
      </c>
      <c r="I9403" s="454"/>
      <c r="J9403" s="8">
        <f>J9401-J9402</f>
        <v>364000</v>
      </c>
    </row>
    <row r="9404" spans="1:12" x14ac:dyDescent="0.25">
      <c r="A9404" s="204">
        <v>44337</v>
      </c>
      <c r="B9404" s="26" t="s">
        <v>5479</v>
      </c>
      <c r="C9404" s="26" t="s">
        <v>8133</v>
      </c>
      <c r="D9404" s="8">
        <v>120</v>
      </c>
      <c r="E9404" s="8"/>
      <c r="F9404" s="92">
        <f t="shared" si="202"/>
        <v>32315</v>
      </c>
    </row>
    <row r="9405" spans="1:12" x14ac:dyDescent="0.25">
      <c r="A9405" s="204">
        <v>44337</v>
      </c>
      <c r="B9405" s="452" t="s">
        <v>8098</v>
      </c>
      <c r="C9405" s="452"/>
      <c r="D9405" s="452"/>
      <c r="E9405" s="8">
        <v>100000</v>
      </c>
      <c r="F9405" s="92">
        <f t="shared" si="202"/>
        <v>132315</v>
      </c>
    </row>
    <row r="9406" spans="1:12" x14ac:dyDescent="0.25">
      <c r="A9406" s="204">
        <v>44337</v>
      </c>
      <c r="B9406" s="26" t="s">
        <v>111</v>
      </c>
      <c r="C9406" s="26" t="s">
        <v>641</v>
      </c>
      <c r="D9406" s="8">
        <v>3000</v>
      </c>
      <c r="E9406" s="8"/>
      <c r="F9406" s="92">
        <f t="shared" si="202"/>
        <v>129315</v>
      </c>
    </row>
    <row r="9407" spans="1:12" x14ac:dyDescent="0.25">
      <c r="A9407" s="204">
        <v>44337</v>
      </c>
      <c r="B9407" s="26" t="s">
        <v>1840</v>
      </c>
      <c r="C9407" s="26" t="s">
        <v>3561</v>
      </c>
      <c r="D9407" s="8">
        <v>75000</v>
      </c>
      <c r="E9407" s="8"/>
      <c r="F9407" s="92">
        <f t="shared" si="202"/>
        <v>54315</v>
      </c>
      <c r="L9407" s="25"/>
    </row>
    <row r="9408" spans="1:12" x14ac:dyDescent="0.25">
      <c r="A9408" s="204">
        <v>44337</v>
      </c>
      <c r="B9408" s="26" t="s">
        <v>7460</v>
      </c>
      <c r="C9408" s="26" t="s">
        <v>8138</v>
      </c>
      <c r="D9408" s="8">
        <v>4000</v>
      </c>
      <c r="E9408" s="8"/>
      <c r="F9408" s="92">
        <f t="shared" si="202"/>
        <v>50315</v>
      </c>
    </row>
    <row r="9409" spans="1:12" x14ac:dyDescent="0.25">
      <c r="A9409" s="204">
        <v>44338</v>
      </c>
      <c r="B9409" s="26" t="s">
        <v>6770</v>
      </c>
      <c r="C9409" s="26" t="s">
        <v>8204</v>
      </c>
      <c r="D9409" s="8">
        <v>4000</v>
      </c>
      <c r="E9409" s="8"/>
      <c r="F9409" s="92">
        <f t="shared" si="202"/>
        <v>46315</v>
      </c>
      <c r="L9409" s="25"/>
    </row>
    <row r="9410" spans="1:12" x14ac:dyDescent="0.25">
      <c r="A9410" s="204">
        <v>44338</v>
      </c>
      <c r="B9410" s="452" t="s">
        <v>8098</v>
      </c>
      <c r="C9410" s="452"/>
      <c r="D9410" s="452"/>
      <c r="E9410" s="8">
        <v>100000</v>
      </c>
      <c r="F9410" s="92">
        <f t="shared" si="202"/>
        <v>146315</v>
      </c>
    </row>
    <row r="9411" spans="1:12" x14ac:dyDescent="0.25">
      <c r="A9411" s="204">
        <v>44338</v>
      </c>
      <c r="B9411" s="29" t="s">
        <v>58</v>
      </c>
      <c r="C9411" s="29" t="s">
        <v>8139</v>
      </c>
      <c r="D9411" s="8">
        <v>10000</v>
      </c>
      <c r="E9411" s="8"/>
      <c r="F9411" s="92">
        <f t="shared" si="202"/>
        <v>136315</v>
      </c>
    </row>
    <row r="9412" spans="1:12" x14ac:dyDescent="0.25">
      <c r="A9412" s="204">
        <v>44338</v>
      </c>
      <c r="B9412" s="29" t="s">
        <v>8140</v>
      </c>
      <c r="C9412" s="29" t="s">
        <v>8141</v>
      </c>
      <c r="D9412" s="8">
        <v>50000</v>
      </c>
      <c r="E9412" s="8"/>
      <c r="F9412" s="92">
        <f t="shared" si="202"/>
        <v>86315</v>
      </c>
    </row>
    <row r="9413" spans="1:12" x14ac:dyDescent="0.25">
      <c r="A9413" s="204">
        <v>44340</v>
      </c>
      <c r="B9413" s="29" t="s">
        <v>1544</v>
      </c>
      <c r="C9413" s="29" t="s">
        <v>8142</v>
      </c>
      <c r="D9413" s="8">
        <v>1000</v>
      </c>
      <c r="E9413" s="8"/>
      <c r="F9413" s="92">
        <f t="shared" si="202"/>
        <v>85315</v>
      </c>
      <c r="J9413" s="430"/>
    </row>
    <row r="9414" spans="1:12" x14ac:dyDescent="0.25">
      <c r="A9414" s="204">
        <v>44340</v>
      </c>
      <c r="B9414" s="29" t="s">
        <v>6293</v>
      </c>
      <c r="C9414" s="29" t="s">
        <v>8143</v>
      </c>
      <c r="D9414" s="8">
        <v>20000</v>
      </c>
      <c r="E9414" s="8"/>
      <c r="F9414" s="92">
        <f t="shared" si="202"/>
        <v>65315</v>
      </c>
    </row>
    <row r="9415" spans="1:12" x14ac:dyDescent="0.25">
      <c r="A9415" s="204">
        <v>44340</v>
      </c>
      <c r="B9415" s="46" t="s">
        <v>7425</v>
      </c>
      <c r="C9415" s="46" t="s">
        <v>8200</v>
      </c>
      <c r="D9415" s="140">
        <f>10000-5500</f>
        <v>4500</v>
      </c>
      <c r="E9415" s="8"/>
      <c r="F9415" s="92">
        <f t="shared" si="202"/>
        <v>60815</v>
      </c>
    </row>
    <row r="9416" spans="1:12" x14ac:dyDescent="0.25">
      <c r="A9416" s="204">
        <v>44341</v>
      </c>
      <c r="B9416" s="26" t="s">
        <v>1876</v>
      </c>
      <c r="C9416" s="26" t="s">
        <v>8144</v>
      </c>
      <c r="D9416" s="8">
        <v>1000</v>
      </c>
      <c r="E9416" s="8"/>
      <c r="F9416" s="92">
        <f t="shared" si="202"/>
        <v>59815</v>
      </c>
    </row>
    <row r="9417" spans="1:12" x14ac:dyDescent="0.25">
      <c r="A9417" s="204">
        <v>44341</v>
      </c>
      <c r="B9417" s="26" t="s">
        <v>14</v>
      </c>
      <c r="C9417" s="26" t="s">
        <v>295</v>
      </c>
      <c r="D9417" s="8">
        <v>5000</v>
      </c>
      <c r="E9417" s="8"/>
      <c r="F9417" s="92">
        <f t="shared" si="202"/>
        <v>54815</v>
      </c>
    </row>
    <row r="9418" spans="1:12" x14ac:dyDescent="0.25">
      <c r="A9418" s="204">
        <v>44341</v>
      </c>
      <c r="B9418" s="26" t="s">
        <v>85</v>
      </c>
      <c r="C9418" s="26" t="s">
        <v>8145</v>
      </c>
      <c r="D9418" s="8">
        <v>5000</v>
      </c>
      <c r="E9418" s="8"/>
      <c r="F9418" s="92">
        <f t="shared" si="202"/>
        <v>49815</v>
      </c>
    </row>
    <row r="9419" spans="1:12" x14ac:dyDescent="0.25">
      <c r="A9419" s="204">
        <v>44341</v>
      </c>
      <c r="B9419" s="452" t="s">
        <v>8098</v>
      </c>
      <c r="C9419" s="452"/>
      <c r="D9419" s="452"/>
      <c r="E9419" s="8">
        <v>300000</v>
      </c>
      <c r="F9419" s="92">
        <f t="shared" si="202"/>
        <v>349815</v>
      </c>
    </row>
    <row r="9420" spans="1:12" ht="31.5" customHeight="1" x14ac:dyDescent="0.25">
      <c r="A9420" s="204">
        <v>44341</v>
      </c>
      <c r="B9420" s="199" t="s">
        <v>7988</v>
      </c>
      <c r="C9420" s="87" t="s">
        <v>8146</v>
      </c>
      <c r="D9420" s="91">
        <v>55000</v>
      </c>
      <c r="E9420" s="8"/>
      <c r="F9420" s="92">
        <f t="shared" si="202"/>
        <v>294815</v>
      </c>
    </row>
    <row r="9421" spans="1:12" ht="31.5" customHeight="1" x14ac:dyDescent="0.25">
      <c r="A9421" s="204">
        <v>44341</v>
      </c>
      <c r="B9421" s="199" t="s">
        <v>8160</v>
      </c>
      <c r="C9421" s="87" t="s">
        <v>7770</v>
      </c>
      <c r="D9421" s="91">
        <v>5000</v>
      </c>
      <c r="E9421" s="8"/>
      <c r="F9421" s="92">
        <f t="shared" si="202"/>
        <v>289815</v>
      </c>
    </row>
    <row r="9422" spans="1:12" x14ac:dyDescent="0.25">
      <c r="A9422" s="204">
        <v>44341</v>
      </c>
      <c r="B9422" s="26" t="s">
        <v>1876</v>
      </c>
      <c r="C9422" s="26" t="s">
        <v>8158</v>
      </c>
      <c r="D9422" s="8">
        <v>500</v>
      </c>
      <c r="E9422" s="8"/>
      <c r="F9422" s="92">
        <f t="shared" si="202"/>
        <v>289315</v>
      </c>
    </row>
    <row r="9423" spans="1:12" x14ac:dyDescent="0.25">
      <c r="A9423" s="204">
        <v>44341</v>
      </c>
      <c r="B9423" s="26" t="s">
        <v>26</v>
      </c>
      <c r="C9423" s="26" t="s">
        <v>8159</v>
      </c>
      <c r="D9423" s="8">
        <v>220</v>
      </c>
      <c r="E9423" s="8"/>
      <c r="F9423" s="92">
        <f t="shared" si="202"/>
        <v>289095</v>
      </c>
    </row>
    <row r="9424" spans="1:12" x14ac:dyDescent="0.25">
      <c r="A9424" s="204">
        <v>44341</v>
      </c>
      <c r="B9424" s="26" t="s">
        <v>26</v>
      </c>
      <c r="C9424" s="26" t="s">
        <v>4280</v>
      </c>
      <c r="D9424" s="8">
        <v>8706</v>
      </c>
      <c r="E9424" s="8"/>
      <c r="F9424" s="92">
        <f t="shared" si="202"/>
        <v>280389</v>
      </c>
    </row>
    <row r="9425" spans="1:10" x14ac:dyDescent="0.25">
      <c r="A9425" s="204">
        <v>44341</v>
      </c>
      <c r="B9425" s="26" t="s">
        <v>6147</v>
      </c>
      <c r="C9425" s="26" t="s">
        <v>8165</v>
      </c>
      <c r="D9425" s="8">
        <v>500</v>
      </c>
      <c r="E9425" s="8"/>
      <c r="F9425" s="92">
        <f t="shared" si="202"/>
        <v>279889</v>
      </c>
    </row>
    <row r="9426" spans="1:10" x14ac:dyDescent="0.25">
      <c r="A9426" s="204">
        <v>44343</v>
      </c>
      <c r="B9426" s="26" t="s">
        <v>14</v>
      </c>
      <c r="C9426" s="26" t="s">
        <v>295</v>
      </c>
      <c r="D9426" s="8">
        <v>10000</v>
      </c>
      <c r="E9426" s="8"/>
      <c r="F9426" s="92">
        <f t="shared" si="202"/>
        <v>269889</v>
      </c>
    </row>
    <row r="9427" spans="1:10" x14ac:dyDescent="0.25">
      <c r="A9427" s="204">
        <v>44343</v>
      </c>
      <c r="B9427" s="26" t="s">
        <v>11</v>
      </c>
      <c r="C9427" s="26" t="s">
        <v>3914</v>
      </c>
      <c r="D9427" s="8">
        <v>1000</v>
      </c>
      <c r="E9427" s="8"/>
      <c r="F9427" s="92">
        <f t="shared" si="202"/>
        <v>268889</v>
      </c>
    </row>
    <row r="9428" spans="1:10" x14ac:dyDescent="0.25">
      <c r="A9428" s="204">
        <v>44343</v>
      </c>
      <c r="B9428" s="26" t="s">
        <v>1840</v>
      </c>
      <c r="C9428" s="26" t="s">
        <v>7740</v>
      </c>
      <c r="D9428" s="8">
        <v>2500</v>
      </c>
      <c r="E9428" s="8"/>
      <c r="F9428" s="92">
        <f t="shared" si="202"/>
        <v>266389</v>
      </c>
    </row>
    <row r="9429" spans="1:10" x14ac:dyDescent="0.25">
      <c r="A9429" s="204">
        <v>44343</v>
      </c>
      <c r="B9429" s="26" t="s">
        <v>1077</v>
      </c>
      <c r="C9429" s="26" t="s">
        <v>8166</v>
      </c>
      <c r="D9429" s="8">
        <v>51339</v>
      </c>
      <c r="E9429" s="8"/>
      <c r="F9429" s="92">
        <f t="shared" si="202"/>
        <v>215050</v>
      </c>
    </row>
    <row r="9430" spans="1:10" x14ac:dyDescent="0.25">
      <c r="A9430" s="204">
        <v>44344</v>
      </c>
      <c r="B9430" s="26" t="s">
        <v>6877</v>
      </c>
      <c r="C9430" s="26" t="s">
        <v>8167</v>
      </c>
      <c r="D9430" s="8">
        <v>6450</v>
      </c>
      <c r="E9430" s="8"/>
      <c r="F9430" s="92">
        <f t="shared" si="202"/>
        <v>208600</v>
      </c>
    </row>
    <row r="9431" spans="1:10" x14ac:dyDescent="0.25">
      <c r="A9431" s="204">
        <v>44344</v>
      </c>
      <c r="B9431" s="26" t="s">
        <v>6877</v>
      </c>
      <c r="C9431" s="26" t="s">
        <v>8168</v>
      </c>
      <c r="D9431" s="8">
        <v>250</v>
      </c>
      <c r="E9431" s="8"/>
      <c r="F9431" s="92">
        <f t="shared" si="202"/>
        <v>208350</v>
      </c>
      <c r="H9431" s="10">
        <v>28490</v>
      </c>
      <c r="I9431" s="10" t="s">
        <v>8171</v>
      </c>
      <c r="J9431" s="10">
        <v>280</v>
      </c>
    </row>
    <row r="9432" spans="1:10" x14ac:dyDescent="0.25">
      <c r="A9432" s="204">
        <v>44344</v>
      </c>
      <c r="B9432" s="29" t="s">
        <v>7701</v>
      </c>
      <c r="C9432" s="29" t="s">
        <v>8169</v>
      </c>
      <c r="D9432" s="8">
        <v>1000</v>
      </c>
      <c r="E9432" s="8"/>
      <c r="F9432" s="92">
        <f t="shared" si="202"/>
        <v>207350</v>
      </c>
    </row>
    <row r="9433" spans="1:10" x14ac:dyDescent="0.25">
      <c r="A9433" s="204">
        <v>44344</v>
      </c>
      <c r="B9433" s="29" t="s">
        <v>8170</v>
      </c>
      <c r="C9433" s="29" t="s">
        <v>5853</v>
      </c>
      <c r="D9433" s="8">
        <v>141750</v>
      </c>
      <c r="E9433" s="8"/>
      <c r="F9433" s="92">
        <f t="shared" si="202"/>
        <v>65600</v>
      </c>
      <c r="J9433" s="10">
        <f>J9431*35%</f>
        <v>98</v>
      </c>
    </row>
    <row r="9434" spans="1:10" x14ac:dyDescent="0.25">
      <c r="A9434" s="204">
        <v>44345</v>
      </c>
      <c r="B9434" s="26" t="s">
        <v>7460</v>
      </c>
      <c r="C9434" s="26" t="s">
        <v>3914</v>
      </c>
      <c r="D9434" s="8">
        <v>1000</v>
      </c>
      <c r="E9434" s="8"/>
      <c r="F9434" s="92">
        <f t="shared" si="202"/>
        <v>64600</v>
      </c>
    </row>
    <row r="9435" spans="1:10" x14ac:dyDescent="0.25">
      <c r="A9435" s="204">
        <v>44345</v>
      </c>
      <c r="B9435" s="26" t="s">
        <v>0</v>
      </c>
      <c r="C9435" s="26" t="s">
        <v>8172</v>
      </c>
      <c r="D9435" s="8">
        <v>7050</v>
      </c>
      <c r="E9435" s="8"/>
      <c r="F9435" s="92">
        <f t="shared" si="202"/>
        <v>57550</v>
      </c>
    </row>
    <row r="9436" spans="1:10" x14ac:dyDescent="0.25">
      <c r="A9436" s="204">
        <v>44345</v>
      </c>
      <c r="B9436" s="26" t="s">
        <v>14</v>
      </c>
      <c r="C9436" s="26" t="s">
        <v>641</v>
      </c>
      <c r="D9436" s="8">
        <v>1000</v>
      </c>
      <c r="E9436" s="8"/>
      <c r="F9436" s="92">
        <f t="shared" si="202"/>
        <v>56550</v>
      </c>
    </row>
    <row r="9437" spans="1:10" x14ac:dyDescent="0.25">
      <c r="A9437" s="204">
        <v>44347</v>
      </c>
      <c r="B9437" s="26" t="s">
        <v>14</v>
      </c>
      <c r="C9437" s="26" t="s">
        <v>8175</v>
      </c>
      <c r="D9437" s="8">
        <v>32235</v>
      </c>
      <c r="E9437" s="8"/>
      <c r="F9437" s="92">
        <f t="shared" si="202"/>
        <v>24315</v>
      </c>
    </row>
    <row r="9438" spans="1:10" x14ac:dyDescent="0.25">
      <c r="A9438" s="204">
        <v>44347</v>
      </c>
      <c r="B9438" s="26" t="s">
        <v>26</v>
      </c>
      <c r="C9438" s="26" t="s">
        <v>5563</v>
      </c>
      <c r="D9438" s="8">
        <v>526</v>
      </c>
      <c r="E9438" s="8"/>
      <c r="F9438" s="92">
        <f t="shared" si="202"/>
        <v>23789</v>
      </c>
    </row>
    <row r="9439" spans="1:10" x14ac:dyDescent="0.25">
      <c r="A9439" s="204">
        <v>44347</v>
      </c>
      <c r="B9439" s="452" t="s">
        <v>8098</v>
      </c>
      <c r="C9439" s="452"/>
      <c r="D9439" s="452"/>
      <c r="E9439" s="8">
        <v>50000</v>
      </c>
      <c r="F9439" s="92">
        <f t="shared" si="202"/>
        <v>73789</v>
      </c>
    </row>
    <row r="9440" spans="1:10" x14ac:dyDescent="0.25">
      <c r="A9440" s="204">
        <v>44347</v>
      </c>
      <c r="B9440" s="26" t="s">
        <v>1015</v>
      </c>
      <c r="C9440" s="26" t="s">
        <v>8176</v>
      </c>
      <c r="D9440" s="8">
        <v>2000</v>
      </c>
      <c r="E9440" s="8"/>
      <c r="F9440" s="92">
        <f t="shared" si="202"/>
        <v>71789</v>
      </c>
    </row>
    <row r="9441" spans="1:10" x14ac:dyDescent="0.25">
      <c r="A9441" s="204">
        <v>44347</v>
      </c>
      <c r="B9441" s="26" t="s">
        <v>55</v>
      </c>
      <c r="C9441" s="26" t="s">
        <v>5249</v>
      </c>
      <c r="D9441" s="8">
        <v>25000</v>
      </c>
      <c r="E9441" s="8"/>
      <c r="F9441" s="92">
        <f t="shared" si="202"/>
        <v>46789</v>
      </c>
    </row>
    <row r="9442" spans="1:10" x14ac:dyDescent="0.25">
      <c r="A9442" s="204">
        <v>44348</v>
      </c>
      <c r="B9442" s="26" t="s">
        <v>85</v>
      </c>
      <c r="C9442" s="26" t="s">
        <v>8179</v>
      </c>
      <c r="D9442" s="8">
        <v>1000</v>
      </c>
      <c r="E9442" s="8"/>
      <c r="F9442" s="92">
        <f t="shared" si="202"/>
        <v>45789</v>
      </c>
    </row>
    <row r="9443" spans="1:10" x14ac:dyDescent="0.25">
      <c r="A9443" s="204">
        <v>44348</v>
      </c>
      <c r="B9443" s="26" t="s">
        <v>26</v>
      </c>
      <c r="C9443" s="26" t="s">
        <v>4280</v>
      </c>
      <c r="D9443" s="8">
        <f>1400+580+440+150+140+190+260+110+100+180+260+80+260+140+400+180+130+300+100+90+180+160+50+40</f>
        <v>5920</v>
      </c>
      <c r="E9443" s="8"/>
      <c r="F9443" s="92">
        <f t="shared" si="202"/>
        <v>39869</v>
      </c>
    </row>
    <row r="9444" spans="1:10" ht="30" x14ac:dyDescent="0.25">
      <c r="A9444" s="204">
        <v>44349</v>
      </c>
      <c r="B9444" s="26" t="s">
        <v>6147</v>
      </c>
      <c r="C9444" s="87" t="s">
        <v>8192</v>
      </c>
      <c r="D9444" s="91">
        <v>2000</v>
      </c>
      <c r="E9444" s="8"/>
      <c r="F9444" s="92">
        <f t="shared" si="202"/>
        <v>37869</v>
      </c>
    </row>
    <row r="9445" spans="1:10" x14ac:dyDescent="0.25">
      <c r="A9445" s="204">
        <v>44349</v>
      </c>
      <c r="B9445" s="29" t="s">
        <v>0</v>
      </c>
      <c r="C9445" s="29" t="s">
        <v>295</v>
      </c>
      <c r="D9445" s="8">
        <v>10000</v>
      </c>
      <c r="E9445" s="8"/>
      <c r="F9445" s="92">
        <f t="shared" si="202"/>
        <v>27869</v>
      </c>
    </row>
    <row r="9446" spans="1:10" x14ac:dyDescent="0.25">
      <c r="A9446" s="204">
        <v>44349</v>
      </c>
      <c r="B9446" s="29" t="s">
        <v>58</v>
      </c>
      <c r="C9446" s="29" t="s">
        <v>8180</v>
      </c>
      <c r="D9446" s="8">
        <v>3000</v>
      </c>
      <c r="E9446" s="8"/>
      <c r="F9446" s="92">
        <f t="shared" si="202"/>
        <v>24869</v>
      </c>
    </row>
    <row r="9447" spans="1:10" x14ac:dyDescent="0.25">
      <c r="A9447" s="204">
        <v>44349</v>
      </c>
      <c r="B9447" s="29" t="s">
        <v>26</v>
      </c>
      <c r="C9447" s="29" t="s">
        <v>6758</v>
      </c>
      <c r="D9447" s="8">
        <v>1000</v>
      </c>
      <c r="E9447" s="8"/>
      <c r="F9447" s="92">
        <f t="shared" si="202"/>
        <v>23869</v>
      </c>
      <c r="J9447" s="10">
        <v>2294700</v>
      </c>
    </row>
    <row r="9448" spans="1:10" x14ac:dyDescent="0.25">
      <c r="A9448" s="204">
        <v>44349</v>
      </c>
      <c r="B9448" s="452" t="s">
        <v>8098</v>
      </c>
      <c r="C9448" s="452"/>
      <c r="D9448" s="452"/>
      <c r="E9448" s="8">
        <v>720000</v>
      </c>
      <c r="F9448" s="92">
        <f t="shared" si="202"/>
        <v>743869</v>
      </c>
    </row>
    <row r="9449" spans="1:10" x14ac:dyDescent="0.25">
      <c r="A9449" s="204">
        <v>44349</v>
      </c>
      <c r="B9449" s="452" t="s">
        <v>7638</v>
      </c>
      <c r="C9449" s="452"/>
      <c r="D9449" s="452"/>
      <c r="E9449" s="8">
        <v>500000</v>
      </c>
      <c r="F9449" s="92">
        <f t="shared" ref="F9449:F9517" si="203">F9448+E9449-D9449</f>
        <v>1243869</v>
      </c>
      <c r="H9449" s="431">
        <v>21000000</v>
      </c>
    </row>
    <row r="9450" spans="1:10" x14ac:dyDescent="0.25">
      <c r="A9450" s="204">
        <v>44350</v>
      </c>
      <c r="B9450" s="26" t="s">
        <v>14</v>
      </c>
      <c r="C9450" s="26" t="s">
        <v>8189</v>
      </c>
      <c r="D9450" s="8">
        <v>20000</v>
      </c>
      <c r="E9450" s="8"/>
      <c r="F9450" s="92">
        <f t="shared" si="203"/>
        <v>1223869</v>
      </c>
    </row>
    <row r="9451" spans="1:10" x14ac:dyDescent="0.25">
      <c r="A9451" s="204">
        <v>44350</v>
      </c>
      <c r="B9451" s="26" t="s">
        <v>4776</v>
      </c>
      <c r="C9451" s="26" t="s">
        <v>7878</v>
      </c>
      <c r="D9451" s="8">
        <v>20000</v>
      </c>
      <c r="E9451" s="8"/>
      <c r="F9451" s="92">
        <f t="shared" si="203"/>
        <v>1203869</v>
      </c>
      <c r="H9451" s="10">
        <f>H9449*7.5%</f>
        <v>1575000</v>
      </c>
      <c r="J9451" s="10">
        <f>J9447*13%</f>
        <v>298311</v>
      </c>
    </row>
    <row r="9452" spans="1:10" x14ac:dyDescent="0.25">
      <c r="A9452" s="204">
        <v>44350</v>
      </c>
      <c r="B9452" s="26" t="s">
        <v>7736</v>
      </c>
      <c r="C9452" s="26" t="s">
        <v>7490</v>
      </c>
      <c r="D9452" s="8">
        <v>2000</v>
      </c>
      <c r="E9452" s="8"/>
      <c r="F9452" s="92">
        <f t="shared" si="203"/>
        <v>1201869</v>
      </c>
    </row>
    <row r="9453" spans="1:10" x14ac:dyDescent="0.25">
      <c r="A9453" s="204">
        <v>44350</v>
      </c>
      <c r="B9453" s="162" t="s">
        <v>1515</v>
      </c>
      <c r="C9453" s="162" t="s">
        <v>7389</v>
      </c>
      <c r="D9453" s="8">
        <v>94000</v>
      </c>
      <c r="E9453" s="8"/>
      <c r="F9453" s="92">
        <f t="shared" si="203"/>
        <v>1107869</v>
      </c>
      <c r="H9453" s="10">
        <v>8220</v>
      </c>
    </row>
    <row r="9454" spans="1:10" x14ac:dyDescent="0.25">
      <c r="A9454" s="204">
        <v>44350</v>
      </c>
      <c r="B9454" s="162" t="s">
        <v>1515</v>
      </c>
      <c r="C9454" s="162" t="s">
        <v>7722</v>
      </c>
      <c r="D9454" s="8">
        <v>201484</v>
      </c>
      <c r="E9454" s="8"/>
      <c r="F9454" s="92">
        <f t="shared" si="203"/>
        <v>906385</v>
      </c>
    </row>
    <row r="9455" spans="1:10" x14ac:dyDescent="0.25">
      <c r="A9455" s="204">
        <v>44350</v>
      </c>
      <c r="B9455" s="162" t="s">
        <v>1515</v>
      </c>
      <c r="C9455" s="162" t="s">
        <v>7034</v>
      </c>
      <c r="D9455" s="8">
        <v>121335</v>
      </c>
      <c r="E9455" s="8"/>
      <c r="F9455" s="92">
        <f t="shared" si="203"/>
        <v>785050</v>
      </c>
    </row>
    <row r="9456" spans="1:10" x14ac:dyDescent="0.25">
      <c r="A9456" s="204">
        <v>44350</v>
      </c>
      <c r="B9456" s="162" t="s">
        <v>1515</v>
      </c>
      <c r="C9456" s="162" t="s">
        <v>6826</v>
      </c>
      <c r="D9456" s="8">
        <v>89770</v>
      </c>
      <c r="E9456" s="8"/>
      <c r="F9456" s="92">
        <f t="shared" si="203"/>
        <v>695280</v>
      </c>
    </row>
    <row r="9457" spans="1:12" x14ac:dyDescent="0.25">
      <c r="A9457" s="204">
        <v>44350</v>
      </c>
      <c r="B9457" s="162" t="s">
        <v>1515</v>
      </c>
      <c r="C9457" s="162" t="s">
        <v>7047</v>
      </c>
      <c r="D9457" s="8">
        <v>84968</v>
      </c>
      <c r="E9457" s="8"/>
      <c r="F9457" s="92">
        <f t="shared" si="203"/>
        <v>610312</v>
      </c>
    </row>
    <row r="9458" spans="1:12" x14ac:dyDescent="0.25">
      <c r="A9458" s="204">
        <v>44350</v>
      </c>
      <c r="B9458" s="162" t="s">
        <v>1515</v>
      </c>
      <c r="C9458" s="162" t="s">
        <v>8193</v>
      </c>
      <c r="D9458" s="8">
        <v>163800</v>
      </c>
      <c r="E9458" s="8"/>
      <c r="F9458" s="92">
        <f t="shared" si="203"/>
        <v>446512</v>
      </c>
    </row>
    <row r="9459" spans="1:12" x14ac:dyDescent="0.25">
      <c r="A9459" s="204">
        <v>44350</v>
      </c>
      <c r="B9459" s="162" t="s">
        <v>1515</v>
      </c>
      <c r="C9459" s="162" t="s">
        <v>3622</v>
      </c>
      <c r="D9459" s="8">
        <v>49355</v>
      </c>
      <c r="E9459" s="8"/>
      <c r="F9459" s="92">
        <f t="shared" si="203"/>
        <v>397157</v>
      </c>
    </row>
    <row r="9460" spans="1:12" x14ac:dyDescent="0.25">
      <c r="A9460" s="204">
        <v>44350</v>
      </c>
      <c r="B9460" s="162" t="s">
        <v>1515</v>
      </c>
      <c r="C9460" s="162" t="s">
        <v>446</v>
      </c>
      <c r="D9460" s="8">
        <v>16734</v>
      </c>
      <c r="E9460" s="8"/>
      <c r="F9460" s="92">
        <f t="shared" si="203"/>
        <v>380423</v>
      </c>
    </row>
    <row r="9461" spans="1:12" x14ac:dyDescent="0.25">
      <c r="A9461" s="204">
        <v>44350</v>
      </c>
      <c r="B9461" s="162" t="s">
        <v>1515</v>
      </c>
      <c r="C9461" s="162" t="s">
        <v>8195</v>
      </c>
      <c r="D9461" s="8">
        <v>64343</v>
      </c>
      <c r="E9461" s="8"/>
      <c r="F9461" s="92">
        <f t="shared" si="203"/>
        <v>316080</v>
      </c>
      <c r="L9461" s="25"/>
    </row>
    <row r="9462" spans="1:12" x14ac:dyDescent="0.25">
      <c r="A9462" s="204">
        <v>44350</v>
      </c>
      <c r="B9462" s="162" t="s">
        <v>1515</v>
      </c>
      <c r="C9462" s="162" t="s">
        <v>7194</v>
      </c>
      <c r="D9462" s="8">
        <v>18290</v>
      </c>
      <c r="E9462" s="8"/>
      <c r="F9462" s="92">
        <f t="shared" si="203"/>
        <v>297790</v>
      </c>
      <c r="L9462" s="25"/>
    </row>
    <row r="9463" spans="1:12" x14ac:dyDescent="0.25">
      <c r="A9463" s="204">
        <v>44350</v>
      </c>
      <c r="B9463" s="162" t="s">
        <v>1515</v>
      </c>
      <c r="C9463" s="162" t="s">
        <v>7518</v>
      </c>
      <c r="D9463" s="8">
        <v>28850</v>
      </c>
      <c r="E9463" s="8"/>
      <c r="F9463" s="92">
        <f t="shared" si="203"/>
        <v>268940</v>
      </c>
      <c r="L9463" s="25"/>
    </row>
    <row r="9464" spans="1:12" x14ac:dyDescent="0.25">
      <c r="A9464" s="204">
        <v>44350</v>
      </c>
      <c r="B9464" s="26" t="s">
        <v>0</v>
      </c>
      <c r="C9464" s="26" t="s">
        <v>3914</v>
      </c>
      <c r="D9464" s="8">
        <v>115000</v>
      </c>
      <c r="E9464" s="8"/>
      <c r="F9464" s="92">
        <f t="shared" si="203"/>
        <v>153940</v>
      </c>
    </row>
    <row r="9465" spans="1:12" x14ac:dyDescent="0.25">
      <c r="A9465" s="204">
        <v>44351</v>
      </c>
      <c r="B9465" s="40" t="s">
        <v>8196</v>
      </c>
      <c r="C9465" s="40" t="s">
        <v>8197</v>
      </c>
      <c r="D9465" s="8">
        <v>25000</v>
      </c>
      <c r="E9465" s="8"/>
      <c r="F9465" s="92">
        <f t="shared" si="203"/>
        <v>128940</v>
      </c>
      <c r="J9465" s="10" t="e">
        <f>#REF!-#REF!</f>
        <v>#REF!</v>
      </c>
    </row>
    <row r="9466" spans="1:12" x14ac:dyDescent="0.25">
      <c r="A9466" s="204">
        <v>44352</v>
      </c>
      <c r="B9466" s="26" t="s">
        <v>8198</v>
      </c>
      <c r="C9466" s="26" t="s">
        <v>5735</v>
      </c>
      <c r="D9466" s="8">
        <v>34790</v>
      </c>
      <c r="E9466" s="8"/>
      <c r="F9466" s="92">
        <f t="shared" si="203"/>
        <v>94150</v>
      </c>
    </row>
    <row r="9467" spans="1:12" ht="30" x14ac:dyDescent="0.25">
      <c r="A9467" s="204">
        <v>44352</v>
      </c>
      <c r="B9467" s="199" t="s">
        <v>69</v>
      </c>
      <c r="C9467" s="207" t="s">
        <v>8199</v>
      </c>
      <c r="D9467" s="91">
        <v>19050</v>
      </c>
      <c r="E9467" s="8"/>
      <c r="F9467" s="92">
        <f t="shared" si="203"/>
        <v>75100</v>
      </c>
    </row>
    <row r="9468" spans="1:12" x14ac:dyDescent="0.25">
      <c r="A9468" s="204">
        <v>44352</v>
      </c>
      <c r="B9468" s="26" t="s">
        <v>4776</v>
      </c>
      <c r="C9468" s="26" t="s">
        <v>7878</v>
      </c>
      <c r="D9468" s="8">
        <v>70000</v>
      </c>
      <c r="E9468" s="8"/>
      <c r="F9468" s="92">
        <f t="shared" si="203"/>
        <v>5100</v>
      </c>
    </row>
    <row r="9469" spans="1:12" x14ac:dyDescent="0.25">
      <c r="A9469" s="204">
        <v>44354</v>
      </c>
      <c r="B9469" s="452" t="s">
        <v>7688</v>
      </c>
      <c r="C9469" s="452"/>
      <c r="D9469" s="452"/>
      <c r="E9469" s="8">
        <v>200000</v>
      </c>
      <c r="F9469" s="92">
        <f t="shared" si="203"/>
        <v>205100</v>
      </c>
      <c r="H9469" s="431"/>
    </row>
    <row r="9470" spans="1:12" x14ac:dyDescent="0.25">
      <c r="A9470" s="204">
        <v>44354</v>
      </c>
      <c r="B9470" s="26" t="s">
        <v>85</v>
      </c>
      <c r="C9470" s="26" t="s">
        <v>8203</v>
      </c>
      <c r="D9470" s="8">
        <v>3000</v>
      </c>
      <c r="E9470" s="8"/>
      <c r="F9470" s="92">
        <f t="shared" si="203"/>
        <v>202100</v>
      </c>
    </row>
    <row r="9471" spans="1:12" x14ac:dyDescent="0.25">
      <c r="A9471" s="204">
        <v>44354</v>
      </c>
      <c r="B9471" s="26" t="s">
        <v>14</v>
      </c>
      <c r="C9471" s="26" t="s">
        <v>295</v>
      </c>
      <c r="D9471" s="8">
        <v>10000</v>
      </c>
      <c r="E9471" s="8"/>
      <c r="F9471" s="92">
        <f t="shared" si="203"/>
        <v>192100</v>
      </c>
    </row>
    <row r="9472" spans="1:12" x14ac:dyDescent="0.25">
      <c r="A9472" s="204">
        <v>44354</v>
      </c>
      <c r="B9472" s="162" t="s">
        <v>1515</v>
      </c>
      <c r="C9472" s="162" t="s">
        <v>7950</v>
      </c>
      <c r="D9472" s="8">
        <v>41677</v>
      </c>
      <c r="E9472" s="8"/>
      <c r="F9472" s="92">
        <f t="shared" si="203"/>
        <v>150423</v>
      </c>
      <c r="L9472" s="25"/>
    </row>
    <row r="9473" spans="1:12" x14ac:dyDescent="0.25">
      <c r="A9473" s="204">
        <v>44355</v>
      </c>
      <c r="B9473" s="26" t="s">
        <v>26</v>
      </c>
      <c r="C9473" s="26" t="s">
        <v>4280</v>
      </c>
      <c r="D9473" s="8">
        <v>6530</v>
      </c>
      <c r="E9473" s="8"/>
      <c r="F9473" s="92">
        <f t="shared" si="203"/>
        <v>143893</v>
      </c>
    </row>
    <row r="9474" spans="1:12" x14ac:dyDescent="0.25">
      <c r="A9474" s="204">
        <v>44356</v>
      </c>
      <c r="B9474" s="26" t="s">
        <v>58</v>
      </c>
      <c r="C9474" s="26" t="s">
        <v>295</v>
      </c>
      <c r="D9474" s="8">
        <v>20000</v>
      </c>
      <c r="E9474" s="8"/>
      <c r="F9474" s="92">
        <f t="shared" si="203"/>
        <v>123893</v>
      </c>
    </row>
    <row r="9475" spans="1:12" x14ac:dyDescent="0.25">
      <c r="A9475" s="204">
        <v>44356</v>
      </c>
      <c r="B9475" s="452" t="s">
        <v>7688</v>
      </c>
      <c r="C9475" s="452"/>
      <c r="D9475" s="452"/>
      <c r="E9475" s="8">
        <v>250000</v>
      </c>
      <c r="F9475" s="92">
        <f t="shared" si="203"/>
        <v>373893</v>
      </c>
      <c r="H9475" s="431"/>
    </row>
    <row r="9476" spans="1:12" x14ac:dyDescent="0.25">
      <c r="A9476" s="204">
        <v>44356</v>
      </c>
      <c r="B9476" s="452" t="s">
        <v>7688</v>
      </c>
      <c r="C9476" s="452"/>
      <c r="D9476" s="452"/>
      <c r="E9476" s="8">
        <v>250000</v>
      </c>
      <c r="F9476" s="92">
        <f t="shared" si="203"/>
        <v>623893</v>
      </c>
      <c r="H9476" s="431"/>
    </row>
    <row r="9477" spans="1:12" x14ac:dyDescent="0.25">
      <c r="A9477" s="204">
        <v>44356</v>
      </c>
      <c r="B9477" s="26" t="s">
        <v>6770</v>
      </c>
      <c r="C9477" s="26" t="s">
        <v>8223</v>
      </c>
      <c r="D9477" s="8">
        <v>65000</v>
      </c>
      <c r="E9477" s="8"/>
      <c r="F9477" s="92">
        <f t="shared" si="203"/>
        <v>558893</v>
      </c>
    </row>
    <row r="9478" spans="1:12" x14ac:dyDescent="0.25">
      <c r="A9478" s="204">
        <v>44356</v>
      </c>
      <c r="B9478" s="162" t="s">
        <v>1515</v>
      </c>
      <c r="C9478" s="162" t="s">
        <v>8075</v>
      </c>
      <c r="D9478" s="8">
        <v>14000</v>
      </c>
      <c r="E9478" s="8"/>
      <c r="F9478" s="92">
        <f t="shared" si="203"/>
        <v>544893</v>
      </c>
      <c r="L9478" s="25"/>
    </row>
    <row r="9479" spans="1:12" x14ac:dyDescent="0.25">
      <c r="A9479" s="204">
        <v>44356</v>
      </c>
      <c r="B9479" s="162" t="s">
        <v>1515</v>
      </c>
      <c r="C9479" s="162" t="s">
        <v>8205</v>
      </c>
      <c r="D9479" s="8">
        <v>15500</v>
      </c>
      <c r="E9479" s="8"/>
      <c r="F9479" s="92">
        <f t="shared" si="203"/>
        <v>529393</v>
      </c>
      <c r="L9479" s="25"/>
    </row>
    <row r="9480" spans="1:12" x14ac:dyDescent="0.25">
      <c r="A9480" s="204">
        <v>44356</v>
      </c>
      <c r="B9480" s="26" t="s">
        <v>2951</v>
      </c>
      <c r="C9480" s="26" t="s">
        <v>8206</v>
      </c>
      <c r="D9480" s="8">
        <v>500</v>
      </c>
      <c r="E9480" s="8"/>
      <c r="F9480" s="92">
        <f t="shared" si="203"/>
        <v>528893</v>
      </c>
    </row>
    <row r="9481" spans="1:12" x14ac:dyDescent="0.25">
      <c r="A9481" s="204">
        <v>44356</v>
      </c>
      <c r="B9481" s="162" t="s">
        <v>1515</v>
      </c>
      <c r="C9481" s="162" t="s">
        <v>6852</v>
      </c>
      <c r="D9481" s="8">
        <v>75645</v>
      </c>
      <c r="E9481" s="8"/>
      <c r="F9481" s="92">
        <f t="shared" si="203"/>
        <v>453248</v>
      </c>
      <c r="L9481" s="25"/>
    </row>
    <row r="9482" spans="1:12" x14ac:dyDescent="0.25">
      <c r="A9482" s="204">
        <v>44356</v>
      </c>
      <c r="B9482" s="162" t="s">
        <v>1515</v>
      </c>
      <c r="C9482" s="162" t="s">
        <v>8209</v>
      </c>
      <c r="D9482" s="8">
        <v>37258</v>
      </c>
      <c r="E9482" s="8"/>
      <c r="F9482" s="92">
        <f t="shared" si="203"/>
        <v>415990</v>
      </c>
      <c r="L9482" s="25"/>
    </row>
    <row r="9483" spans="1:12" x14ac:dyDescent="0.25">
      <c r="A9483" s="204">
        <v>44356</v>
      </c>
      <c r="B9483" s="452" t="s">
        <v>8210</v>
      </c>
      <c r="C9483" s="452"/>
      <c r="D9483" s="452"/>
      <c r="E9483" s="8">
        <v>11700</v>
      </c>
      <c r="F9483" s="92">
        <f t="shared" si="203"/>
        <v>427690</v>
      </c>
      <c r="H9483" s="431"/>
    </row>
    <row r="9484" spans="1:12" x14ac:dyDescent="0.25">
      <c r="A9484" s="204">
        <v>44357</v>
      </c>
      <c r="B9484" s="40" t="s">
        <v>5140</v>
      </c>
      <c r="C9484" s="40" t="s">
        <v>295</v>
      </c>
      <c r="D9484" s="140">
        <v>4162</v>
      </c>
      <c r="E9484" s="8"/>
      <c r="F9484" s="92">
        <f t="shared" si="203"/>
        <v>423528</v>
      </c>
    </row>
    <row r="9485" spans="1:12" x14ac:dyDescent="0.25">
      <c r="A9485" s="204">
        <v>44357</v>
      </c>
      <c r="B9485" s="26" t="s">
        <v>19</v>
      </c>
      <c r="C9485" s="26" t="s">
        <v>295</v>
      </c>
      <c r="D9485" s="8">
        <v>1000</v>
      </c>
      <c r="E9485" s="8"/>
      <c r="F9485" s="92">
        <f t="shared" si="203"/>
        <v>422528</v>
      </c>
    </row>
    <row r="9486" spans="1:12" x14ac:dyDescent="0.25">
      <c r="A9486" s="204">
        <v>44357</v>
      </c>
      <c r="B9486" s="452" t="s">
        <v>864</v>
      </c>
      <c r="C9486" s="452"/>
      <c r="D9486" s="452"/>
      <c r="E9486" s="8">
        <v>80000</v>
      </c>
      <c r="F9486" s="92">
        <f t="shared" si="203"/>
        <v>502528</v>
      </c>
      <c r="H9486" s="431"/>
    </row>
    <row r="9487" spans="1:12" ht="15.75" x14ac:dyDescent="0.25">
      <c r="A9487" s="204">
        <v>44357</v>
      </c>
      <c r="B9487" s="26" t="s">
        <v>8213</v>
      </c>
      <c r="C9487" s="434" t="s">
        <v>8214</v>
      </c>
      <c r="D9487" s="8">
        <v>40000</v>
      </c>
      <c r="E9487" s="8"/>
      <c r="F9487" s="92">
        <f t="shared" si="203"/>
        <v>462528</v>
      </c>
    </row>
    <row r="9488" spans="1:12" x14ac:dyDescent="0.25">
      <c r="A9488" s="204">
        <v>44357</v>
      </c>
      <c r="B9488" s="26" t="s">
        <v>6770</v>
      </c>
      <c r="C9488" s="26" t="s">
        <v>8224</v>
      </c>
      <c r="D9488" s="8">
        <v>11000</v>
      </c>
      <c r="E9488" s="8"/>
      <c r="F9488" s="92">
        <f t="shared" si="203"/>
        <v>451528</v>
      </c>
    </row>
    <row r="9489" spans="1:12" x14ac:dyDescent="0.25">
      <c r="A9489" s="204">
        <v>44357</v>
      </c>
      <c r="B9489" s="26" t="s">
        <v>7098</v>
      </c>
      <c r="C9489" s="26" t="s">
        <v>8215</v>
      </c>
      <c r="D9489" s="8">
        <v>10000</v>
      </c>
      <c r="E9489" s="8"/>
      <c r="F9489" s="92">
        <f t="shared" si="203"/>
        <v>441528</v>
      </c>
      <c r="H9489" s="435">
        <v>3206186.48</v>
      </c>
    </row>
    <row r="9490" spans="1:12" x14ac:dyDescent="0.25">
      <c r="A9490" s="204">
        <v>44357</v>
      </c>
      <c r="B9490" s="26" t="s">
        <v>5485</v>
      </c>
      <c r="C9490" s="26" t="s">
        <v>8216</v>
      </c>
      <c r="D9490" s="8">
        <v>1200</v>
      </c>
      <c r="E9490" s="8"/>
      <c r="F9490" s="92">
        <f t="shared" si="203"/>
        <v>440328</v>
      </c>
    </row>
    <row r="9491" spans="1:12" x14ac:dyDescent="0.25">
      <c r="A9491" s="204">
        <v>44358</v>
      </c>
      <c r="B9491" s="26" t="s">
        <v>8140</v>
      </c>
      <c r="C9491" s="26" t="s">
        <v>8217</v>
      </c>
      <c r="D9491" s="8">
        <v>75000</v>
      </c>
      <c r="E9491" s="8"/>
      <c r="F9491" s="92">
        <f t="shared" si="203"/>
        <v>365328</v>
      </c>
      <c r="H9491" s="10">
        <v>240463.99</v>
      </c>
      <c r="I9491" s="10">
        <f>H9489*7.5%</f>
        <v>240463.98599999998</v>
      </c>
    </row>
    <row r="9492" spans="1:12" x14ac:dyDescent="0.25">
      <c r="A9492" s="204">
        <v>44358</v>
      </c>
      <c r="B9492" s="26" t="s">
        <v>8218</v>
      </c>
      <c r="C9492" s="26" t="s">
        <v>8219</v>
      </c>
      <c r="D9492" s="8">
        <v>15000</v>
      </c>
      <c r="E9492" s="8"/>
      <c r="F9492" s="92">
        <f t="shared" si="203"/>
        <v>350328</v>
      </c>
    </row>
    <row r="9493" spans="1:12" x14ac:dyDescent="0.25">
      <c r="A9493" s="204">
        <v>44358</v>
      </c>
      <c r="B9493" s="29" t="s">
        <v>8220</v>
      </c>
      <c r="C9493" s="29" t="s">
        <v>6450</v>
      </c>
      <c r="D9493" s="8">
        <v>50000</v>
      </c>
      <c r="E9493" s="8"/>
      <c r="F9493" s="92">
        <f t="shared" si="203"/>
        <v>300328</v>
      </c>
      <c r="H9493" s="10">
        <v>11237.73</v>
      </c>
    </row>
    <row r="9494" spans="1:12" x14ac:dyDescent="0.25">
      <c r="A9494" s="204">
        <v>44358</v>
      </c>
      <c r="B9494" s="29" t="s">
        <v>542</v>
      </c>
      <c r="C9494" s="29" t="s">
        <v>8221</v>
      </c>
      <c r="D9494" s="8">
        <v>40490</v>
      </c>
      <c r="E9494" s="8"/>
      <c r="F9494" s="92">
        <f t="shared" si="203"/>
        <v>259838</v>
      </c>
    </row>
    <row r="9495" spans="1:12" x14ac:dyDescent="0.25">
      <c r="A9495" s="204">
        <v>44358</v>
      </c>
      <c r="B9495" s="162" t="s">
        <v>1515</v>
      </c>
      <c r="C9495" s="162" t="s">
        <v>8087</v>
      </c>
      <c r="D9495" s="8">
        <v>25000</v>
      </c>
      <c r="E9495" s="8"/>
      <c r="F9495" s="92">
        <f t="shared" si="203"/>
        <v>234838</v>
      </c>
      <c r="H9495" s="10">
        <v>2954484.76</v>
      </c>
    </row>
    <row r="9496" spans="1:12" x14ac:dyDescent="0.25">
      <c r="A9496" s="204">
        <v>44358</v>
      </c>
      <c r="B9496" s="452" t="s">
        <v>864</v>
      </c>
      <c r="C9496" s="452"/>
      <c r="D9496" s="452"/>
      <c r="E9496" s="8">
        <v>150000</v>
      </c>
      <c r="F9496" s="92">
        <f t="shared" si="203"/>
        <v>384838</v>
      </c>
      <c r="L9496" s="25"/>
    </row>
    <row r="9497" spans="1:12" x14ac:dyDescent="0.25">
      <c r="A9497" s="204">
        <v>44358</v>
      </c>
      <c r="B9497" s="26" t="s">
        <v>1619</v>
      </c>
      <c r="C9497" s="26" t="s">
        <v>3175</v>
      </c>
      <c r="D9497" s="8">
        <v>2600</v>
      </c>
      <c r="E9497" s="8"/>
      <c r="F9497" s="92">
        <f t="shared" si="203"/>
        <v>382238</v>
      </c>
      <c r="H9497" s="431"/>
    </row>
    <row r="9498" spans="1:12" x14ac:dyDescent="0.25">
      <c r="A9498" s="204">
        <v>44359</v>
      </c>
      <c r="B9498" s="26" t="s">
        <v>58</v>
      </c>
      <c r="C9498" s="26" t="s">
        <v>8222</v>
      </c>
      <c r="D9498" s="8">
        <v>8000</v>
      </c>
      <c r="E9498" s="8"/>
      <c r="F9498" s="92">
        <f t="shared" si="203"/>
        <v>374238</v>
      </c>
    </row>
    <row r="9499" spans="1:12" x14ac:dyDescent="0.25">
      <c r="A9499" s="204">
        <v>44359</v>
      </c>
      <c r="B9499" s="26" t="s">
        <v>6063</v>
      </c>
      <c r="C9499" s="26" t="s">
        <v>7740</v>
      </c>
      <c r="D9499" s="8">
        <v>4500</v>
      </c>
      <c r="E9499" s="8"/>
      <c r="F9499" s="92">
        <f t="shared" si="203"/>
        <v>369738</v>
      </c>
    </row>
    <row r="9500" spans="1:12" x14ac:dyDescent="0.25">
      <c r="A9500" s="204">
        <v>44359</v>
      </c>
      <c r="B9500" s="26" t="s">
        <v>26</v>
      </c>
      <c r="C9500" s="26" t="s">
        <v>4280</v>
      </c>
      <c r="D9500" s="8">
        <v>6220</v>
      </c>
      <c r="E9500" s="8"/>
      <c r="F9500" s="92">
        <f t="shared" si="203"/>
        <v>363518</v>
      </c>
    </row>
    <row r="9501" spans="1:12" x14ac:dyDescent="0.25">
      <c r="A9501" s="204">
        <v>44359</v>
      </c>
      <c r="B9501" s="26" t="s">
        <v>85</v>
      </c>
      <c r="C9501" s="26" t="s">
        <v>8226</v>
      </c>
      <c r="D9501" s="8">
        <v>5000</v>
      </c>
      <c r="E9501" s="8"/>
      <c r="F9501" s="92">
        <f t="shared" si="203"/>
        <v>358518</v>
      </c>
      <c r="K9501" s="6">
        <v>3900</v>
      </c>
    </row>
    <row r="9502" spans="1:12" x14ac:dyDescent="0.25">
      <c r="A9502" s="204">
        <v>44359</v>
      </c>
      <c r="B9502" s="26" t="s">
        <v>6063</v>
      </c>
      <c r="C9502" s="26" t="s">
        <v>8227</v>
      </c>
      <c r="D9502" s="8">
        <v>20000</v>
      </c>
      <c r="E9502" s="8"/>
      <c r="F9502" s="92">
        <f t="shared" si="203"/>
        <v>338518</v>
      </c>
      <c r="I9502" s="10">
        <v>300000</v>
      </c>
      <c r="K9502" s="6">
        <f>K9501*80%</f>
        <v>3120</v>
      </c>
    </row>
    <row r="9503" spans="1:12" x14ac:dyDescent="0.25">
      <c r="A9503" s="204">
        <v>44359</v>
      </c>
      <c r="B9503" s="26" t="s">
        <v>0</v>
      </c>
      <c r="C9503" s="26" t="s">
        <v>295</v>
      </c>
      <c r="D9503" s="8">
        <v>25000</v>
      </c>
      <c r="E9503" s="8"/>
      <c r="F9503" s="92">
        <f t="shared" si="203"/>
        <v>313518</v>
      </c>
      <c r="I9503" s="10">
        <f>I9502*13%</f>
        <v>39000</v>
      </c>
      <c r="K9503" s="25">
        <f>I9503*80%</f>
        <v>31200</v>
      </c>
      <c r="L9503" s="25">
        <f>K9503-K9502</f>
        <v>28080</v>
      </c>
    </row>
    <row r="9504" spans="1:12" x14ac:dyDescent="0.25">
      <c r="A9504" s="204">
        <v>44361</v>
      </c>
      <c r="B9504" s="26" t="s">
        <v>6293</v>
      </c>
      <c r="C9504" s="26" t="s">
        <v>8229</v>
      </c>
      <c r="D9504" s="8">
        <v>20000</v>
      </c>
      <c r="E9504" s="8"/>
      <c r="F9504" s="92">
        <f t="shared" si="203"/>
        <v>293518</v>
      </c>
      <c r="I9504" s="10">
        <f>I9502+I9503</f>
        <v>339000</v>
      </c>
    </row>
    <row r="9505" spans="1:12" x14ac:dyDescent="0.25">
      <c r="A9505" s="204">
        <v>44361</v>
      </c>
      <c r="B9505" s="26" t="s">
        <v>14</v>
      </c>
      <c r="C9505" s="26" t="s">
        <v>8230</v>
      </c>
      <c r="D9505" s="8">
        <v>50000</v>
      </c>
      <c r="E9505" s="8"/>
      <c r="F9505" s="92">
        <f t="shared" si="203"/>
        <v>243518</v>
      </c>
    </row>
    <row r="9506" spans="1:12" x14ac:dyDescent="0.25">
      <c r="A9506" s="204">
        <v>44361</v>
      </c>
      <c r="B9506" s="26" t="s">
        <v>7425</v>
      </c>
      <c r="C9506" s="26" t="s">
        <v>8233</v>
      </c>
      <c r="D9506" s="8">
        <v>50000</v>
      </c>
      <c r="E9506" s="8"/>
      <c r="F9506" s="92">
        <f t="shared" si="203"/>
        <v>193518</v>
      </c>
    </row>
    <row r="9507" spans="1:12" x14ac:dyDescent="0.25">
      <c r="A9507" s="204">
        <v>44361</v>
      </c>
      <c r="B9507" s="26" t="s">
        <v>6063</v>
      </c>
      <c r="C9507" s="26" t="s">
        <v>8234</v>
      </c>
      <c r="D9507" s="8">
        <v>20000</v>
      </c>
      <c r="E9507" s="8"/>
      <c r="F9507" s="92">
        <f t="shared" si="203"/>
        <v>173518</v>
      </c>
    </row>
    <row r="9508" spans="1:12" x14ac:dyDescent="0.25">
      <c r="A9508" s="204">
        <v>44361</v>
      </c>
      <c r="B9508" s="26" t="s">
        <v>542</v>
      </c>
      <c r="C9508" s="26" t="s">
        <v>6815</v>
      </c>
      <c r="D9508" s="8">
        <v>5000</v>
      </c>
      <c r="E9508" s="8"/>
      <c r="F9508" s="92">
        <f t="shared" si="203"/>
        <v>168518</v>
      </c>
    </row>
    <row r="9509" spans="1:12" ht="30" x14ac:dyDescent="0.25">
      <c r="A9509" s="204">
        <v>44361</v>
      </c>
      <c r="B9509" s="26" t="s">
        <v>4776</v>
      </c>
      <c r="C9509" s="87" t="s">
        <v>8236</v>
      </c>
      <c r="D9509" s="8">
        <v>25000</v>
      </c>
      <c r="E9509" s="8"/>
      <c r="F9509" s="92">
        <f t="shared" si="203"/>
        <v>143518</v>
      </c>
    </row>
    <row r="9510" spans="1:12" x14ac:dyDescent="0.25">
      <c r="A9510" s="204">
        <v>44361</v>
      </c>
      <c r="B9510" s="26" t="s">
        <v>4776</v>
      </c>
      <c r="C9510" s="26" t="s">
        <v>8235</v>
      </c>
      <c r="D9510" s="8">
        <v>15000</v>
      </c>
      <c r="E9510" s="8"/>
      <c r="F9510" s="92">
        <f t="shared" si="203"/>
        <v>128518</v>
      </c>
    </row>
    <row r="9511" spans="1:12" x14ac:dyDescent="0.25">
      <c r="A9511" s="204">
        <v>44362</v>
      </c>
      <c r="B9511" s="26" t="s">
        <v>6285</v>
      </c>
      <c r="C9511" s="26" t="s">
        <v>41</v>
      </c>
      <c r="D9511" s="8">
        <v>24300</v>
      </c>
      <c r="E9511" s="8"/>
      <c r="F9511" s="92">
        <f t="shared" si="203"/>
        <v>104218</v>
      </c>
    </row>
    <row r="9512" spans="1:12" x14ac:dyDescent="0.25">
      <c r="A9512" s="204">
        <v>44362</v>
      </c>
      <c r="B9512" s="26" t="s">
        <v>26</v>
      </c>
      <c r="C9512" s="26" t="s">
        <v>8238</v>
      </c>
      <c r="D9512" s="8">
        <v>100</v>
      </c>
      <c r="E9512" s="8"/>
      <c r="F9512" s="92">
        <f t="shared" si="203"/>
        <v>104118</v>
      </c>
    </row>
    <row r="9513" spans="1:12" x14ac:dyDescent="0.25">
      <c r="A9513" s="204">
        <v>44362</v>
      </c>
      <c r="B9513" s="26" t="s">
        <v>0</v>
      </c>
      <c r="C9513" s="26" t="s">
        <v>295</v>
      </c>
      <c r="D9513" s="8">
        <v>35000</v>
      </c>
      <c r="E9513" s="8"/>
      <c r="F9513" s="92">
        <f t="shared" si="203"/>
        <v>69118</v>
      </c>
    </row>
    <row r="9514" spans="1:12" x14ac:dyDescent="0.25">
      <c r="A9514" s="204">
        <v>44362</v>
      </c>
      <c r="B9514" s="29" t="s">
        <v>7425</v>
      </c>
      <c r="C9514" s="26" t="s">
        <v>8239</v>
      </c>
      <c r="D9514" s="8">
        <v>17930</v>
      </c>
      <c r="E9514" s="8"/>
      <c r="F9514" s="92">
        <f t="shared" si="203"/>
        <v>51188</v>
      </c>
    </row>
    <row r="9515" spans="1:12" x14ac:dyDescent="0.25">
      <c r="A9515" s="204">
        <v>44362</v>
      </c>
      <c r="B9515" s="26" t="s">
        <v>6770</v>
      </c>
      <c r="C9515" s="26" t="s">
        <v>8240</v>
      </c>
      <c r="D9515" s="8">
        <v>11500</v>
      </c>
      <c r="E9515" s="8"/>
      <c r="F9515" s="92">
        <f t="shared" si="203"/>
        <v>39688</v>
      </c>
    </row>
    <row r="9516" spans="1:12" x14ac:dyDescent="0.25">
      <c r="A9516" s="204">
        <v>44362</v>
      </c>
      <c r="B9516" s="26" t="s">
        <v>7460</v>
      </c>
      <c r="C9516" s="26" t="s">
        <v>6986</v>
      </c>
      <c r="D9516" s="8">
        <v>12000</v>
      </c>
      <c r="E9516" s="8"/>
      <c r="F9516" s="92">
        <f t="shared" si="203"/>
        <v>27688</v>
      </c>
      <c r="H9516" s="10">
        <f>500*54</f>
        <v>27000</v>
      </c>
    </row>
    <row r="9517" spans="1:12" x14ac:dyDescent="0.25">
      <c r="A9517" s="204">
        <v>44362</v>
      </c>
      <c r="B9517" s="26" t="s">
        <v>7527</v>
      </c>
      <c r="C9517" s="26" t="s">
        <v>79</v>
      </c>
      <c r="D9517" s="8">
        <v>200</v>
      </c>
      <c r="E9517" s="8"/>
      <c r="F9517" s="92">
        <f t="shared" si="203"/>
        <v>27488</v>
      </c>
    </row>
    <row r="9518" spans="1:12" x14ac:dyDescent="0.25">
      <c r="A9518" s="204">
        <v>44362</v>
      </c>
      <c r="B9518" s="29" t="s">
        <v>1619</v>
      </c>
      <c r="C9518" s="29" t="s">
        <v>641</v>
      </c>
      <c r="D9518" s="8">
        <v>2000</v>
      </c>
      <c r="E9518" s="8"/>
      <c r="F9518" s="92">
        <f t="shared" ref="F9518" si="204">F9517+E9518-D9518</f>
        <v>25488</v>
      </c>
    </row>
    <row r="9519" spans="1:12" x14ac:dyDescent="0.25">
      <c r="A9519" s="204">
        <v>44363</v>
      </c>
      <c r="B9519" s="29" t="s">
        <v>864</v>
      </c>
      <c r="C9519" s="29" t="s">
        <v>8241</v>
      </c>
      <c r="D9519" s="8">
        <v>1500</v>
      </c>
      <c r="E9519" s="8"/>
      <c r="F9519" s="92">
        <f t="shared" ref="F9519:F9527" si="205">F9518+E9519-D9519</f>
        <v>23988</v>
      </c>
    </row>
    <row r="9520" spans="1:12" x14ac:dyDescent="0.25">
      <c r="A9520" s="204">
        <v>44363</v>
      </c>
      <c r="B9520" s="452" t="s">
        <v>4367</v>
      </c>
      <c r="C9520" s="452"/>
      <c r="D9520" s="452"/>
      <c r="E9520" s="8">
        <v>10000</v>
      </c>
      <c r="F9520" s="92">
        <f t="shared" si="205"/>
        <v>33988</v>
      </c>
      <c r="L9520" s="25"/>
    </row>
    <row r="9521" spans="1:12" x14ac:dyDescent="0.25">
      <c r="A9521" s="204">
        <v>44363</v>
      </c>
      <c r="B9521" s="26" t="s">
        <v>0</v>
      </c>
      <c r="C9521" s="26" t="s">
        <v>8245</v>
      </c>
      <c r="D9521" s="8">
        <v>25000</v>
      </c>
      <c r="E9521" s="8"/>
      <c r="F9521" s="92">
        <f t="shared" si="205"/>
        <v>8988</v>
      </c>
    </row>
    <row r="9522" spans="1:12" x14ac:dyDescent="0.25">
      <c r="A9522" s="204">
        <v>44363</v>
      </c>
      <c r="B9522" s="26" t="s">
        <v>85</v>
      </c>
      <c r="C9522" s="26" t="s">
        <v>8246</v>
      </c>
      <c r="D9522" s="8">
        <v>3000</v>
      </c>
      <c r="E9522" s="8"/>
      <c r="F9522" s="92">
        <f t="shared" si="205"/>
        <v>5988</v>
      </c>
    </row>
    <row r="9523" spans="1:12" x14ac:dyDescent="0.25">
      <c r="A9523" s="204">
        <v>44363</v>
      </c>
      <c r="B9523" s="452" t="s">
        <v>7997</v>
      </c>
      <c r="C9523" s="452"/>
      <c r="D9523" s="452"/>
      <c r="E9523" s="8">
        <v>50000</v>
      </c>
      <c r="F9523" s="92">
        <f t="shared" si="205"/>
        <v>55988</v>
      </c>
      <c r="L9523" s="25"/>
    </row>
    <row r="9524" spans="1:12" ht="30" x14ac:dyDescent="0.25">
      <c r="A9524" s="204">
        <v>44363</v>
      </c>
      <c r="B9524" s="29" t="s">
        <v>8220</v>
      </c>
      <c r="C9524" s="89" t="s">
        <v>8247</v>
      </c>
      <c r="D9524" s="8">
        <v>55500</v>
      </c>
      <c r="E9524" s="8"/>
      <c r="F9524" s="92">
        <f t="shared" si="205"/>
        <v>488</v>
      </c>
    </row>
    <row r="9525" spans="1:12" x14ac:dyDescent="0.25">
      <c r="A9525" s="204">
        <v>44364</v>
      </c>
      <c r="B9525" s="452" t="s">
        <v>864</v>
      </c>
      <c r="C9525" s="452"/>
      <c r="D9525" s="452"/>
      <c r="E9525" s="8">
        <v>250000</v>
      </c>
      <c r="F9525" s="92">
        <f t="shared" si="205"/>
        <v>250488</v>
      </c>
      <c r="L9525" s="25"/>
    </row>
    <row r="9526" spans="1:12" x14ac:dyDescent="0.25">
      <c r="A9526" s="204">
        <v>44364</v>
      </c>
      <c r="B9526" s="26" t="s">
        <v>7998</v>
      </c>
      <c r="C9526" s="26" t="s">
        <v>8249</v>
      </c>
      <c r="D9526" s="8">
        <v>50000</v>
      </c>
      <c r="E9526" s="8"/>
      <c r="F9526" s="92">
        <f t="shared" si="205"/>
        <v>200488</v>
      </c>
    </row>
    <row r="9527" spans="1:12" ht="18.75" x14ac:dyDescent="0.3">
      <c r="A9527" s="204">
        <v>44364</v>
      </c>
      <c r="B9527" s="437" t="s">
        <v>8248</v>
      </c>
      <c r="C9527" s="437" t="s">
        <v>8256</v>
      </c>
      <c r="D9527" s="438">
        <v>165600</v>
      </c>
      <c r="E9527" s="8"/>
      <c r="F9527" s="92">
        <f t="shared" si="205"/>
        <v>34888</v>
      </c>
    </row>
    <row r="9528" spans="1:12" x14ac:dyDescent="0.25">
      <c r="A9528" s="204">
        <v>44364</v>
      </c>
      <c r="B9528" s="26" t="s">
        <v>1840</v>
      </c>
      <c r="C9528" s="26" t="s">
        <v>3186</v>
      </c>
      <c r="D9528" s="8">
        <v>10000</v>
      </c>
      <c r="E9528" s="8"/>
      <c r="F9528" s="92">
        <f t="shared" ref="F9528:F9573" si="206">F9527+E9528-D9528</f>
        <v>24888</v>
      </c>
    </row>
    <row r="9529" spans="1:12" x14ac:dyDescent="0.25">
      <c r="A9529" s="204">
        <v>44364</v>
      </c>
      <c r="B9529" s="26" t="s">
        <v>0</v>
      </c>
      <c r="C9529" s="26" t="s">
        <v>32</v>
      </c>
      <c r="D9529" s="8">
        <v>5800</v>
      </c>
      <c r="E9529" s="8"/>
      <c r="F9529" s="92">
        <f t="shared" si="206"/>
        <v>19088</v>
      </c>
    </row>
    <row r="9530" spans="1:12" x14ac:dyDescent="0.25">
      <c r="A9530" s="204">
        <v>44364</v>
      </c>
      <c r="B9530" s="26" t="s">
        <v>85</v>
      </c>
      <c r="C9530" s="26" t="s">
        <v>8251</v>
      </c>
      <c r="D9530" s="8">
        <v>2000</v>
      </c>
      <c r="E9530" s="8"/>
      <c r="F9530" s="92">
        <f t="shared" si="206"/>
        <v>17088</v>
      </c>
    </row>
    <row r="9531" spans="1:12" x14ac:dyDescent="0.25">
      <c r="A9531" s="204">
        <v>44364</v>
      </c>
      <c r="B9531" s="26" t="s">
        <v>85</v>
      </c>
      <c r="C9531" s="29" t="s">
        <v>8252</v>
      </c>
      <c r="D9531" s="8">
        <v>1000</v>
      </c>
      <c r="E9531" s="8"/>
      <c r="F9531" s="92">
        <f t="shared" si="206"/>
        <v>16088</v>
      </c>
    </row>
    <row r="9532" spans="1:12" x14ac:dyDescent="0.25">
      <c r="A9532" s="204">
        <v>44364</v>
      </c>
      <c r="B9532" s="29" t="s">
        <v>55</v>
      </c>
      <c r="C9532" s="29" t="s">
        <v>8253</v>
      </c>
      <c r="D9532" s="8">
        <v>1600</v>
      </c>
      <c r="E9532" s="8"/>
      <c r="F9532" s="92">
        <f t="shared" si="206"/>
        <v>14488</v>
      </c>
    </row>
    <row r="9533" spans="1:12" x14ac:dyDescent="0.25">
      <c r="A9533" s="204">
        <v>44364</v>
      </c>
      <c r="B9533" s="26" t="s">
        <v>6877</v>
      </c>
      <c r="C9533" s="26" t="s">
        <v>8254</v>
      </c>
      <c r="D9533" s="8">
        <v>700</v>
      </c>
      <c r="E9533" s="8"/>
      <c r="F9533" s="92">
        <f t="shared" si="206"/>
        <v>13788</v>
      </c>
    </row>
    <row r="9534" spans="1:12" x14ac:dyDescent="0.25">
      <c r="A9534" s="204">
        <v>44364</v>
      </c>
      <c r="B9534" s="452" t="s">
        <v>8255</v>
      </c>
      <c r="C9534" s="452"/>
      <c r="D9534" s="452"/>
      <c r="E9534" s="8">
        <v>700</v>
      </c>
      <c r="F9534" s="92">
        <f t="shared" si="206"/>
        <v>14488</v>
      </c>
      <c r="L9534" s="25"/>
    </row>
    <row r="9535" spans="1:12" ht="15.75" x14ac:dyDescent="0.25">
      <c r="A9535" s="204">
        <v>44364</v>
      </c>
      <c r="B9535" s="26" t="s">
        <v>6770</v>
      </c>
      <c r="C9535" s="26" t="s">
        <v>7046</v>
      </c>
      <c r="D9535" s="8">
        <v>2500</v>
      </c>
      <c r="E9535" s="8"/>
      <c r="F9535" s="92">
        <f t="shared" si="206"/>
        <v>11988</v>
      </c>
      <c r="H9535" s="453"/>
      <c r="I9535" s="453"/>
    </row>
    <row r="9536" spans="1:12" x14ac:dyDescent="0.25">
      <c r="A9536" s="204">
        <v>44365</v>
      </c>
      <c r="B9536" s="26" t="s">
        <v>8257</v>
      </c>
      <c r="C9536" s="26" t="s">
        <v>8258</v>
      </c>
      <c r="D9536" s="8">
        <v>10500</v>
      </c>
      <c r="E9536" s="8"/>
      <c r="F9536" s="92">
        <f t="shared" si="206"/>
        <v>1488</v>
      </c>
    </row>
    <row r="9537" spans="1:12" x14ac:dyDescent="0.25">
      <c r="A9537" s="204">
        <v>44365</v>
      </c>
      <c r="B9537" s="29" t="s">
        <v>14</v>
      </c>
      <c r="C9537" s="29" t="s">
        <v>641</v>
      </c>
      <c r="D9537" s="8">
        <v>1000</v>
      </c>
      <c r="E9537" s="8"/>
      <c r="F9537" s="92">
        <f t="shared" si="206"/>
        <v>488</v>
      </c>
    </row>
    <row r="9538" spans="1:12" x14ac:dyDescent="0.25">
      <c r="A9538" s="204">
        <v>44365</v>
      </c>
      <c r="B9538" s="452" t="s">
        <v>8098</v>
      </c>
      <c r="C9538" s="452"/>
      <c r="D9538" s="452"/>
      <c r="E9538" s="8">
        <v>50000</v>
      </c>
      <c r="F9538" s="92">
        <f t="shared" si="206"/>
        <v>50488</v>
      </c>
    </row>
    <row r="9539" spans="1:12" x14ac:dyDescent="0.25">
      <c r="A9539" s="204">
        <v>44365</v>
      </c>
      <c r="B9539" s="26" t="s">
        <v>19</v>
      </c>
      <c r="C9539" s="26" t="s">
        <v>295</v>
      </c>
      <c r="D9539" s="8">
        <v>7000</v>
      </c>
      <c r="E9539" s="8"/>
      <c r="F9539" s="92">
        <f t="shared" si="206"/>
        <v>43488</v>
      </c>
    </row>
    <row r="9540" spans="1:12" x14ac:dyDescent="0.25">
      <c r="A9540" s="204">
        <v>44366</v>
      </c>
      <c r="B9540" s="26" t="s">
        <v>4776</v>
      </c>
      <c r="C9540" s="26" t="s">
        <v>6017</v>
      </c>
      <c r="D9540" s="8">
        <v>20000</v>
      </c>
      <c r="E9540" s="8"/>
      <c r="F9540" s="92">
        <f t="shared" si="206"/>
        <v>23488</v>
      </c>
    </row>
    <row r="9541" spans="1:12" x14ac:dyDescent="0.25">
      <c r="A9541" s="204">
        <v>44366</v>
      </c>
      <c r="B9541" s="26" t="s">
        <v>8259</v>
      </c>
      <c r="C9541" s="26" t="s">
        <v>8260</v>
      </c>
      <c r="D9541" s="8">
        <v>12000</v>
      </c>
      <c r="E9541" s="8"/>
      <c r="F9541" s="92">
        <f t="shared" si="206"/>
        <v>11488</v>
      </c>
    </row>
    <row r="9542" spans="1:12" x14ac:dyDescent="0.25">
      <c r="A9542" s="204">
        <v>44366</v>
      </c>
      <c r="B9542" s="29" t="s">
        <v>1840</v>
      </c>
      <c r="C9542" s="29" t="s">
        <v>3914</v>
      </c>
      <c r="D9542" s="8">
        <v>7500</v>
      </c>
      <c r="E9542" s="8"/>
      <c r="F9542" s="92">
        <f t="shared" si="206"/>
        <v>3988</v>
      </c>
    </row>
    <row r="9543" spans="1:12" x14ac:dyDescent="0.25">
      <c r="A9543" s="204">
        <v>44366</v>
      </c>
      <c r="B9543" s="29" t="s">
        <v>11</v>
      </c>
      <c r="C9543" s="29" t="s">
        <v>8261</v>
      </c>
      <c r="D9543" s="8">
        <v>500</v>
      </c>
      <c r="E9543" s="8"/>
      <c r="F9543" s="92">
        <f t="shared" si="206"/>
        <v>3488</v>
      </c>
    </row>
    <row r="9544" spans="1:12" x14ac:dyDescent="0.25">
      <c r="A9544" s="204">
        <v>44368</v>
      </c>
      <c r="B9544" s="452" t="s">
        <v>7638</v>
      </c>
      <c r="C9544" s="452"/>
      <c r="D9544" s="452"/>
      <c r="E9544" s="8">
        <v>150000</v>
      </c>
      <c r="F9544" s="92">
        <f t="shared" si="206"/>
        <v>153488</v>
      </c>
      <c r="K9544" s="6">
        <v>28250</v>
      </c>
      <c r="L9544" s="25"/>
    </row>
    <row r="9545" spans="1:12" x14ac:dyDescent="0.25">
      <c r="A9545" s="204">
        <v>44366</v>
      </c>
      <c r="B9545" s="26" t="s">
        <v>85</v>
      </c>
      <c r="C9545" s="26" t="s">
        <v>8263</v>
      </c>
      <c r="D9545" s="8">
        <v>7000</v>
      </c>
      <c r="E9545" s="8"/>
      <c r="F9545" s="92">
        <f t="shared" si="206"/>
        <v>146488</v>
      </c>
    </row>
    <row r="9546" spans="1:12" x14ac:dyDescent="0.25">
      <c r="A9546" s="204">
        <v>44368</v>
      </c>
      <c r="B9546" s="26" t="s">
        <v>1077</v>
      </c>
      <c r="C9546" s="87" t="s">
        <v>8264</v>
      </c>
      <c r="D9546" s="8">
        <v>8390</v>
      </c>
      <c r="E9546" s="8"/>
      <c r="F9546" s="92">
        <f t="shared" si="206"/>
        <v>138098</v>
      </c>
      <c r="K9546" s="6">
        <v>28170</v>
      </c>
    </row>
    <row r="9547" spans="1:12" x14ac:dyDescent="0.25">
      <c r="A9547" s="204">
        <v>44368</v>
      </c>
      <c r="B9547" s="26" t="s">
        <v>6877</v>
      </c>
      <c r="C9547" s="26" t="s">
        <v>4354</v>
      </c>
      <c r="D9547" s="8">
        <v>6000</v>
      </c>
      <c r="E9547" s="8"/>
      <c r="F9547" s="92">
        <f t="shared" si="206"/>
        <v>132098</v>
      </c>
      <c r="K9547" s="6">
        <v>33875</v>
      </c>
    </row>
    <row r="9548" spans="1:12" x14ac:dyDescent="0.25">
      <c r="A9548" s="204">
        <v>44368</v>
      </c>
      <c r="B9548" s="26" t="s">
        <v>8218</v>
      </c>
      <c r="C9548" s="26" t="s">
        <v>8219</v>
      </c>
      <c r="D9548" s="8">
        <v>25000</v>
      </c>
      <c r="E9548" s="8"/>
      <c r="F9548" s="92">
        <f t="shared" si="206"/>
        <v>107098</v>
      </c>
      <c r="K9548" s="6">
        <v>20390</v>
      </c>
    </row>
    <row r="9549" spans="1:12" x14ac:dyDescent="0.25">
      <c r="A9549" s="204">
        <v>44368</v>
      </c>
      <c r="B9549" s="26" t="s">
        <v>7425</v>
      </c>
      <c r="C9549" s="26" t="s">
        <v>8268</v>
      </c>
      <c r="D9549" s="8">
        <v>32000</v>
      </c>
      <c r="E9549" s="8"/>
      <c r="F9549" s="92">
        <f t="shared" si="206"/>
        <v>75098</v>
      </c>
      <c r="K9549" s="6">
        <v>8000</v>
      </c>
    </row>
    <row r="9550" spans="1:12" x14ac:dyDescent="0.25">
      <c r="A9550" s="204">
        <v>44368</v>
      </c>
      <c r="B9550" s="26" t="s">
        <v>5479</v>
      </c>
      <c r="C9550" s="26" t="s">
        <v>8269</v>
      </c>
      <c r="D9550" s="8">
        <v>7000</v>
      </c>
      <c r="E9550" s="8"/>
      <c r="F9550" s="92">
        <f t="shared" si="206"/>
        <v>68098</v>
      </c>
      <c r="K9550" s="6">
        <v>13000</v>
      </c>
    </row>
    <row r="9551" spans="1:12" x14ac:dyDescent="0.25">
      <c r="A9551" s="204">
        <v>44368</v>
      </c>
      <c r="B9551" s="26" t="s">
        <v>6063</v>
      </c>
      <c r="C9551" s="26" t="s">
        <v>8270</v>
      </c>
      <c r="D9551" s="8">
        <v>7500</v>
      </c>
      <c r="E9551" s="8"/>
      <c r="F9551" s="92">
        <f t="shared" si="206"/>
        <v>60598</v>
      </c>
      <c r="K9551" s="6">
        <v>17550</v>
      </c>
    </row>
    <row r="9552" spans="1:12" x14ac:dyDescent="0.25">
      <c r="A9552" s="204">
        <v>44368</v>
      </c>
      <c r="B9552" s="26" t="s">
        <v>26</v>
      </c>
      <c r="C9552" s="26" t="s">
        <v>8238</v>
      </c>
      <c r="D9552" s="8">
        <v>200</v>
      </c>
      <c r="E9552" s="8"/>
      <c r="F9552" s="92">
        <f t="shared" si="206"/>
        <v>60398</v>
      </c>
      <c r="K9552" s="6">
        <v>6720</v>
      </c>
      <c r="L9552" s="6">
        <f>K9552+K9551</f>
        <v>24270</v>
      </c>
    </row>
    <row r="9553" spans="1:12" x14ac:dyDescent="0.25">
      <c r="A9553" s="204">
        <v>44368</v>
      </c>
      <c r="B9553" s="26" t="s">
        <v>85</v>
      </c>
      <c r="C9553" s="26" t="s">
        <v>8271</v>
      </c>
      <c r="D9553" s="8">
        <v>15000</v>
      </c>
      <c r="E9553" s="8"/>
      <c r="F9553" s="92">
        <f t="shared" si="206"/>
        <v>45398</v>
      </c>
      <c r="K9553" s="6">
        <f>SUM(K9544:K9552)</f>
        <v>155955</v>
      </c>
    </row>
    <row r="9554" spans="1:12" x14ac:dyDescent="0.25">
      <c r="A9554" s="204">
        <v>44369</v>
      </c>
      <c r="B9554" s="26" t="s">
        <v>85</v>
      </c>
      <c r="C9554" s="26" t="s">
        <v>8272</v>
      </c>
      <c r="D9554" s="8">
        <v>2000</v>
      </c>
      <c r="E9554" s="8"/>
      <c r="F9554" s="92">
        <f t="shared" si="206"/>
        <v>43398</v>
      </c>
    </row>
    <row r="9555" spans="1:12" x14ac:dyDescent="0.25">
      <c r="A9555" s="204">
        <v>44369</v>
      </c>
      <c r="B9555" s="26" t="s">
        <v>8289</v>
      </c>
      <c r="C9555" s="26" t="s">
        <v>8273</v>
      </c>
      <c r="D9555" s="8">
        <v>30000</v>
      </c>
      <c r="E9555" s="8"/>
      <c r="F9555" s="92">
        <f t="shared" si="206"/>
        <v>13398</v>
      </c>
    </row>
    <row r="9556" spans="1:12" x14ac:dyDescent="0.25">
      <c r="A9556" s="204">
        <v>44369</v>
      </c>
      <c r="B9556" s="452" t="s">
        <v>4110</v>
      </c>
      <c r="C9556" s="452"/>
      <c r="D9556" s="452"/>
      <c r="E9556" s="8">
        <v>100000</v>
      </c>
      <c r="F9556" s="92">
        <f t="shared" si="206"/>
        <v>113398</v>
      </c>
      <c r="I9556" s="10">
        <v>100000</v>
      </c>
      <c r="L9556" s="25"/>
    </row>
    <row r="9557" spans="1:12" x14ac:dyDescent="0.25">
      <c r="A9557" s="204">
        <v>44369</v>
      </c>
      <c r="B9557" s="26" t="s">
        <v>2951</v>
      </c>
      <c r="C9557" s="26" t="s">
        <v>8275</v>
      </c>
      <c r="D9557" s="8">
        <v>25000</v>
      </c>
      <c r="E9557" s="8"/>
      <c r="F9557" s="92">
        <f t="shared" si="206"/>
        <v>88398</v>
      </c>
      <c r="K9557" s="6">
        <v>100000</v>
      </c>
    </row>
    <row r="9558" spans="1:12" x14ac:dyDescent="0.25">
      <c r="A9558" s="204">
        <v>44369</v>
      </c>
      <c r="B9558" s="26" t="s">
        <v>8276</v>
      </c>
      <c r="C9558" s="26" t="s">
        <v>8277</v>
      </c>
      <c r="D9558" s="8">
        <v>26670</v>
      </c>
      <c r="E9558" s="8"/>
      <c r="F9558" s="92">
        <f t="shared" si="206"/>
        <v>61728</v>
      </c>
      <c r="I9558" s="281">
        <f>I9556/117*17</f>
        <v>14529.914529914531</v>
      </c>
    </row>
    <row r="9559" spans="1:12" x14ac:dyDescent="0.25">
      <c r="A9559" s="204">
        <v>44369</v>
      </c>
      <c r="B9559" s="26" t="s">
        <v>1790</v>
      </c>
      <c r="C9559" s="26" t="s">
        <v>8278</v>
      </c>
      <c r="D9559" s="8">
        <v>1200</v>
      </c>
      <c r="E9559" s="8"/>
      <c r="F9559" s="92">
        <f t="shared" si="206"/>
        <v>60528</v>
      </c>
      <c r="K9559" s="6">
        <f>K9557*12%</f>
        <v>12000</v>
      </c>
    </row>
    <row r="9560" spans="1:12" x14ac:dyDescent="0.25">
      <c r="A9560" s="204">
        <v>44369</v>
      </c>
      <c r="B9560" s="26" t="s">
        <v>26</v>
      </c>
      <c r="C9560" s="26" t="s">
        <v>8279</v>
      </c>
      <c r="D9560" s="8">
        <v>5000</v>
      </c>
      <c r="E9560" s="8"/>
      <c r="F9560" s="92">
        <f t="shared" si="206"/>
        <v>55528</v>
      </c>
      <c r="I9560" s="10">
        <f>I9556-I9558</f>
        <v>85470.085470085469</v>
      </c>
    </row>
    <row r="9561" spans="1:12" x14ac:dyDescent="0.25">
      <c r="A9561" s="204">
        <v>44369</v>
      </c>
      <c r="B9561" s="26" t="s">
        <v>26</v>
      </c>
      <c r="C9561" s="26" t="s">
        <v>5995</v>
      </c>
      <c r="D9561" s="8">
        <v>600</v>
      </c>
      <c r="E9561" s="8"/>
      <c r="F9561" s="92">
        <f t="shared" si="206"/>
        <v>54928</v>
      </c>
      <c r="K9561" s="6">
        <f>K9557-K9559</f>
        <v>88000</v>
      </c>
    </row>
    <row r="9562" spans="1:12" x14ac:dyDescent="0.25">
      <c r="A9562" s="204">
        <v>44369</v>
      </c>
      <c r="B9562" s="26" t="s">
        <v>26</v>
      </c>
      <c r="C9562" s="26" t="s">
        <v>2688</v>
      </c>
      <c r="D9562" s="8">
        <v>100</v>
      </c>
      <c r="E9562" s="8"/>
      <c r="F9562" s="92">
        <f t="shared" si="206"/>
        <v>54828</v>
      </c>
    </row>
    <row r="9563" spans="1:12" x14ac:dyDescent="0.25">
      <c r="A9563" s="204">
        <v>44370</v>
      </c>
      <c r="B9563" s="26" t="s">
        <v>26</v>
      </c>
      <c r="C9563" s="26" t="s">
        <v>8280</v>
      </c>
      <c r="D9563" s="8">
        <v>150</v>
      </c>
      <c r="E9563" s="8"/>
      <c r="F9563" s="92">
        <f t="shared" si="206"/>
        <v>54678</v>
      </c>
      <c r="I9563" s="281">
        <f>I9560*17%</f>
        <v>14529.914529914531</v>
      </c>
    </row>
    <row r="9564" spans="1:12" x14ac:dyDescent="0.25">
      <c r="A9564" s="204">
        <v>44370</v>
      </c>
      <c r="B9564" s="29" t="s">
        <v>19</v>
      </c>
      <c r="C9564" s="29" t="s">
        <v>295</v>
      </c>
      <c r="D9564" s="8">
        <v>5000</v>
      </c>
      <c r="E9564" s="8"/>
      <c r="F9564" s="92">
        <f t="shared" si="206"/>
        <v>49678</v>
      </c>
      <c r="K9564" s="6">
        <f>K9561/88%</f>
        <v>100000</v>
      </c>
    </row>
    <row r="9565" spans="1:12" x14ac:dyDescent="0.25">
      <c r="A9565" s="204">
        <v>44370</v>
      </c>
      <c r="B9565" s="29" t="s">
        <v>69</v>
      </c>
      <c r="C9565" s="29" t="s">
        <v>6017</v>
      </c>
      <c r="D9565" s="8">
        <v>35000</v>
      </c>
      <c r="E9565" s="8"/>
      <c r="F9565" s="92">
        <f t="shared" si="206"/>
        <v>14678</v>
      </c>
      <c r="I9565" s="10">
        <f>I9563+I9560</f>
        <v>100000</v>
      </c>
    </row>
    <row r="9566" spans="1:12" x14ac:dyDescent="0.25">
      <c r="A9566" s="204">
        <v>44370</v>
      </c>
      <c r="B9566" s="452" t="s">
        <v>4110</v>
      </c>
      <c r="C9566" s="452"/>
      <c r="D9566" s="452"/>
      <c r="E9566" s="8">
        <v>150000</v>
      </c>
      <c r="F9566" s="92">
        <f t="shared" ref="F9566" si="207">F9565+E9566-D9566</f>
        <v>164678</v>
      </c>
      <c r="I9566" s="10">
        <v>100000</v>
      </c>
      <c r="L9566" s="25"/>
    </row>
    <row r="9567" spans="1:12" x14ac:dyDescent="0.25">
      <c r="A9567" s="204">
        <v>44370</v>
      </c>
      <c r="B9567" s="26" t="s">
        <v>7953</v>
      </c>
      <c r="C9567" s="26" t="s">
        <v>8284</v>
      </c>
      <c r="D9567" s="8">
        <v>38000</v>
      </c>
      <c r="E9567" s="8"/>
      <c r="F9567" s="92">
        <f t="shared" si="206"/>
        <v>126678</v>
      </c>
    </row>
    <row r="9568" spans="1:12" x14ac:dyDescent="0.25">
      <c r="A9568" s="204">
        <v>44370</v>
      </c>
      <c r="B9568" s="26" t="s">
        <v>6877</v>
      </c>
      <c r="C9568" s="26" t="s">
        <v>8285</v>
      </c>
      <c r="D9568" s="8">
        <v>15000</v>
      </c>
      <c r="E9568" s="8"/>
      <c r="F9568" s="92">
        <f t="shared" si="206"/>
        <v>111678</v>
      </c>
      <c r="H9568" s="10">
        <v>100000</v>
      </c>
      <c r="I9568" s="10">
        <f>H9568/117%</f>
        <v>85470.085470085469</v>
      </c>
      <c r="J9568" s="10">
        <f>H9568-I9568</f>
        <v>14529.914529914531</v>
      </c>
      <c r="K9568" s="10">
        <f>H9568/117*17</f>
        <v>14529.914529914531</v>
      </c>
    </row>
    <row r="9569" spans="1:12" x14ac:dyDescent="0.25">
      <c r="A9569" s="204">
        <v>44370</v>
      </c>
      <c r="B9569" s="26" t="s">
        <v>26</v>
      </c>
      <c r="C9569" s="26" t="s">
        <v>8286</v>
      </c>
      <c r="D9569" s="8">
        <v>6000</v>
      </c>
      <c r="E9569" s="8"/>
      <c r="F9569" s="92">
        <f t="shared" si="206"/>
        <v>105678</v>
      </c>
      <c r="H9569" s="10">
        <v>100000</v>
      </c>
      <c r="I9569" s="10">
        <f>H9569/92.5*7.5</f>
        <v>8108.1081081081074</v>
      </c>
    </row>
    <row r="9570" spans="1:12" x14ac:dyDescent="0.25">
      <c r="A9570" s="204">
        <v>44370</v>
      </c>
      <c r="B9570" s="26" t="s">
        <v>26</v>
      </c>
      <c r="C9570" s="26" t="s">
        <v>8287</v>
      </c>
      <c r="D9570" s="8">
        <v>9000</v>
      </c>
      <c r="E9570" s="8"/>
      <c r="F9570" s="92">
        <f t="shared" si="206"/>
        <v>96678</v>
      </c>
    </row>
    <row r="9571" spans="1:12" x14ac:dyDescent="0.25">
      <c r="A9571" s="204">
        <v>44370</v>
      </c>
      <c r="B9571" s="26" t="s">
        <v>5971</v>
      </c>
      <c r="C9571" s="26" t="s">
        <v>8288</v>
      </c>
      <c r="D9571" s="8">
        <v>10000</v>
      </c>
      <c r="E9571" s="8"/>
      <c r="F9571" s="92">
        <f t="shared" si="206"/>
        <v>86678</v>
      </c>
      <c r="K9571" s="25"/>
      <c r="L9571" s="372"/>
    </row>
    <row r="9572" spans="1:12" x14ac:dyDescent="0.25">
      <c r="A9572" s="204">
        <v>44370</v>
      </c>
      <c r="B9572" s="29" t="s">
        <v>8289</v>
      </c>
      <c r="C9572" s="29" t="s">
        <v>8290</v>
      </c>
      <c r="D9572" s="8">
        <v>1000</v>
      </c>
      <c r="E9572" s="8"/>
      <c r="F9572" s="92">
        <f t="shared" si="206"/>
        <v>85678</v>
      </c>
      <c r="H9572" s="10">
        <v>124000</v>
      </c>
      <c r="I9572" s="10">
        <f>H9572*25%</f>
        <v>31000</v>
      </c>
      <c r="J9572" s="10">
        <f>I9572+H9572</f>
        <v>155000</v>
      </c>
      <c r="K9572" s="25">
        <f>J9572*10%</f>
        <v>15500</v>
      </c>
      <c r="L9572" s="25">
        <f>K9572+J9572</f>
        <v>170500</v>
      </c>
    </row>
    <row r="9573" spans="1:12" x14ac:dyDescent="0.25">
      <c r="A9573" s="204">
        <v>44370</v>
      </c>
      <c r="B9573" s="26" t="s">
        <v>0</v>
      </c>
      <c r="C9573" s="26" t="s">
        <v>8291</v>
      </c>
      <c r="D9573" s="8">
        <v>40000</v>
      </c>
      <c r="E9573" s="8"/>
      <c r="F9573" s="92">
        <f t="shared" si="206"/>
        <v>45678</v>
      </c>
      <c r="H9573" s="10">
        <v>335000</v>
      </c>
      <c r="I9573" s="10">
        <f>H9573*25%</f>
        <v>83750</v>
      </c>
      <c r="J9573" s="10">
        <f>I9573+H9573</f>
        <v>418750</v>
      </c>
      <c r="K9573" s="25">
        <f>J9573*10%</f>
        <v>41875</v>
      </c>
      <c r="L9573" s="25">
        <f>K9573+J9573</f>
        <v>460625</v>
      </c>
    </row>
    <row r="9574" spans="1:12" x14ac:dyDescent="0.25">
      <c r="A9574" s="204">
        <v>44370</v>
      </c>
      <c r="B9574" s="26" t="s">
        <v>85</v>
      </c>
      <c r="C9574" s="26" t="s">
        <v>8293</v>
      </c>
      <c r="D9574" s="8">
        <v>5000</v>
      </c>
      <c r="E9574" s="8"/>
      <c r="F9574" s="92">
        <f t="shared" ref="F9574" si="208">F9573+E9574-D9574</f>
        <v>40678</v>
      </c>
    </row>
    <row r="9575" spans="1:12" x14ac:dyDescent="0.25">
      <c r="A9575" s="204">
        <v>44370</v>
      </c>
      <c r="B9575" s="26" t="s">
        <v>19</v>
      </c>
      <c r="C9575" s="26" t="s">
        <v>988</v>
      </c>
      <c r="D9575" s="8">
        <v>5000</v>
      </c>
      <c r="E9575" s="8"/>
      <c r="F9575" s="92">
        <f t="shared" ref="F9575:F9640" si="209">F9574+E9575-D9575</f>
        <v>35678</v>
      </c>
    </row>
    <row r="9576" spans="1:12" x14ac:dyDescent="0.25">
      <c r="A9576" s="204">
        <v>44370</v>
      </c>
      <c r="B9576" s="26" t="s">
        <v>4059</v>
      </c>
      <c r="C9576" s="26" t="s">
        <v>988</v>
      </c>
      <c r="D9576" s="8">
        <v>5000</v>
      </c>
      <c r="E9576" s="8"/>
      <c r="F9576" s="92">
        <f t="shared" si="209"/>
        <v>30678</v>
      </c>
    </row>
    <row r="9577" spans="1:12" x14ac:dyDescent="0.25">
      <c r="A9577" s="204">
        <v>44371</v>
      </c>
      <c r="B9577" s="29" t="s">
        <v>4776</v>
      </c>
      <c r="C9577" s="29" t="s">
        <v>295</v>
      </c>
      <c r="D9577" s="8">
        <v>10000</v>
      </c>
      <c r="E9577" s="8"/>
      <c r="F9577" s="92">
        <f t="shared" si="209"/>
        <v>20678</v>
      </c>
    </row>
    <row r="9578" spans="1:12" ht="30" x14ac:dyDescent="0.25">
      <c r="A9578" s="204">
        <v>44371</v>
      </c>
      <c r="B9578" s="29" t="s">
        <v>6770</v>
      </c>
      <c r="C9578" s="89" t="s">
        <v>8295</v>
      </c>
      <c r="D9578" s="8">
        <v>7000</v>
      </c>
      <c r="E9578" s="8"/>
      <c r="F9578" s="92">
        <f t="shared" si="209"/>
        <v>13678</v>
      </c>
    </row>
    <row r="9579" spans="1:12" x14ac:dyDescent="0.25">
      <c r="A9579" s="204">
        <v>44371</v>
      </c>
      <c r="B9579" s="452" t="s">
        <v>7638</v>
      </c>
      <c r="C9579" s="452"/>
      <c r="D9579" s="452"/>
      <c r="E9579" s="8">
        <v>150000</v>
      </c>
      <c r="F9579" s="92">
        <f t="shared" si="209"/>
        <v>163678</v>
      </c>
      <c r="L9579" s="25"/>
    </row>
    <row r="9580" spans="1:12" x14ac:dyDescent="0.25">
      <c r="A9580" s="204">
        <v>44371</v>
      </c>
      <c r="B9580" s="26" t="s">
        <v>6770</v>
      </c>
      <c r="C9580" s="26" t="s">
        <v>7451</v>
      </c>
      <c r="D9580" s="8">
        <v>35000</v>
      </c>
      <c r="E9580" s="8"/>
      <c r="F9580" s="92">
        <f t="shared" si="209"/>
        <v>128678</v>
      </c>
      <c r="G9580" s="439"/>
      <c r="H9580" s="281"/>
    </row>
    <row r="9581" spans="1:12" x14ac:dyDescent="0.25">
      <c r="A9581" s="204">
        <v>44371</v>
      </c>
      <c r="B9581" s="26" t="s">
        <v>1077</v>
      </c>
      <c r="C9581" s="26" t="s">
        <v>8299</v>
      </c>
      <c r="D9581" s="8">
        <f>380+23219</f>
        <v>23599</v>
      </c>
      <c r="E9581" s="8"/>
      <c r="F9581" s="92">
        <f t="shared" si="209"/>
        <v>105079</v>
      </c>
      <c r="G9581" s="439"/>
      <c r="H9581" s="281"/>
    </row>
    <row r="9582" spans="1:12" x14ac:dyDescent="0.25">
      <c r="A9582" s="204">
        <v>44371</v>
      </c>
      <c r="B9582" s="26" t="s">
        <v>1077</v>
      </c>
      <c r="C9582" s="26" t="s">
        <v>8300</v>
      </c>
      <c r="D9582" s="8">
        <f>50+17878+33484</f>
        <v>51412</v>
      </c>
      <c r="E9582" s="8"/>
      <c r="F9582" s="92">
        <f t="shared" si="209"/>
        <v>53667</v>
      </c>
    </row>
    <row r="9583" spans="1:12" x14ac:dyDescent="0.25">
      <c r="A9583" s="204">
        <v>44371</v>
      </c>
      <c r="B9583" s="26" t="s">
        <v>0</v>
      </c>
      <c r="C9583" s="26" t="s">
        <v>295</v>
      </c>
      <c r="D9583" s="8">
        <v>15000</v>
      </c>
      <c r="E9583" s="8"/>
      <c r="F9583" s="92">
        <f t="shared" si="209"/>
        <v>38667</v>
      </c>
    </row>
    <row r="9584" spans="1:12" x14ac:dyDescent="0.25">
      <c r="A9584" s="204">
        <v>44371</v>
      </c>
      <c r="B9584" s="26" t="s">
        <v>7701</v>
      </c>
      <c r="C9584" s="26" t="s">
        <v>295</v>
      </c>
      <c r="D9584" s="8">
        <v>3300</v>
      </c>
      <c r="E9584" s="8"/>
      <c r="F9584" s="92">
        <f t="shared" si="209"/>
        <v>35367</v>
      </c>
    </row>
    <row r="9585" spans="1:12" x14ac:dyDescent="0.25">
      <c r="A9585" s="204">
        <v>44371</v>
      </c>
      <c r="B9585" s="26" t="s">
        <v>8289</v>
      </c>
      <c r="C9585" s="26" t="s">
        <v>295</v>
      </c>
      <c r="D9585" s="8">
        <v>5000</v>
      </c>
      <c r="E9585" s="8"/>
      <c r="F9585" s="92">
        <f t="shared" si="209"/>
        <v>30367</v>
      </c>
    </row>
    <row r="9586" spans="1:12" x14ac:dyDescent="0.25">
      <c r="A9586" s="204">
        <v>44371</v>
      </c>
      <c r="B9586" s="26" t="s">
        <v>7701</v>
      </c>
      <c r="C9586" s="26" t="s">
        <v>8301</v>
      </c>
      <c r="D9586" s="8">
        <v>580</v>
      </c>
      <c r="E9586" s="8"/>
      <c r="F9586" s="92">
        <f t="shared" si="209"/>
        <v>29787</v>
      </c>
    </row>
    <row r="9587" spans="1:12" x14ac:dyDescent="0.25">
      <c r="A9587" s="204">
        <v>44371</v>
      </c>
      <c r="B9587" s="452" t="s">
        <v>8302</v>
      </c>
      <c r="C9587" s="452"/>
      <c r="D9587" s="452"/>
      <c r="E9587" s="8">
        <v>750</v>
      </c>
      <c r="F9587" s="92">
        <f t="shared" si="209"/>
        <v>30537</v>
      </c>
      <c r="L9587" s="25"/>
    </row>
    <row r="9588" spans="1:12" x14ac:dyDescent="0.25">
      <c r="A9588" s="204">
        <v>44371</v>
      </c>
      <c r="B9588" s="26" t="s">
        <v>26</v>
      </c>
      <c r="C9588" s="26" t="s">
        <v>8303</v>
      </c>
      <c r="D9588" s="8">
        <v>350</v>
      </c>
      <c r="E9588" s="8"/>
      <c r="F9588" s="92">
        <f t="shared" si="209"/>
        <v>30187</v>
      </c>
      <c r="I9588" s="10">
        <f>I9586-I9587</f>
        <v>0</v>
      </c>
    </row>
    <row r="9589" spans="1:12" x14ac:dyDescent="0.25">
      <c r="A9589" s="204">
        <v>44371</v>
      </c>
      <c r="B9589" s="26" t="s">
        <v>85</v>
      </c>
      <c r="C9589" s="138" t="s">
        <v>46</v>
      </c>
      <c r="D9589" s="139">
        <v>1000</v>
      </c>
      <c r="E9589" s="8"/>
      <c r="F9589" s="92">
        <f t="shared" si="209"/>
        <v>29187</v>
      </c>
      <c r="I9589" s="10">
        <f>I9588*7.5%</f>
        <v>0</v>
      </c>
    </row>
    <row r="9590" spans="1:12" x14ac:dyDescent="0.25">
      <c r="A9590" s="204">
        <v>44372</v>
      </c>
      <c r="B9590" s="26" t="s">
        <v>14</v>
      </c>
      <c r="C9590" s="29" t="s">
        <v>295</v>
      </c>
      <c r="D9590" s="8">
        <v>5000</v>
      </c>
      <c r="E9590" s="8"/>
      <c r="F9590" s="92">
        <f t="shared" si="209"/>
        <v>24187</v>
      </c>
      <c r="I9590" s="10">
        <f>I9588-I9589</f>
        <v>0</v>
      </c>
    </row>
    <row r="9591" spans="1:12" x14ac:dyDescent="0.25">
      <c r="A9591" s="204">
        <v>44372</v>
      </c>
      <c r="B9591" s="452" t="s">
        <v>7638</v>
      </c>
      <c r="C9591" s="452"/>
      <c r="D9591" s="452"/>
      <c r="E9591" s="8">
        <v>100000</v>
      </c>
      <c r="F9591" s="92">
        <f t="shared" si="209"/>
        <v>124187</v>
      </c>
      <c r="L9591" s="25"/>
    </row>
    <row r="9592" spans="1:12" x14ac:dyDescent="0.25">
      <c r="A9592" s="204">
        <v>44372</v>
      </c>
      <c r="B9592" s="26" t="s">
        <v>6626</v>
      </c>
      <c r="C9592" s="26" t="s">
        <v>5853</v>
      </c>
      <c r="D9592" s="8">
        <v>55600</v>
      </c>
      <c r="E9592" s="8"/>
      <c r="F9592" s="92">
        <f t="shared" si="209"/>
        <v>68587</v>
      </c>
      <c r="I9592" s="10">
        <f>I9590-I9591</f>
        <v>0</v>
      </c>
    </row>
    <row r="9593" spans="1:12" x14ac:dyDescent="0.25">
      <c r="A9593" s="204">
        <v>44372</v>
      </c>
      <c r="B9593" s="29" t="s">
        <v>5479</v>
      </c>
      <c r="C9593" s="29" t="s">
        <v>8305</v>
      </c>
      <c r="D9593" s="8">
        <v>7880</v>
      </c>
      <c r="E9593" s="8"/>
      <c r="F9593" s="92">
        <f t="shared" si="209"/>
        <v>60707</v>
      </c>
    </row>
    <row r="9594" spans="1:12" x14ac:dyDescent="0.25">
      <c r="A9594" s="204">
        <v>44372</v>
      </c>
      <c r="B9594" s="26" t="s">
        <v>8289</v>
      </c>
      <c r="C9594" s="26" t="s">
        <v>295</v>
      </c>
      <c r="D9594" s="8">
        <v>5000</v>
      </c>
      <c r="E9594" s="8"/>
      <c r="F9594" s="92">
        <f t="shared" si="209"/>
        <v>55707</v>
      </c>
    </row>
    <row r="9595" spans="1:12" x14ac:dyDescent="0.25">
      <c r="A9595" s="204">
        <v>44373</v>
      </c>
      <c r="B9595" s="29" t="s">
        <v>58</v>
      </c>
      <c r="C9595" s="29" t="s">
        <v>8309</v>
      </c>
      <c r="D9595" s="8">
        <v>20000</v>
      </c>
      <c r="E9595" s="8"/>
      <c r="F9595" s="92">
        <f t="shared" si="209"/>
        <v>35707</v>
      </c>
      <c r="J9595" s="10">
        <v>102704</v>
      </c>
    </row>
    <row r="9596" spans="1:12" x14ac:dyDescent="0.25">
      <c r="A9596" s="204">
        <v>44373</v>
      </c>
      <c r="B9596" s="29" t="s">
        <v>4776</v>
      </c>
      <c r="C9596" s="29" t="s">
        <v>295</v>
      </c>
      <c r="D9596" s="8">
        <v>20000</v>
      </c>
      <c r="E9596" s="8"/>
      <c r="F9596" s="92">
        <f t="shared" si="209"/>
        <v>15707</v>
      </c>
      <c r="J9596" s="10">
        <v>54313</v>
      </c>
    </row>
    <row r="9597" spans="1:12" x14ac:dyDescent="0.25">
      <c r="A9597" s="204">
        <v>44373</v>
      </c>
      <c r="B9597" s="26" t="s">
        <v>1619</v>
      </c>
      <c r="C9597" s="26" t="s">
        <v>7580</v>
      </c>
      <c r="D9597" s="8">
        <v>600</v>
      </c>
      <c r="E9597" s="8"/>
      <c r="F9597" s="92">
        <f t="shared" si="209"/>
        <v>15107</v>
      </c>
      <c r="J9597" s="10">
        <v>50642</v>
      </c>
    </row>
    <row r="9598" spans="1:12" x14ac:dyDescent="0.25">
      <c r="A9598" s="204">
        <v>44373</v>
      </c>
      <c r="B9598" s="452" t="s">
        <v>8098</v>
      </c>
      <c r="C9598" s="452"/>
      <c r="D9598" s="452"/>
      <c r="E9598" s="8">
        <v>260000</v>
      </c>
      <c r="F9598" s="92">
        <f t="shared" si="209"/>
        <v>275107</v>
      </c>
      <c r="J9598" s="10">
        <v>45249</v>
      </c>
      <c r="L9598" s="25"/>
    </row>
    <row r="9599" spans="1:12" ht="18.75" x14ac:dyDescent="0.3">
      <c r="A9599" s="204">
        <v>44373</v>
      </c>
      <c r="B9599" s="440" t="s">
        <v>8310</v>
      </c>
      <c r="C9599" s="440" t="s">
        <v>8311</v>
      </c>
      <c r="D9599" s="441">
        <v>232000</v>
      </c>
      <c r="E9599" s="8"/>
      <c r="F9599" s="92">
        <f t="shared" si="209"/>
        <v>43107</v>
      </c>
      <c r="H9599" s="10" t="s">
        <v>8314</v>
      </c>
      <c r="J9599" s="10">
        <f>SUM(J9595:J9598)</f>
        <v>252908</v>
      </c>
    </row>
    <row r="9600" spans="1:12" x14ac:dyDescent="0.25">
      <c r="A9600" s="204">
        <v>44373</v>
      </c>
      <c r="B9600" s="26" t="s">
        <v>85</v>
      </c>
      <c r="C9600" s="26" t="s">
        <v>8313</v>
      </c>
      <c r="D9600" s="8">
        <v>2000</v>
      </c>
      <c r="E9600" s="8"/>
      <c r="F9600" s="92">
        <f t="shared" si="209"/>
        <v>41107</v>
      </c>
    </row>
    <row r="9601" spans="1:12" x14ac:dyDescent="0.25">
      <c r="A9601" s="204">
        <v>44373</v>
      </c>
      <c r="B9601" s="26" t="s">
        <v>26</v>
      </c>
      <c r="C9601" s="26" t="s">
        <v>65</v>
      </c>
      <c r="D9601" s="8">
        <v>1000</v>
      </c>
      <c r="E9601" s="8"/>
      <c r="F9601" s="92">
        <f t="shared" si="209"/>
        <v>40107</v>
      </c>
    </row>
    <row r="9602" spans="1:12" x14ac:dyDescent="0.25">
      <c r="A9602" s="204">
        <v>44373</v>
      </c>
      <c r="B9602" s="26" t="s">
        <v>85</v>
      </c>
      <c r="C9602" s="26" t="s">
        <v>8331</v>
      </c>
      <c r="D9602" s="8">
        <v>15000</v>
      </c>
      <c r="E9602" s="8"/>
      <c r="F9602" s="92">
        <f t="shared" si="209"/>
        <v>25107</v>
      </c>
    </row>
    <row r="9603" spans="1:12" x14ac:dyDescent="0.25">
      <c r="A9603" s="204">
        <v>44373</v>
      </c>
      <c r="B9603" s="26" t="s">
        <v>8220</v>
      </c>
      <c r="C9603" s="26" t="s">
        <v>3561</v>
      </c>
      <c r="D9603" s="8">
        <v>10000</v>
      </c>
      <c r="E9603" s="8"/>
      <c r="F9603" s="92">
        <f t="shared" si="209"/>
        <v>15107</v>
      </c>
      <c r="I9603" s="10">
        <f>I9602*10%</f>
        <v>0</v>
      </c>
    </row>
    <row r="9604" spans="1:12" x14ac:dyDescent="0.25">
      <c r="A9604" s="204">
        <v>44373</v>
      </c>
      <c r="B9604" s="26" t="s">
        <v>8289</v>
      </c>
      <c r="C9604" s="26" t="s">
        <v>8332</v>
      </c>
      <c r="D9604" s="8">
        <v>5000</v>
      </c>
      <c r="E9604" s="8"/>
      <c r="F9604" s="92">
        <f t="shared" si="209"/>
        <v>10107</v>
      </c>
      <c r="I9604" s="10">
        <f>I9602-I9603</f>
        <v>0</v>
      </c>
    </row>
    <row r="9605" spans="1:12" x14ac:dyDescent="0.25">
      <c r="A9605" s="204">
        <v>44375</v>
      </c>
      <c r="B9605" s="26" t="s">
        <v>6147</v>
      </c>
      <c r="C9605" s="26" t="s">
        <v>8333</v>
      </c>
      <c r="D9605" s="8">
        <v>300</v>
      </c>
      <c r="E9605" s="8"/>
      <c r="F9605" s="92">
        <f t="shared" si="209"/>
        <v>9807</v>
      </c>
      <c r="I9605" s="10">
        <v>14762</v>
      </c>
    </row>
    <row r="9606" spans="1:12" x14ac:dyDescent="0.25">
      <c r="A9606" s="204">
        <v>44375</v>
      </c>
      <c r="B9606" s="452" t="s">
        <v>8098</v>
      </c>
      <c r="C9606" s="452"/>
      <c r="D9606" s="452"/>
      <c r="E9606" s="8">
        <v>100000</v>
      </c>
      <c r="F9606" s="92">
        <f t="shared" si="209"/>
        <v>109807</v>
      </c>
      <c r="J9606" s="10">
        <v>45249</v>
      </c>
      <c r="L9606" s="25"/>
    </row>
    <row r="9607" spans="1:12" x14ac:dyDescent="0.25">
      <c r="A9607" s="204">
        <v>44375</v>
      </c>
      <c r="B9607" s="29" t="s">
        <v>0</v>
      </c>
      <c r="C9607" s="29" t="s">
        <v>295</v>
      </c>
      <c r="D9607" s="8">
        <v>9000</v>
      </c>
      <c r="E9607" s="8"/>
      <c r="F9607" s="92">
        <f t="shared" si="209"/>
        <v>100807</v>
      </c>
      <c r="I9607" s="10">
        <f>I9606+I9605+I9604</f>
        <v>14762</v>
      </c>
    </row>
    <row r="9608" spans="1:12" x14ac:dyDescent="0.25">
      <c r="A9608" s="204">
        <v>44375</v>
      </c>
      <c r="B9608" s="29" t="s">
        <v>8336</v>
      </c>
      <c r="C9608" s="29" t="s">
        <v>8337</v>
      </c>
      <c r="D9608" s="8">
        <v>20000</v>
      </c>
      <c r="E9608" s="8"/>
      <c r="F9608" s="92">
        <f t="shared" si="209"/>
        <v>80807</v>
      </c>
      <c r="G9608" s="6">
        <v>55000</v>
      </c>
    </row>
    <row r="9609" spans="1:12" x14ac:dyDescent="0.25">
      <c r="A9609" s="204">
        <v>44375</v>
      </c>
      <c r="B9609" s="452" t="s">
        <v>8338</v>
      </c>
      <c r="C9609" s="452"/>
      <c r="D9609" s="452"/>
      <c r="E9609" s="8">
        <v>45000</v>
      </c>
      <c r="F9609" s="92">
        <f t="shared" si="209"/>
        <v>125807</v>
      </c>
      <c r="J9609" s="10">
        <v>45249</v>
      </c>
      <c r="L9609" s="25"/>
    </row>
    <row r="9610" spans="1:12" x14ac:dyDescent="0.25">
      <c r="A9610" s="204">
        <v>44375</v>
      </c>
      <c r="B9610" s="26" t="s">
        <v>7884</v>
      </c>
      <c r="C9610" s="26" t="s">
        <v>8339</v>
      </c>
      <c r="D9610" s="8">
        <v>30000</v>
      </c>
      <c r="E9610" s="8"/>
      <c r="F9610" s="92">
        <f t="shared" si="209"/>
        <v>95807</v>
      </c>
    </row>
    <row r="9611" spans="1:12" x14ac:dyDescent="0.25">
      <c r="A9611" s="204">
        <v>44375</v>
      </c>
      <c r="B9611" s="26" t="s">
        <v>7425</v>
      </c>
      <c r="C9611" s="26" t="s">
        <v>8340</v>
      </c>
      <c r="D9611" s="8">
        <v>7000</v>
      </c>
      <c r="E9611" s="8"/>
      <c r="F9611" s="92">
        <f t="shared" si="209"/>
        <v>88807</v>
      </c>
    </row>
    <row r="9612" spans="1:12" x14ac:dyDescent="0.25">
      <c r="A9612" s="204">
        <v>44375</v>
      </c>
      <c r="B9612" s="26" t="s">
        <v>7527</v>
      </c>
      <c r="C9612" s="26" t="s">
        <v>8341</v>
      </c>
      <c r="D9612" s="8">
        <v>120</v>
      </c>
      <c r="E9612" s="8"/>
      <c r="F9612" s="92">
        <f t="shared" si="209"/>
        <v>88687</v>
      </c>
    </row>
    <row r="9613" spans="1:12" x14ac:dyDescent="0.25">
      <c r="A9613" s="204">
        <v>44375</v>
      </c>
      <c r="B9613" s="26" t="s">
        <v>7527</v>
      </c>
      <c r="C9613" s="26" t="s">
        <v>8342</v>
      </c>
      <c r="D9613" s="8">
        <v>80</v>
      </c>
      <c r="E9613" s="8"/>
      <c r="F9613" s="92">
        <f t="shared" si="209"/>
        <v>88607</v>
      </c>
      <c r="H9613" s="10">
        <v>7334243</v>
      </c>
    </row>
    <row r="9614" spans="1:12" x14ac:dyDescent="0.25">
      <c r="A9614" s="204">
        <v>44375</v>
      </c>
      <c r="B9614" s="26" t="s">
        <v>111</v>
      </c>
      <c r="C9614" s="26" t="s">
        <v>3175</v>
      </c>
      <c r="D9614" s="8">
        <f>22720+500</f>
        <v>23220</v>
      </c>
      <c r="E9614" s="8"/>
      <c r="F9614" s="92">
        <f t="shared" si="209"/>
        <v>65387</v>
      </c>
      <c r="H9614" s="10">
        <v>184922</v>
      </c>
    </row>
    <row r="9615" spans="1:12" x14ac:dyDescent="0.25">
      <c r="A9615" s="204">
        <v>44375</v>
      </c>
      <c r="B9615" s="26" t="s">
        <v>3563</v>
      </c>
      <c r="C9615" s="26" t="s">
        <v>8343</v>
      </c>
      <c r="D9615" s="8">
        <v>650</v>
      </c>
      <c r="E9615" s="8"/>
      <c r="F9615" s="92">
        <f t="shared" si="209"/>
        <v>64737</v>
      </c>
      <c r="H9615" s="10">
        <f>H9613-H9614</f>
        <v>7149321</v>
      </c>
    </row>
    <row r="9616" spans="1:12" x14ac:dyDescent="0.25">
      <c r="A9616" s="204">
        <v>44375</v>
      </c>
      <c r="B9616" s="26" t="s">
        <v>85</v>
      </c>
      <c r="C9616" s="26" t="s">
        <v>8344</v>
      </c>
      <c r="D9616" s="8">
        <v>3000</v>
      </c>
      <c r="E9616" s="8"/>
      <c r="F9616" s="92">
        <f t="shared" si="209"/>
        <v>61737</v>
      </c>
      <c r="H9616" s="10">
        <f>H9615*7.5%</f>
        <v>536199.07499999995</v>
      </c>
      <c r="I9616" s="10" t="s">
        <v>8334</v>
      </c>
    </row>
    <row r="9617" spans="1:12" x14ac:dyDescent="0.25">
      <c r="A9617" s="204">
        <v>44376</v>
      </c>
      <c r="B9617" s="26" t="s">
        <v>542</v>
      </c>
      <c r="C9617" s="26" t="s">
        <v>295</v>
      </c>
      <c r="D9617" s="8">
        <v>10000</v>
      </c>
      <c r="E9617" s="8"/>
      <c r="F9617" s="92">
        <f t="shared" si="209"/>
        <v>51737</v>
      </c>
      <c r="H9617" s="10">
        <f>H9615-H9616</f>
        <v>6613121.9249999998</v>
      </c>
    </row>
    <row r="9618" spans="1:12" x14ac:dyDescent="0.25">
      <c r="A9618" s="204">
        <v>44377</v>
      </c>
      <c r="B9618" s="26" t="s">
        <v>4776</v>
      </c>
      <c r="C9618" s="26" t="s">
        <v>295</v>
      </c>
      <c r="D9618" s="8">
        <v>30000</v>
      </c>
      <c r="E9618" s="8"/>
      <c r="F9618" s="92">
        <f t="shared" si="209"/>
        <v>21737</v>
      </c>
      <c r="H9618" s="281">
        <f>H9615*8%</f>
        <v>571945.68000000005</v>
      </c>
      <c r="I9618" s="10" t="s">
        <v>8335</v>
      </c>
    </row>
    <row r="9619" spans="1:12" x14ac:dyDescent="0.25">
      <c r="A9619" s="204">
        <v>44377</v>
      </c>
      <c r="B9619" s="26" t="s">
        <v>26</v>
      </c>
      <c r="C9619" s="26" t="s">
        <v>4280</v>
      </c>
      <c r="D9619" s="8">
        <v>7239</v>
      </c>
      <c r="E9619" s="8"/>
      <c r="F9619" s="92">
        <f t="shared" si="209"/>
        <v>14498</v>
      </c>
      <c r="H9619" s="10">
        <f>H9617-H9618</f>
        <v>6041176.2450000001</v>
      </c>
    </row>
    <row r="9620" spans="1:12" x14ac:dyDescent="0.25">
      <c r="A9620" s="204">
        <v>44377</v>
      </c>
      <c r="B9620" s="452" t="s">
        <v>864</v>
      </c>
      <c r="C9620" s="452"/>
      <c r="D9620" s="452"/>
      <c r="E9620" s="8">
        <v>279000</v>
      </c>
      <c r="F9620" s="92">
        <f t="shared" si="209"/>
        <v>293498</v>
      </c>
      <c r="J9620" s="10">
        <v>45249</v>
      </c>
      <c r="L9620" s="25"/>
    </row>
    <row r="9621" spans="1:12" x14ac:dyDescent="0.25">
      <c r="A9621" s="204">
        <v>44377</v>
      </c>
      <c r="B9621" s="26" t="s">
        <v>6877</v>
      </c>
      <c r="C9621" s="26" t="s">
        <v>8345</v>
      </c>
      <c r="D9621" s="8">
        <v>3000</v>
      </c>
      <c r="E9621" s="8"/>
      <c r="F9621" s="92">
        <f t="shared" si="209"/>
        <v>290498</v>
      </c>
      <c r="H9621" s="10">
        <f>H9619-H9620</f>
        <v>6041176.2450000001</v>
      </c>
    </row>
    <row r="9622" spans="1:12" x14ac:dyDescent="0.25">
      <c r="A9622" s="204">
        <v>44377</v>
      </c>
      <c r="B9622" s="26" t="s">
        <v>6877</v>
      </c>
      <c r="C9622" s="29" t="s">
        <v>8346</v>
      </c>
      <c r="D9622" s="8">
        <v>600</v>
      </c>
      <c r="E9622" s="8"/>
      <c r="F9622" s="92">
        <f t="shared" si="209"/>
        <v>289898</v>
      </c>
    </row>
    <row r="9623" spans="1:12" x14ac:dyDescent="0.25">
      <c r="A9623" s="204">
        <v>44377</v>
      </c>
      <c r="B9623" s="29" t="s">
        <v>4059</v>
      </c>
      <c r="C9623" s="29" t="s">
        <v>8347</v>
      </c>
      <c r="D9623" s="8">
        <v>10500</v>
      </c>
      <c r="E9623" s="8"/>
      <c r="F9623" s="92">
        <f t="shared" si="209"/>
        <v>279398</v>
      </c>
    </row>
    <row r="9624" spans="1:12" x14ac:dyDescent="0.25">
      <c r="A9624" s="204">
        <v>44377</v>
      </c>
      <c r="B9624" s="29" t="s">
        <v>4059</v>
      </c>
      <c r="C9624" s="29" t="s">
        <v>8348</v>
      </c>
      <c r="D9624" s="8">
        <v>5000</v>
      </c>
      <c r="E9624" s="8"/>
      <c r="F9624" s="92">
        <f t="shared" si="209"/>
        <v>274398</v>
      </c>
    </row>
    <row r="9625" spans="1:12" x14ac:dyDescent="0.25">
      <c r="A9625" s="204">
        <v>44378</v>
      </c>
      <c r="B9625" s="29" t="s">
        <v>5971</v>
      </c>
      <c r="C9625" s="29" t="s">
        <v>8349</v>
      </c>
      <c r="D9625" s="8">
        <v>20000</v>
      </c>
      <c r="E9625" s="8"/>
      <c r="F9625" s="92">
        <f t="shared" si="209"/>
        <v>254398</v>
      </c>
    </row>
    <row r="9626" spans="1:12" x14ac:dyDescent="0.25">
      <c r="A9626" s="204">
        <v>44378</v>
      </c>
      <c r="B9626" s="29" t="s">
        <v>6147</v>
      </c>
      <c r="C9626" s="29" t="s">
        <v>8350</v>
      </c>
      <c r="D9626" s="8">
        <v>1500</v>
      </c>
      <c r="E9626" s="8"/>
      <c r="F9626" s="92">
        <f t="shared" si="209"/>
        <v>252898</v>
      </c>
    </row>
    <row r="9627" spans="1:12" x14ac:dyDescent="0.25">
      <c r="A9627" s="204">
        <v>44378</v>
      </c>
      <c r="B9627" s="26" t="s">
        <v>8289</v>
      </c>
      <c r="C9627" s="26" t="s">
        <v>295</v>
      </c>
      <c r="D9627" s="8">
        <v>1000</v>
      </c>
      <c r="E9627" s="8"/>
      <c r="F9627" s="92">
        <f t="shared" si="209"/>
        <v>251898</v>
      </c>
    </row>
    <row r="9628" spans="1:12" x14ac:dyDescent="0.25">
      <c r="A9628" s="204">
        <v>44378</v>
      </c>
      <c r="B9628" s="26" t="s">
        <v>6877</v>
      </c>
      <c r="C9628" s="26" t="s">
        <v>3186</v>
      </c>
      <c r="D9628" s="8">
        <v>10000</v>
      </c>
      <c r="E9628" s="8"/>
      <c r="F9628" s="92">
        <f t="shared" si="209"/>
        <v>241898</v>
      </c>
    </row>
    <row r="9629" spans="1:12" x14ac:dyDescent="0.25">
      <c r="A9629" s="204">
        <v>44378</v>
      </c>
      <c r="B9629" s="26" t="s">
        <v>0</v>
      </c>
      <c r="C9629" s="26" t="s">
        <v>584</v>
      </c>
      <c r="D9629" s="8">
        <v>5000</v>
      </c>
      <c r="E9629" s="8"/>
      <c r="F9629" s="92">
        <f t="shared" si="209"/>
        <v>236898</v>
      </c>
    </row>
    <row r="9630" spans="1:12" x14ac:dyDescent="0.25">
      <c r="A9630" s="204">
        <v>44378</v>
      </c>
      <c r="B9630" s="26" t="s">
        <v>8351</v>
      </c>
      <c r="C9630" s="26" t="s">
        <v>8352</v>
      </c>
      <c r="D9630" s="8">
        <v>36950</v>
      </c>
      <c r="E9630" s="8"/>
      <c r="F9630" s="92">
        <f t="shared" si="209"/>
        <v>199948</v>
      </c>
    </row>
    <row r="9631" spans="1:12" x14ac:dyDescent="0.25">
      <c r="A9631" s="204">
        <v>44378</v>
      </c>
      <c r="B9631" s="26" t="s">
        <v>26</v>
      </c>
      <c r="C9631" s="26" t="s">
        <v>8353</v>
      </c>
      <c r="D9631" s="8">
        <v>2750</v>
      </c>
      <c r="E9631" s="8"/>
      <c r="F9631" s="92">
        <f t="shared" si="209"/>
        <v>197198</v>
      </c>
    </row>
    <row r="9632" spans="1:12" x14ac:dyDescent="0.25">
      <c r="A9632" s="204">
        <v>44378</v>
      </c>
      <c r="B9632" s="26" t="s">
        <v>85</v>
      </c>
      <c r="C9632" s="26" t="s">
        <v>8354</v>
      </c>
      <c r="D9632" s="8">
        <v>1000</v>
      </c>
      <c r="E9632" s="8"/>
      <c r="F9632" s="92">
        <f t="shared" si="209"/>
        <v>196198</v>
      </c>
    </row>
    <row r="9633" spans="1:8" x14ac:dyDescent="0.25">
      <c r="A9633" s="204">
        <v>44378</v>
      </c>
      <c r="B9633" s="26" t="s">
        <v>85</v>
      </c>
      <c r="C9633" s="26" t="s">
        <v>8355</v>
      </c>
      <c r="D9633" s="8">
        <v>1000</v>
      </c>
      <c r="E9633" s="8"/>
      <c r="F9633" s="92">
        <f t="shared" si="209"/>
        <v>195198</v>
      </c>
      <c r="H9633" s="10">
        <v>1401738</v>
      </c>
    </row>
    <row r="9634" spans="1:8" x14ac:dyDescent="0.25">
      <c r="A9634" s="204">
        <v>44379</v>
      </c>
      <c r="B9634" s="26" t="s">
        <v>69</v>
      </c>
      <c r="C9634" s="26" t="s">
        <v>8356</v>
      </c>
      <c r="D9634" s="8">
        <v>4000</v>
      </c>
      <c r="E9634" s="8"/>
      <c r="F9634" s="92">
        <f t="shared" si="209"/>
        <v>191198</v>
      </c>
      <c r="H9634" s="281">
        <f>H9633*13%</f>
        <v>182225.94</v>
      </c>
    </row>
    <row r="9635" spans="1:8" x14ac:dyDescent="0.25">
      <c r="A9635" s="204">
        <v>44379</v>
      </c>
      <c r="B9635" s="26" t="s">
        <v>26</v>
      </c>
      <c r="C9635" s="26" t="s">
        <v>8378</v>
      </c>
      <c r="D9635" s="8">
        <v>600</v>
      </c>
      <c r="E9635" s="8"/>
      <c r="F9635" s="92">
        <f t="shared" si="209"/>
        <v>190598</v>
      </c>
      <c r="H9635" s="281"/>
    </row>
    <row r="9636" spans="1:8" x14ac:dyDescent="0.25">
      <c r="A9636" s="204">
        <v>44379</v>
      </c>
      <c r="B9636" s="26" t="s">
        <v>19</v>
      </c>
      <c r="C9636" s="26" t="s">
        <v>8373</v>
      </c>
      <c r="D9636" s="8">
        <v>6400</v>
      </c>
      <c r="E9636" s="8"/>
      <c r="F9636" s="92">
        <f t="shared" si="209"/>
        <v>184198</v>
      </c>
      <c r="H9636" s="10">
        <f>H9634+H9633</f>
        <v>1583963.94</v>
      </c>
    </row>
    <row r="9637" spans="1:8" x14ac:dyDescent="0.25">
      <c r="A9637" s="204">
        <v>44379</v>
      </c>
      <c r="B9637" s="26" t="s">
        <v>6877</v>
      </c>
      <c r="C9637" s="26" t="s">
        <v>8372</v>
      </c>
      <c r="D9637" s="8">
        <v>3000</v>
      </c>
      <c r="E9637" s="8"/>
      <c r="F9637" s="92">
        <f t="shared" si="209"/>
        <v>181198</v>
      </c>
      <c r="H9637" s="281">
        <f>H9636*3%</f>
        <v>47518.9182</v>
      </c>
    </row>
    <row r="9638" spans="1:8" x14ac:dyDescent="0.25">
      <c r="A9638" s="204">
        <v>44379</v>
      </c>
      <c r="B9638" s="29" t="s">
        <v>1619</v>
      </c>
      <c r="C9638" s="29" t="s">
        <v>641</v>
      </c>
      <c r="D9638" s="8">
        <v>1500</v>
      </c>
      <c r="E9638" s="8"/>
      <c r="F9638" s="92">
        <f t="shared" si="209"/>
        <v>179698</v>
      </c>
      <c r="H9638" s="10">
        <f>H9634*20%</f>
        <v>36445.188000000002</v>
      </c>
    </row>
    <row r="9639" spans="1:8" x14ac:dyDescent="0.25">
      <c r="A9639" s="204">
        <v>44379</v>
      </c>
      <c r="B9639" s="26" t="s">
        <v>14</v>
      </c>
      <c r="C9639" s="26" t="s">
        <v>8374</v>
      </c>
      <c r="D9639" s="8">
        <v>20000</v>
      </c>
      <c r="E9639" s="8"/>
      <c r="F9639" s="92">
        <f t="shared" si="209"/>
        <v>159698</v>
      </c>
      <c r="H9639" s="10">
        <f>H9636-H9637-H9638</f>
        <v>1499999.8337999999</v>
      </c>
    </row>
    <row r="9640" spans="1:8" x14ac:dyDescent="0.25">
      <c r="A9640" s="204">
        <v>44379</v>
      </c>
      <c r="B9640" s="26" t="s">
        <v>58</v>
      </c>
      <c r="C9640" s="26" t="s">
        <v>8375</v>
      </c>
      <c r="D9640" s="8">
        <v>15000</v>
      </c>
      <c r="E9640" s="8"/>
      <c r="F9640" s="92">
        <f t="shared" si="209"/>
        <v>144698</v>
      </c>
    </row>
    <row r="9641" spans="1:8" x14ac:dyDescent="0.25">
      <c r="A9641" s="204">
        <v>44379</v>
      </c>
      <c r="B9641" s="26" t="s">
        <v>14</v>
      </c>
      <c r="C9641" s="26" t="s">
        <v>295</v>
      </c>
      <c r="D9641" s="8">
        <v>5000</v>
      </c>
      <c r="E9641" s="8"/>
      <c r="F9641" s="92">
        <f t="shared" ref="F9641:F9650" si="210">F9640+E9641-D9641</f>
        <v>139698</v>
      </c>
    </row>
    <row r="9642" spans="1:8" x14ac:dyDescent="0.25">
      <c r="A9642" s="204">
        <v>44379</v>
      </c>
      <c r="B9642" s="26" t="s">
        <v>1515</v>
      </c>
      <c r="C9642" s="26" t="s">
        <v>8376</v>
      </c>
      <c r="D9642" s="8">
        <v>23600</v>
      </c>
      <c r="E9642" s="8"/>
      <c r="F9642" s="92">
        <f t="shared" si="210"/>
        <v>116098</v>
      </c>
    </row>
    <row r="9643" spans="1:8" x14ac:dyDescent="0.25">
      <c r="A9643" s="204">
        <v>44379</v>
      </c>
      <c r="B9643" s="26" t="s">
        <v>6147</v>
      </c>
      <c r="C9643" s="26" t="s">
        <v>8377</v>
      </c>
      <c r="D9643" s="8">
        <v>10000</v>
      </c>
      <c r="E9643" s="8"/>
      <c r="F9643" s="92">
        <f t="shared" si="210"/>
        <v>106098</v>
      </c>
    </row>
    <row r="9644" spans="1:8" x14ac:dyDescent="0.25">
      <c r="A9644" s="204">
        <v>44379</v>
      </c>
      <c r="B9644" s="26" t="s">
        <v>5479</v>
      </c>
      <c r="C9644" s="26" t="s">
        <v>8379</v>
      </c>
      <c r="D9644" s="8">
        <v>1350</v>
      </c>
      <c r="E9644" s="8"/>
      <c r="F9644" s="92">
        <f t="shared" si="210"/>
        <v>104748</v>
      </c>
    </row>
    <row r="9645" spans="1:8" x14ac:dyDescent="0.25">
      <c r="A9645" s="204">
        <v>44380</v>
      </c>
      <c r="B9645" s="29" t="s">
        <v>26</v>
      </c>
      <c r="C9645" s="29" t="s">
        <v>4280</v>
      </c>
      <c r="D9645" s="8">
        <v>6020</v>
      </c>
      <c r="E9645" s="8"/>
      <c r="F9645" s="92">
        <f t="shared" si="210"/>
        <v>98728</v>
      </c>
    </row>
    <row r="9646" spans="1:8" x14ac:dyDescent="0.25">
      <c r="A9646" s="204">
        <v>44380</v>
      </c>
      <c r="B9646" s="29" t="s">
        <v>69</v>
      </c>
      <c r="C9646" s="29" t="s">
        <v>4945</v>
      </c>
      <c r="D9646" s="8">
        <v>8000</v>
      </c>
      <c r="E9646" s="8"/>
      <c r="F9646" s="92">
        <f t="shared" si="210"/>
        <v>90728</v>
      </c>
    </row>
    <row r="9647" spans="1:8" x14ac:dyDescent="0.25">
      <c r="A9647" s="204">
        <v>44380</v>
      </c>
      <c r="B9647" s="26" t="s">
        <v>6147</v>
      </c>
      <c r="C9647" s="26" t="s">
        <v>8377</v>
      </c>
      <c r="D9647" s="8">
        <v>13000</v>
      </c>
      <c r="E9647" s="8"/>
      <c r="F9647" s="92">
        <f t="shared" si="210"/>
        <v>77728</v>
      </c>
      <c r="H9647" s="10">
        <f>100000-23000</f>
        <v>77000</v>
      </c>
    </row>
    <row r="9648" spans="1:8" x14ac:dyDescent="0.25">
      <c r="A9648" s="204">
        <v>44380</v>
      </c>
      <c r="B9648" s="29" t="s">
        <v>4776</v>
      </c>
      <c r="C9648" s="29" t="s">
        <v>7878</v>
      </c>
      <c r="D9648" s="8">
        <v>5000</v>
      </c>
      <c r="E9648" s="8"/>
      <c r="F9648" s="92">
        <f t="shared" si="210"/>
        <v>72728</v>
      </c>
    </row>
    <row r="9649" spans="1:12" x14ac:dyDescent="0.25">
      <c r="A9649" s="204">
        <v>44380</v>
      </c>
      <c r="B9649" s="26" t="s">
        <v>85</v>
      </c>
      <c r="C9649" s="26" t="s">
        <v>8382</v>
      </c>
      <c r="D9649" s="8">
        <v>1000</v>
      </c>
      <c r="E9649" s="8"/>
      <c r="F9649" s="92">
        <f t="shared" si="210"/>
        <v>71728</v>
      </c>
    </row>
    <row r="9650" spans="1:12" x14ac:dyDescent="0.25">
      <c r="A9650" s="204">
        <v>44380</v>
      </c>
      <c r="B9650" s="26" t="s">
        <v>8383</v>
      </c>
      <c r="C9650" s="26" t="s">
        <v>295</v>
      </c>
      <c r="D9650" s="8">
        <v>5000</v>
      </c>
      <c r="E9650" s="8"/>
      <c r="F9650" s="92">
        <f t="shared" si="210"/>
        <v>66728</v>
      </c>
    </row>
    <row r="9651" spans="1:12" x14ac:dyDescent="0.25">
      <c r="A9651" s="204">
        <v>44380</v>
      </c>
      <c r="B9651" s="26" t="s">
        <v>6147</v>
      </c>
      <c r="C9651" s="26" t="s">
        <v>8384</v>
      </c>
      <c r="D9651" s="8">
        <v>1000</v>
      </c>
      <c r="E9651" s="8"/>
      <c r="F9651" s="92">
        <f t="shared" ref="F9651" si="211">F9650+E9651-D9651</f>
        <v>65728</v>
      </c>
    </row>
    <row r="9652" spans="1:12" x14ac:dyDescent="0.25">
      <c r="A9652" s="204">
        <v>44380</v>
      </c>
      <c r="B9652" s="26" t="s">
        <v>8385</v>
      </c>
      <c r="C9652" s="26" t="s">
        <v>8386</v>
      </c>
      <c r="D9652" s="8">
        <v>20000</v>
      </c>
      <c r="E9652" s="8"/>
      <c r="F9652" s="92">
        <f t="shared" ref="F9652:F9689" si="212">F9651+E9652-D9652</f>
        <v>45728</v>
      </c>
    </row>
    <row r="9653" spans="1:12" x14ac:dyDescent="0.25">
      <c r="A9653" s="204">
        <v>44380</v>
      </c>
      <c r="B9653" s="26" t="s">
        <v>6877</v>
      </c>
      <c r="C9653" s="26" t="s">
        <v>8388</v>
      </c>
      <c r="D9653" s="8">
        <v>650</v>
      </c>
      <c r="E9653" s="8"/>
      <c r="F9653" s="92">
        <f t="shared" si="212"/>
        <v>45078</v>
      </c>
    </row>
    <row r="9654" spans="1:12" x14ac:dyDescent="0.25">
      <c r="A9654" s="204">
        <v>44382</v>
      </c>
      <c r="B9654" s="26" t="s">
        <v>14</v>
      </c>
      <c r="C9654" s="26" t="s">
        <v>8392</v>
      </c>
      <c r="D9654" s="8">
        <v>16341</v>
      </c>
      <c r="E9654" s="8"/>
      <c r="F9654" s="92">
        <f t="shared" si="212"/>
        <v>28737</v>
      </c>
    </row>
    <row r="9655" spans="1:12" x14ac:dyDescent="0.25">
      <c r="A9655" s="204">
        <v>44382</v>
      </c>
      <c r="B9655" s="26" t="s">
        <v>26</v>
      </c>
      <c r="C9655" s="26" t="s">
        <v>8393</v>
      </c>
      <c r="D9655" s="8">
        <v>1000</v>
      </c>
      <c r="E9655" s="8"/>
      <c r="F9655" s="92">
        <f t="shared" si="212"/>
        <v>27737</v>
      </c>
    </row>
    <row r="9656" spans="1:12" x14ac:dyDescent="0.25">
      <c r="A9656" s="204">
        <v>44382</v>
      </c>
      <c r="B9656" s="26" t="s">
        <v>14</v>
      </c>
      <c r="C9656" s="26" t="s">
        <v>8394</v>
      </c>
      <c r="D9656" s="8">
        <v>25000</v>
      </c>
      <c r="E9656" s="8"/>
      <c r="F9656" s="92">
        <f t="shared" si="212"/>
        <v>2737</v>
      </c>
    </row>
    <row r="9657" spans="1:12" x14ac:dyDescent="0.25">
      <c r="A9657" s="204">
        <v>44382</v>
      </c>
      <c r="B9657" s="452" t="s">
        <v>8098</v>
      </c>
      <c r="C9657" s="452"/>
      <c r="D9657" s="452"/>
      <c r="E9657" s="8">
        <v>400000</v>
      </c>
      <c r="F9657" s="92">
        <f t="shared" si="212"/>
        <v>402737</v>
      </c>
      <c r="J9657" s="10">
        <v>45249</v>
      </c>
      <c r="L9657" s="25"/>
    </row>
    <row r="9658" spans="1:12" x14ac:dyDescent="0.25">
      <c r="A9658" s="204">
        <v>44382</v>
      </c>
      <c r="B9658" s="162" t="s">
        <v>1515</v>
      </c>
      <c r="C9658" s="162" t="s">
        <v>6826</v>
      </c>
      <c r="D9658" s="8">
        <v>96125</v>
      </c>
      <c r="E9658" s="8"/>
      <c r="F9658" s="92">
        <f t="shared" si="212"/>
        <v>306612</v>
      </c>
      <c r="L9658" s="25"/>
    </row>
    <row r="9659" spans="1:12" x14ac:dyDescent="0.25">
      <c r="A9659" s="204">
        <v>44382</v>
      </c>
      <c r="B9659" s="162" t="s">
        <v>1515</v>
      </c>
      <c r="C9659" s="162" t="s">
        <v>8395</v>
      </c>
      <c r="D9659" s="8">
        <v>79450</v>
      </c>
      <c r="E9659" s="8"/>
      <c r="F9659" s="92">
        <f t="shared" si="212"/>
        <v>227162</v>
      </c>
    </row>
    <row r="9660" spans="1:12" x14ac:dyDescent="0.25">
      <c r="A9660" s="204">
        <v>44382</v>
      </c>
      <c r="B9660" s="162" t="s">
        <v>1515</v>
      </c>
      <c r="C9660" s="26" t="s">
        <v>8412</v>
      </c>
      <c r="D9660" s="8">
        <v>88100</v>
      </c>
      <c r="E9660" s="8"/>
      <c r="F9660" s="92">
        <f t="shared" si="212"/>
        <v>139062</v>
      </c>
    </row>
    <row r="9661" spans="1:12" x14ac:dyDescent="0.25">
      <c r="A9661" s="204">
        <v>44382</v>
      </c>
      <c r="B9661" s="162" t="s">
        <v>1515</v>
      </c>
      <c r="C9661" s="26" t="s">
        <v>0</v>
      </c>
      <c r="D9661" s="8">
        <v>34100</v>
      </c>
      <c r="E9661" s="8"/>
      <c r="F9661" s="92">
        <f t="shared" si="212"/>
        <v>104962</v>
      </c>
      <c r="G9661" s="25"/>
    </row>
    <row r="9662" spans="1:12" x14ac:dyDescent="0.25">
      <c r="A9662" s="204">
        <v>44382</v>
      </c>
      <c r="B9662" s="162" t="s">
        <v>1515</v>
      </c>
      <c r="C9662" s="26" t="s">
        <v>8415</v>
      </c>
      <c r="D9662" s="8">
        <f>47000+40000</f>
        <v>87000</v>
      </c>
      <c r="E9662" s="8"/>
      <c r="F9662" s="92">
        <f t="shared" si="212"/>
        <v>17962</v>
      </c>
    </row>
    <row r="9663" spans="1:12" x14ac:dyDescent="0.25">
      <c r="A9663" s="204">
        <v>44382</v>
      </c>
      <c r="B9663" s="26" t="s">
        <v>7736</v>
      </c>
      <c r="C9663" s="26" t="s">
        <v>7490</v>
      </c>
      <c r="D9663" s="8">
        <v>2000</v>
      </c>
      <c r="E9663" s="8"/>
      <c r="F9663" s="92">
        <f t="shared" si="212"/>
        <v>15962</v>
      </c>
    </row>
    <row r="9664" spans="1:12" x14ac:dyDescent="0.25">
      <c r="A9664" s="204">
        <v>44382</v>
      </c>
      <c r="B9664" s="26" t="s">
        <v>7736</v>
      </c>
      <c r="C9664" s="26" t="s">
        <v>8397</v>
      </c>
      <c r="D9664" s="8">
        <v>2000</v>
      </c>
      <c r="E9664" s="8"/>
      <c r="F9664" s="92">
        <f t="shared" si="212"/>
        <v>13962</v>
      </c>
    </row>
    <row r="9665" spans="1:12" x14ac:dyDescent="0.25">
      <c r="A9665" s="204">
        <v>44382</v>
      </c>
      <c r="B9665" s="26" t="s">
        <v>26</v>
      </c>
      <c r="C9665" s="26" t="s">
        <v>51</v>
      </c>
      <c r="D9665" s="8">
        <v>1200</v>
      </c>
      <c r="E9665" s="8"/>
      <c r="F9665" s="92">
        <f t="shared" si="212"/>
        <v>12762</v>
      </c>
    </row>
    <row r="9666" spans="1:12" x14ac:dyDescent="0.25">
      <c r="A9666" s="204">
        <v>44382</v>
      </c>
      <c r="B9666" s="26" t="s">
        <v>26</v>
      </c>
      <c r="C9666" s="26" t="s">
        <v>8399</v>
      </c>
      <c r="D9666" s="8">
        <v>200</v>
      </c>
      <c r="E9666" s="8"/>
      <c r="F9666" s="92">
        <f t="shared" si="212"/>
        <v>12562</v>
      </c>
    </row>
    <row r="9667" spans="1:12" x14ac:dyDescent="0.25">
      <c r="A9667" s="204">
        <v>44382</v>
      </c>
      <c r="B9667" s="26" t="s">
        <v>8289</v>
      </c>
      <c r="C9667" s="26" t="s">
        <v>8398</v>
      </c>
      <c r="D9667" s="8">
        <v>5000</v>
      </c>
      <c r="E9667" s="8"/>
      <c r="F9667" s="92">
        <f t="shared" si="212"/>
        <v>7562</v>
      </c>
    </row>
    <row r="9668" spans="1:12" x14ac:dyDescent="0.25">
      <c r="A9668" s="204">
        <v>44382</v>
      </c>
      <c r="B9668" s="26" t="s">
        <v>26</v>
      </c>
      <c r="C9668" s="26" t="s">
        <v>8400</v>
      </c>
      <c r="D9668" s="8">
        <v>1000</v>
      </c>
      <c r="E9668" s="8"/>
      <c r="F9668" s="92">
        <f t="shared" si="212"/>
        <v>6562</v>
      </c>
    </row>
    <row r="9669" spans="1:12" x14ac:dyDescent="0.25">
      <c r="A9669" s="204">
        <v>44383</v>
      </c>
      <c r="B9669" s="26" t="s">
        <v>8140</v>
      </c>
      <c r="C9669" s="26" t="s">
        <v>8402</v>
      </c>
      <c r="D9669" s="8">
        <v>1000</v>
      </c>
      <c r="E9669" s="8"/>
      <c r="F9669" s="92">
        <f t="shared" si="212"/>
        <v>5562</v>
      </c>
    </row>
    <row r="9670" spans="1:12" x14ac:dyDescent="0.25">
      <c r="A9670" s="204">
        <v>44383</v>
      </c>
      <c r="B9670" s="452" t="s">
        <v>8098</v>
      </c>
      <c r="C9670" s="452"/>
      <c r="D9670" s="452"/>
      <c r="E9670" s="8">
        <v>50000</v>
      </c>
      <c r="F9670" s="92">
        <f t="shared" si="212"/>
        <v>55562</v>
      </c>
      <c r="J9670" s="10">
        <v>45249</v>
      </c>
      <c r="L9670" s="25"/>
    </row>
    <row r="9671" spans="1:12" x14ac:dyDescent="0.25">
      <c r="A9671" s="204">
        <v>44383</v>
      </c>
      <c r="B9671" s="26" t="s">
        <v>0</v>
      </c>
      <c r="C9671" s="26" t="s">
        <v>295</v>
      </c>
      <c r="D9671" s="8">
        <v>6000</v>
      </c>
      <c r="E9671" s="8"/>
      <c r="F9671" s="92">
        <f t="shared" si="212"/>
        <v>49562</v>
      </c>
    </row>
    <row r="9672" spans="1:12" x14ac:dyDescent="0.25">
      <c r="A9672" s="204">
        <v>44383</v>
      </c>
      <c r="B9672" s="26" t="s">
        <v>8403</v>
      </c>
      <c r="C9672" s="26" t="s">
        <v>8404</v>
      </c>
      <c r="D9672" s="8">
        <v>15000</v>
      </c>
      <c r="E9672" s="8"/>
      <c r="F9672" s="92">
        <f t="shared" si="212"/>
        <v>34562</v>
      </c>
    </row>
    <row r="9673" spans="1:12" x14ac:dyDescent="0.25">
      <c r="A9673" s="204">
        <v>44383</v>
      </c>
      <c r="B9673" s="26" t="s">
        <v>14</v>
      </c>
      <c r="C9673" s="26" t="s">
        <v>295</v>
      </c>
      <c r="D9673" s="8">
        <v>10000</v>
      </c>
      <c r="E9673" s="8"/>
      <c r="F9673" s="92">
        <f t="shared" si="212"/>
        <v>24562</v>
      </c>
    </row>
    <row r="9674" spans="1:12" ht="30" x14ac:dyDescent="0.25">
      <c r="A9674" s="204">
        <v>44384</v>
      </c>
      <c r="B9674" s="199" t="s">
        <v>69</v>
      </c>
      <c r="C9674" s="207" t="s">
        <v>8405</v>
      </c>
      <c r="D9674" s="91">
        <v>3000</v>
      </c>
      <c r="E9674" s="8"/>
      <c r="F9674" s="92">
        <f t="shared" si="212"/>
        <v>21562</v>
      </c>
    </row>
    <row r="9675" spans="1:12" x14ac:dyDescent="0.25">
      <c r="A9675" s="204">
        <v>44384</v>
      </c>
      <c r="B9675" s="26" t="s">
        <v>26</v>
      </c>
      <c r="C9675" s="26" t="s">
        <v>8406</v>
      </c>
      <c r="D9675" s="8">
        <v>526</v>
      </c>
      <c r="E9675" s="8"/>
      <c r="F9675" s="92">
        <f t="shared" si="212"/>
        <v>21036</v>
      </c>
    </row>
    <row r="9676" spans="1:12" x14ac:dyDescent="0.25">
      <c r="A9676" s="204">
        <v>44384</v>
      </c>
      <c r="B9676" s="29" t="s">
        <v>8407</v>
      </c>
      <c r="C9676" s="29" t="s">
        <v>8408</v>
      </c>
      <c r="D9676" s="8">
        <v>2000</v>
      </c>
      <c r="E9676" s="8"/>
      <c r="F9676" s="92">
        <f t="shared" si="212"/>
        <v>19036</v>
      </c>
    </row>
    <row r="9677" spans="1:12" x14ac:dyDescent="0.25">
      <c r="A9677" s="204">
        <v>44384</v>
      </c>
      <c r="B9677" s="29" t="s">
        <v>26</v>
      </c>
      <c r="C9677" s="29" t="s">
        <v>8280</v>
      </c>
      <c r="D9677" s="8">
        <v>100</v>
      </c>
      <c r="E9677" s="8"/>
      <c r="F9677" s="92">
        <f t="shared" si="212"/>
        <v>18936</v>
      </c>
    </row>
    <row r="9678" spans="1:12" x14ac:dyDescent="0.25">
      <c r="A9678" s="204">
        <v>44384</v>
      </c>
      <c r="B9678" s="29" t="s">
        <v>8409</v>
      </c>
      <c r="C9678" s="29" t="s">
        <v>8410</v>
      </c>
      <c r="D9678" s="8">
        <v>120</v>
      </c>
      <c r="E9678" s="8"/>
      <c r="F9678" s="92">
        <f t="shared" si="212"/>
        <v>18816</v>
      </c>
    </row>
    <row r="9679" spans="1:12" x14ac:dyDescent="0.25">
      <c r="A9679" s="204">
        <v>44384</v>
      </c>
      <c r="B9679" s="29" t="s">
        <v>6877</v>
      </c>
      <c r="C9679" s="29" t="s">
        <v>2016</v>
      </c>
      <c r="D9679" s="8">
        <v>600</v>
      </c>
      <c r="E9679" s="8"/>
      <c r="F9679" s="92">
        <f t="shared" si="212"/>
        <v>18216</v>
      </c>
    </row>
    <row r="9680" spans="1:12" x14ac:dyDescent="0.25">
      <c r="A9680" s="204">
        <v>44384</v>
      </c>
      <c r="B9680" s="452" t="s">
        <v>8098</v>
      </c>
      <c r="C9680" s="452"/>
      <c r="D9680" s="452"/>
      <c r="E9680" s="8">
        <v>425000</v>
      </c>
      <c r="F9680" s="92">
        <f t="shared" si="212"/>
        <v>443216</v>
      </c>
      <c r="J9680" s="10">
        <v>45249</v>
      </c>
      <c r="L9680" s="25"/>
    </row>
    <row r="9681" spans="1:12" x14ac:dyDescent="0.25">
      <c r="A9681" s="204">
        <v>44384</v>
      </c>
      <c r="B9681" s="162" t="s">
        <v>55</v>
      </c>
      <c r="C9681" s="26" t="s">
        <v>8075</v>
      </c>
      <c r="D9681" s="8">
        <v>19000</v>
      </c>
      <c r="E9681" s="8"/>
      <c r="F9681" s="92">
        <f t="shared" si="212"/>
        <v>424216</v>
      </c>
    </row>
    <row r="9682" spans="1:12" x14ac:dyDescent="0.25">
      <c r="A9682" s="204">
        <v>44384</v>
      </c>
      <c r="B9682" s="162" t="s">
        <v>55</v>
      </c>
      <c r="C9682" s="29" t="s">
        <v>8411</v>
      </c>
      <c r="D9682" s="8">
        <v>50829</v>
      </c>
      <c r="E9682" s="8"/>
      <c r="F9682" s="92">
        <f t="shared" si="212"/>
        <v>373387</v>
      </c>
    </row>
    <row r="9683" spans="1:12" x14ac:dyDescent="0.25">
      <c r="A9683" s="204">
        <v>44384</v>
      </c>
      <c r="B9683" s="162" t="s">
        <v>55</v>
      </c>
      <c r="C9683" s="29" t="s">
        <v>7722</v>
      </c>
      <c r="D9683" s="8">
        <v>206602</v>
      </c>
      <c r="E9683" s="8"/>
      <c r="F9683" s="92">
        <f t="shared" si="212"/>
        <v>166785</v>
      </c>
    </row>
    <row r="9684" spans="1:12" x14ac:dyDescent="0.25">
      <c r="A9684" s="204">
        <v>44384</v>
      </c>
      <c r="B9684" s="162" t="s">
        <v>55</v>
      </c>
      <c r="C9684" s="29" t="s">
        <v>8414</v>
      </c>
      <c r="D9684" s="8">
        <v>54590</v>
      </c>
      <c r="E9684" s="8"/>
      <c r="F9684" s="92">
        <f t="shared" si="212"/>
        <v>112195</v>
      </c>
    </row>
    <row r="9685" spans="1:12" x14ac:dyDescent="0.25">
      <c r="A9685" s="204">
        <v>44384</v>
      </c>
      <c r="B9685" s="162" t="s">
        <v>55</v>
      </c>
      <c r="C9685" s="26" t="s">
        <v>8413</v>
      </c>
      <c r="D9685" s="8">
        <v>79888</v>
      </c>
      <c r="E9685" s="8"/>
      <c r="F9685" s="92">
        <f t="shared" si="212"/>
        <v>32307</v>
      </c>
    </row>
    <row r="9686" spans="1:12" x14ac:dyDescent="0.25">
      <c r="A9686" s="204">
        <v>44384</v>
      </c>
      <c r="B9686" s="46" t="s">
        <v>5479</v>
      </c>
      <c r="C9686" s="26" t="s">
        <v>3567</v>
      </c>
      <c r="D9686" s="8">
        <v>1800</v>
      </c>
      <c r="E9686" s="8"/>
      <c r="F9686" s="92">
        <f t="shared" si="212"/>
        <v>30507</v>
      </c>
    </row>
    <row r="9687" spans="1:12" x14ac:dyDescent="0.25">
      <c r="A9687" s="204">
        <v>44384</v>
      </c>
      <c r="B9687" s="46" t="s">
        <v>4285</v>
      </c>
      <c r="C9687" s="26" t="s">
        <v>8419</v>
      </c>
      <c r="D9687" s="8">
        <v>1800</v>
      </c>
      <c r="E9687" s="8"/>
      <c r="F9687" s="92">
        <f t="shared" si="212"/>
        <v>28707</v>
      </c>
    </row>
    <row r="9688" spans="1:12" x14ac:dyDescent="0.25">
      <c r="A9688" s="204">
        <v>44384</v>
      </c>
      <c r="B9688" s="26" t="s">
        <v>26</v>
      </c>
      <c r="C9688" s="26" t="s">
        <v>641</v>
      </c>
      <c r="D9688" s="8">
        <v>1000</v>
      </c>
      <c r="E9688" s="8"/>
      <c r="F9688" s="92">
        <f t="shared" si="212"/>
        <v>27707</v>
      </c>
      <c r="H9688" s="119" t="s">
        <v>26</v>
      </c>
    </row>
    <row r="9689" spans="1:12" x14ac:dyDescent="0.25">
      <c r="A9689" s="204">
        <v>44384</v>
      </c>
      <c r="B9689" s="26" t="s">
        <v>0</v>
      </c>
      <c r="C9689" s="26" t="s">
        <v>8425</v>
      </c>
      <c r="D9689" s="8">
        <v>4000</v>
      </c>
      <c r="E9689" s="8"/>
      <c r="F9689" s="92">
        <f t="shared" si="212"/>
        <v>23707</v>
      </c>
    </row>
    <row r="9690" spans="1:12" x14ac:dyDescent="0.25">
      <c r="A9690" s="204">
        <v>44385</v>
      </c>
      <c r="B9690" s="452" t="s">
        <v>8098</v>
      </c>
      <c r="C9690" s="452"/>
      <c r="D9690" s="452"/>
      <c r="E9690" s="8">
        <v>10100</v>
      </c>
      <c r="F9690" s="92">
        <f t="shared" ref="F9690:F9707" si="213">F9689+E9690-D9690</f>
        <v>33807</v>
      </c>
      <c r="J9690" s="10">
        <v>45249</v>
      </c>
      <c r="L9690" s="25"/>
    </row>
    <row r="9691" spans="1:12" x14ac:dyDescent="0.25">
      <c r="A9691" s="204">
        <v>44385</v>
      </c>
      <c r="B9691" s="452" t="s">
        <v>8098</v>
      </c>
      <c r="C9691" s="452"/>
      <c r="D9691" s="452"/>
      <c r="E9691" s="8">
        <v>400000</v>
      </c>
      <c r="F9691" s="92">
        <f t="shared" si="213"/>
        <v>433807</v>
      </c>
      <c r="J9691" s="10">
        <v>45249</v>
      </c>
      <c r="L9691" s="25"/>
    </row>
    <row r="9692" spans="1:12" x14ac:dyDescent="0.25">
      <c r="A9692" s="204">
        <v>44385</v>
      </c>
      <c r="B9692" s="26" t="s">
        <v>8289</v>
      </c>
      <c r="C9692" s="26" t="s">
        <v>8436</v>
      </c>
      <c r="D9692" s="8">
        <v>2000</v>
      </c>
      <c r="E9692" s="8"/>
      <c r="F9692" s="92">
        <f t="shared" si="213"/>
        <v>431807</v>
      </c>
      <c r="J9692" s="10" t="e">
        <f>#REF!*7.5%</f>
        <v>#REF!</v>
      </c>
    </row>
    <row r="9693" spans="1:12" x14ac:dyDescent="0.25">
      <c r="A9693" s="204">
        <v>44385</v>
      </c>
      <c r="B9693" s="26" t="s">
        <v>4059</v>
      </c>
      <c r="C9693" s="26" t="s">
        <v>8430</v>
      </c>
      <c r="D9693" s="8">
        <v>30000</v>
      </c>
      <c r="E9693" s="8"/>
      <c r="F9693" s="92">
        <f t="shared" si="213"/>
        <v>401807</v>
      </c>
    </row>
    <row r="9694" spans="1:12" x14ac:dyDescent="0.25">
      <c r="A9694" s="204">
        <v>44385</v>
      </c>
      <c r="B9694" s="26" t="s">
        <v>58</v>
      </c>
      <c r="C9694" s="26" t="s">
        <v>8431</v>
      </c>
      <c r="D9694" s="8">
        <v>1000</v>
      </c>
      <c r="E9694" s="8"/>
      <c r="F9694" s="92">
        <f t="shared" si="213"/>
        <v>400807</v>
      </c>
    </row>
    <row r="9695" spans="1:12" x14ac:dyDescent="0.25">
      <c r="A9695" s="204">
        <v>44385</v>
      </c>
      <c r="B9695" s="26" t="s">
        <v>3550</v>
      </c>
      <c r="C9695" s="26" t="s">
        <v>8446</v>
      </c>
      <c r="D9695" s="8">
        <v>4000</v>
      </c>
      <c r="E9695" s="8"/>
      <c r="F9695" s="92">
        <f t="shared" si="213"/>
        <v>396807</v>
      </c>
    </row>
    <row r="9696" spans="1:12" x14ac:dyDescent="0.25">
      <c r="A9696" s="204">
        <v>44385</v>
      </c>
      <c r="B9696" s="199" t="s">
        <v>55</v>
      </c>
      <c r="C9696" s="207" t="s">
        <v>8070</v>
      </c>
      <c r="D9696" s="91">
        <v>5000</v>
      </c>
      <c r="E9696" s="8"/>
      <c r="F9696" s="92">
        <f t="shared" si="213"/>
        <v>391807</v>
      </c>
    </row>
    <row r="9697" spans="1:12" x14ac:dyDescent="0.25">
      <c r="A9697" s="204">
        <v>44386</v>
      </c>
      <c r="B9697" s="26" t="s">
        <v>14</v>
      </c>
      <c r="C9697" s="26" t="s">
        <v>295</v>
      </c>
      <c r="D9697" s="8">
        <v>5000</v>
      </c>
      <c r="E9697" s="8"/>
      <c r="F9697" s="92">
        <f t="shared" si="213"/>
        <v>386807</v>
      </c>
      <c r="I9697" s="10">
        <v>1097500</v>
      </c>
    </row>
    <row r="9698" spans="1:12" x14ac:dyDescent="0.25">
      <c r="A9698" s="204">
        <v>44386</v>
      </c>
      <c r="B9698" s="26" t="s">
        <v>6770</v>
      </c>
      <c r="C9698" s="26" t="s">
        <v>8432</v>
      </c>
      <c r="D9698" s="8">
        <v>25000</v>
      </c>
      <c r="E9698" s="8"/>
      <c r="F9698" s="92">
        <f t="shared" si="213"/>
        <v>361807</v>
      </c>
      <c r="I9698" s="10">
        <f>I9697/2</f>
        <v>548750</v>
      </c>
    </row>
    <row r="9699" spans="1:12" x14ac:dyDescent="0.25">
      <c r="A9699" s="204">
        <v>44386</v>
      </c>
      <c r="B9699" s="162" t="s">
        <v>55</v>
      </c>
      <c r="C9699" s="26" t="s">
        <v>8433</v>
      </c>
      <c r="D9699" s="8">
        <v>76517</v>
      </c>
      <c r="E9699" s="8"/>
      <c r="F9699" s="92">
        <f t="shared" si="213"/>
        <v>285290</v>
      </c>
    </row>
    <row r="9700" spans="1:12" x14ac:dyDescent="0.25">
      <c r="A9700" s="204">
        <v>44386</v>
      </c>
      <c r="B9700" s="162" t="s">
        <v>55</v>
      </c>
      <c r="C9700" s="26" t="s">
        <v>8434</v>
      </c>
      <c r="D9700" s="8">
        <v>35000</v>
      </c>
      <c r="E9700" s="8"/>
      <c r="F9700" s="92">
        <f t="shared" si="213"/>
        <v>250290</v>
      </c>
    </row>
    <row r="9701" spans="1:12" x14ac:dyDescent="0.25">
      <c r="A9701" s="204">
        <v>44386</v>
      </c>
      <c r="B9701" s="162" t="s">
        <v>55</v>
      </c>
      <c r="C9701" s="26" t="s">
        <v>8435</v>
      </c>
      <c r="D9701" s="8">
        <v>61617</v>
      </c>
      <c r="E9701" s="8"/>
      <c r="F9701" s="92">
        <f t="shared" si="213"/>
        <v>188673</v>
      </c>
    </row>
    <row r="9702" spans="1:12" x14ac:dyDescent="0.25">
      <c r="A9702" s="204">
        <v>44386</v>
      </c>
      <c r="B9702" s="162" t="s">
        <v>55</v>
      </c>
      <c r="C9702" s="26" t="s">
        <v>7518</v>
      </c>
      <c r="D9702" s="8">
        <v>31275</v>
      </c>
      <c r="E9702" s="8"/>
      <c r="F9702" s="92">
        <f t="shared" si="213"/>
        <v>157398</v>
      </c>
    </row>
    <row r="9703" spans="1:12" x14ac:dyDescent="0.25">
      <c r="A9703" s="204">
        <v>44386</v>
      </c>
      <c r="B9703" s="162" t="s">
        <v>55</v>
      </c>
      <c r="C9703" s="29" t="s">
        <v>7034</v>
      </c>
      <c r="D9703" s="8">
        <v>116067</v>
      </c>
      <c r="E9703" s="8"/>
      <c r="F9703" s="92">
        <f t="shared" si="213"/>
        <v>41331</v>
      </c>
    </row>
    <row r="9704" spans="1:12" x14ac:dyDescent="0.25">
      <c r="A9704" s="204">
        <v>44387</v>
      </c>
      <c r="B9704" s="26" t="s">
        <v>69</v>
      </c>
      <c r="C9704" s="26" t="s">
        <v>295</v>
      </c>
      <c r="D9704" s="8">
        <v>1000</v>
      </c>
      <c r="E9704" s="8"/>
      <c r="F9704" s="92">
        <f t="shared" si="213"/>
        <v>40331</v>
      </c>
    </row>
    <row r="9705" spans="1:12" x14ac:dyDescent="0.25">
      <c r="A9705" s="204">
        <v>44387</v>
      </c>
      <c r="B9705" s="26" t="s">
        <v>5479</v>
      </c>
      <c r="C9705" s="26" t="s">
        <v>8437</v>
      </c>
      <c r="D9705" s="8">
        <v>570</v>
      </c>
      <c r="E9705" s="8"/>
      <c r="F9705" s="92">
        <f t="shared" si="213"/>
        <v>39761</v>
      </c>
    </row>
    <row r="9706" spans="1:12" x14ac:dyDescent="0.25">
      <c r="A9706" s="204">
        <v>44387</v>
      </c>
      <c r="B9706" s="26" t="s">
        <v>4776</v>
      </c>
      <c r="C9706" s="26" t="s">
        <v>7878</v>
      </c>
      <c r="D9706" s="8">
        <v>30000</v>
      </c>
      <c r="E9706" s="8"/>
      <c r="F9706" s="92">
        <f t="shared" si="213"/>
        <v>9761</v>
      </c>
    </row>
    <row r="9707" spans="1:12" x14ac:dyDescent="0.25">
      <c r="A9707" s="204">
        <v>44387</v>
      </c>
      <c r="B9707" s="26" t="s">
        <v>6877</v>
      </c>
      <c r="C9707" s="26" t="s">
        <v>295</v>
      </c>
      <c r="D9707" s="8">
        <v>5000</v>
      </c>
      <c r="E9707" s="8"/>
      <c r="F9707" s="92">
        <f t="shared" si="213"/>
        <v>4761</v>
      </c>
    </row>
    <row r="9708" spans="1:12" x14ac:dyDescent="0.25">
      <c r="A9708" s="204">
        <v>44387</v>
      </c>
      <c r="B9708" s="26" t="s">
        <v>8289</v>
      </c>
      <c r="C9708" s="26" t="s">
        <v>8438</v>
      </c>
      <c r="D9708" s="8">
        <v>3000</v>
      </c>
      <c r="E9708" s="8"/>
      <c r="F9708" s="92">
        <f t="shared" ref="F9708:F9745" si="214">F9707+E9708-D9708</f>
        <v>1761</v>
      </c>
    </row>
    <row r="9709" spans="1:12" x14ac:dyDescent="0.25">
      <c r="A9709" s="204">
        <v>44387</v>
      </c>
      <c r="B9709" s="452" t="s">
        <v>8440</v>
      </c>
      <c r="C9709" s="452"/>
      <c r="D9709" s="452"/>
      <c r="E9709" s="8">
        <v>51900</v>
      </c>
      <c r="F9709" s="92">
        <f t="shared" si="214"/>
        <v>53661</v>
      </c>
      <c r="J9709" s="10">
        <v>45249</v>
      </c>
      <c r="L9709" s="25"/>
    </row>
    <row r="9710" spans="1:12" x14ac:dyDescent="0.25">
      <c r="A9710" s="204">
        <v>44387</v>
      </c>
      <c r="B9710" s="26" t="s">
        <v>0</v>
      </c>
      <c r="C9710" s="26" t="s">
        <v>295</v>
      </c>
      <c r="D9710" s="8">
        <v>2000</v>
      </c>
      <c r="E9710" s="8"/>
      <c r="F9710" s="92">
        <f t="shared" si="214"/>
        <v>51661</v>
      </c>
    </row>
    <row r="9711" spans="1:12" x14ac:dyDescent="0.25">
      <c r="A9711" s="204">
        <v>44387</v>
      </c>
      <c r="B9711" s="26" t="s">
        <v>8383</v>
      </c>
      <c r="C9711" s="26" t="s">
        <v>41</v>
      </c>
      <c r="D9711" s="8">
        <v>5000</v>
      </c>
      <c r="E9711" s="8"/>
      <c r="F9711" s="92">
        <f t="shared" si="214"/>
        <v>46661</v>
      </c>
    </row>
    <row r="9712" spans="1:12" x14ac:dyDescent="0.25">
      <c r="A9712" s="204">
        <v>44387</v>
      </c>
      <c r="B9712" s="26" t="s">
        <v>8439</v>
      </c>
      <c r="C9712" s="26" t="s">
        <v>295</v>
      </c>
      <c r="D9712" s="8">
        <v>45000</v>
      </c>
      <c r="E9712" s="8"/>
      <c r="F9712" s="92">
        <f t="shared" si="214"/>
        <v>1661</v>
      </c>
    </row>
    <row r="9713" spans="1:12" x14ac:dyDescent="0.25">
      <c r="A9713" s="204">
        <v>44390</v>
      </c>
      <c r="B9713" s="452" t="s">
        <v>4110</v>
      </c>
      <c r="C9713" s="452"/>
      <c r="D9713" s="452"/>
      <c r="E9713" s="8">
        <v>200000</v>
      </c>
      <c r="F9713" s="92">
        <f t="shared" si="214"/>
        <v>201661</v>
      </c>
      <c r="J9713" s="10">
        <v>45249</v>
      </c>
      <c r="L9713" s="25"/>
    </row>
    <row r="9714" spans="1:12" x14ac:dyDescent="0.25">
      <c r="A9714" s="204">
        <v>44390</v>
      </c>
      <c r="B9714" s="26" t="s">
        <v>26</v>
      </c>
      <c r="C9714" s="26" t="s">
        <v>8442</v>
      </c>
      <c r="D9714" s="8">
        <v>6000</v>
      </c>
      <c r="E9714" s="8"/>
      <c r="F9714" s="92">
        <f t="shared" si="214"/>
        <v>195661</v>
      </c>
    </row>
    <row r="9715" spans="1:12" x14ac:dyDescent="0.25">
      <c r="A9715" s="204">
        <v>44390</v>
      </c>
      <c r="B9715" s="26" t="s">
        <v>69</v>
      </c>
      <c r="C9715" s="26" t="s">
        <v>3561</v>
      </c>
      <c r="D9715" s="8">
        <v>10000</v>
      </c>
      <c r="E9715" s="8"/>
      <c r="F9715" s="92">
        <f t="shared" si="214"/>
        <v>185661</v>
      </c>
    </row>
    <row r="9716" spans="1:12" x14ac:dyDescent="0.25">
      <c r="A9716" s="204">
        <v>44390</v>
      </c>
      <c r="B9716" s="26" t="s">
        <v>3567</v>
      </c>
      <c r="C9716" s="26" t="s">
        <v>8443</v>
      </c>
      <c r="D9716" s="8">
        <v>1140</v>
      </c>
      <c r="E9716" s="8"/>
      <c r="F9716" s="92">
        <f t="shared" si="214"/>
        <v>184521</v>
      </c>
    </row>
    <row r="9717" spans="1:12" x14ac:dyDescent="0.25">
      <c r="A9717" s="204">
        <v>44390</v>
      </c>
      <c r="B9717" s="26" t="s">
        <v>26</v>
      </c>
      <c r="C9717" s="26" t="s">
        <v>8444</v>
      </c>
      <c r="D9717" s="8">
        <v>200</v>
      </c>
      <c r="E9717" s="8"/>
      <c r="F9717" s="92">
        <f t="shared" si="214"/>
        <v>184321</v>
      </c>
    </row>
    <row r="9718" spans="1:12" x14ac:dyDescent="0.25">
      <c r="A9718" s="204">
        <v>44390</v>
      </c>
      <c r="B9718" s="26" t="s">
        <v>4312</v>
      </c>
      <c r="C9718" s="26" t="s">
        <v>8445</v>
      </c>
      <c r="D9718" s="8">
        <v>20000</v>
      </c>
      <c r="E9718" s="8"/>
      <c r="F9718" s="92">
        <f t="shared" si="214"/>
        <v>164321</v>
      </c>
    </row>
    <row r="9719" spans="1:12" x14ac:dyDescent="0.25">
      <c r="A9719" s="204">
        <v>44390</v>
      </c>
      <c r="B9719" s="26" t="s">
        <v>58</v>
      </c>
      <c r="C9719" s="26" t="s">
        <v>8447</v>
      </c>
      <c r="D9719" s="8">
        <v>15000</v>
      </c>
      <c r="E9719" s="8"/>
      <c r="F9719" s="92">
        <f t="shared" si="214"/>
        <v>149321</v>
      </c>
    </row>
    <row r="9720" spans="1:12" x14ac:dyDescent="0.25">
      <c r="A9720" s="204">
        <v>44390</v>
      </c>
      <c r="B9720" s="26" t="s">
        <v>26</v>
      </c>
      <c r="C9720" s="26" t="s">
        <v>4280</v>
      </c>
      <c r="D9720" s="8">
        <f>250+160+260+100+80+100+440+160+150+100+360+260+100+260+50+130+100+120+260+150+120+60+470+150+260+100+480+650+1600+180</f>
        <v>7660</v>
      </c>
      <c r="E9720" s="8"/>
      <c r="F9720" s="92">
        <f t="shared" si="214"/>
        <v>141661</v>
      </c>
    </row>
    <row r="9721" spans="1:12" x14ac:dyDescent="0.25">
      <c r="A9721" s="204">
        <v>44390</v>
      </c>
      <c r="B9721" s="26" t="s">
        <v>5479</v>
      </c>
      <c r="C9721" s="26" t="s">
        <v>3567</v>
      </c>
      <c r="D9721" s="8">
        <f>150+150+300</f>
        <v>600</v>
      </c>
      <c r="E9721" s="8"/>
      <c r="F9721" s="92">
        <f t="shared" si="214"/>
        <v>141061</v>
      </c>
    </row>
    <row r="9722" spans="1:12" x14ac:dyDescent="0.25">
      <c r="A9722" s="204">
        <v>44390</v>
      </c>
      <c r="B9722" s="26" t="s">
        <v>52</v>
      </c>
      <c r="C9722" s="26" t="s">
        <v>3567</v>
      </c>
      <c r="D9722" s="8">
        <f>240+600+460</f>
        <v>1300</v>
      </c>
      <c r="E9722" s="8"/>
      <c r="F9722" s="92">
        <f t="shared" si="214"/>
        <v>139761</v>
      </c>
    </row>
    <row r="9723" spans="1:12" x14ac:dyDescent="0.25">
      <c r="A9723" s="204">
        <v>44390</v>
      </c>
      <c r="B9723" s="26" t="s">
        <v>14</v>
      </c>
      <c r="C9723" s="26" t="s">
        <v>295</v>
      </c>
      <c r="D9723" s="8">
        <v>5000</v>
      </c>
      <c r="E9723" s="8"/>
      <c r="F9723" s="92">
        <f t="shared" si="214"/>
        <v>134761</v>
      </c>
    </row>
    <row r="9724" spans="1:12" x14ac:dyDescent="0.25">
      <c r="A9724" s="204">
        <v>44390</v>
      </c>
      <c r="B9724" s="452" t="s">
        <v>8098</v>
      </c>
      <c r="C9724" s="452"/>
      <c r="D9724" s="452"/>
      <c r="E9724" s="8">
        <v>400000</v>
      </c>
      <c r="F9724" s="92">
        <f t="shared" si="214"/>
        <v>534761</v>
      </c>
      <c r="J9724" s="10">
        <v>45249</v>
      </c>
      <c r="L9724" s="25"/>
    </row>
    <row r="9725" spans="1:12" x14ac:dyDescent="0.25">
      <c r="A9725" s="204">
        <v>44390</v>
      </c>
      <c r="B9725" s="26" t="s">
        <v>6285</v>
      </c>
      <c r="C9725" s="26" t="s">
        <v>41</v>
      </c>
      <c r="D9725" s="8">
        <v>112150</v>
      </c>
      <c r="E9725" s="8"/>
      <c r="F9725" s="92">
        <f t="shared" si="214"/>
        <v>422611</v>
      </c>
    </row>
    <row r="9726" spans="1:12" x14ac:dyDescent="0.25">
      <c r="A9726" s="204">
        <v>44390</v>
      </c>
      <c r="B9726" s="26" t="s">
        <v>26</v>
      </c>
      <c r="C9726" s="26" t="s">
        <v>6430</v>
      </c>
      <c r="D9726" s="8">
        <v>50</v>
      </c>
      <c r="E9726" s="8"/>
      <c r="F9726" s="92">
        <f t="shared" si="214"/>
        <v>422561</v>
      </c>
    </row>
    <row r="9727" spans="1:12" x14ac:dyDescent="0.25">
      <c r="A9727" s="204">
        <v>44391</v>
      </c>
      <c r="B9727" s="26" t="s">
        <v>8289</v>
      </c>
      <c r="C9727" s="26" t="s">
        <v>295</v>
      </c>
      <c r="D9727" s="8">
        <v>1000</v>
      </c>
      <c r="E9727" s="8"/>
      <c r="F9727" s="92">
        <f t="shared" si="214"/>
        <v>421561</v>
      </c>
    </row>
    <row r="9728" spans="1:12" x14ac:dyDescent="0.25">
      <c r="A9728" s="204">
        <v>44391</v>
      </c>
      <c r="B9728" s="26" t="s">
        <v>7527</v>
      </c>
      <c r="C9728" s="26" t="s">
        <v>8448</v>
      </c>
      <c r="D9728" s="8">
        <v>400</v>
      </c>
      <c r="E9728" s="8"/>
      <c r="F9728" s="92">
        <f t="shared" si="214"/>
        <v>421161</v>
      </c>
    </row>
    <row r="9729" spans="1:7" x14ac:dyDescent="0.25">
      <c r="A9729" s="204">
        <v>44391</v>
      </c>
      <c r="B9729" s="26" t="s">
        <v>58</v>
      </c>
      <c r="C9729" s="26" t="s">
        <v>8449</v>
      </c>
      <c r="D9729" s="8">
        <v>10000</v>
      </c>
      <c r="E9729" s="8"/>
      <c r="F9729" s="92">
        <f t="shared" si="214"/>
        <v>411161</v>
      </c>
    </row>
    <row r="9730" spans="1:7" x14ac:dyDescent="0.25">
      <c r="A9730" s="204">
        <v>44392</v>
      </c>
      <c r="B9730" s="29" t="s">
        <v>14</v>
      </c>
      <c r="C9730" s="29" t="s">
        <v>295</v>
      </c>
      <c r="D9730" s="8">
        <v>25000</v>
      </c>
      <c r="E9730" s="8"/>
      <c r="F9730" s="92">
        <f t="shared" si="214"/>
        <v>386161</v>
      </c>
      <c r="G9730" s="6" t="s">
        <v>69</v>
      </c>
    </row>
    <row r="9731" spans="1:7" x14ac:dyDescent="0.25">
      <c r="A9731" s="204">
        <v>44392</v>
      </c>
      <c r="B9731" s="29" t="s">
        <v>0</v>
      </c>
      <c r="C9731" s="29" t="s">
        <v>295</v>
      </c>
      <c r="D9731" s="8">
        <v>55000</v>
      </c>
      <c r="E9731" s="8"/>
      <c r="F9731" s="92">
        <f t="shared" si="214"/>
        <v>331161</v>
      </c>
    </row>
    <row r="9732" spans="1:7" x14ac:dyDescent="0.25">
      <c r="A9732" s="204">
        <v>44392</v>
      </c>
      <c r="B9732" s="26" t="s">
        <v>8450</v>
      </c>
      <c r="C9732" s="29" t="s">
        <v>295</v>
      </c>
      <c r="D9732" s="8">
        <v>75000</v>
      </c>
      <c r="E9732" s="8"/>
      <c r="F9732" s="92">
        <f t="shared" si="214"/>
        <v>256161</v>
      </c>
    </row>
    <row r="9733" spans="1:7" x14ac:dyDescent="0.25">
      <c r="A9733" s="204">
        <v>44392</v>
      </c>
      <c r="B9733" s="26" t="s">
        <v>8451</v>
      </c>
      <c r="C9733" s="26" t="s">
        <v>8425</v>
      </c>
      <c r="D9733" s="8">
        <v>3500</v>
      </c>
      <c r="E9733" s="8"/>
      <c r="F9733" s="92">
        <f t="shared" si="214"/>
        <v>252661</v>
      </c>
    </row>
    <row r="9734" spans="1:7" x14ac:dyDescent="0.25">
      <c r="A9734" s="204">
        <v>44392</v>
      </c>
      <c r="B9734" s="26" t="s">
        <v>8407</v>
      </c>
      <c r="C9734" s="26" t="s">
        <v>6956</v>
      </c>
      <c r="D9734" s="8">
        <v>1000</v>
      </c>
      <c r="E9734" s="8"/>
      <c r="F9734" s="92">
        <f t="shared" si="214"/>
        <v>251661</v>
      </c>
    </row>
    <row r="9735" spans="1:7" x14ac:dyDescent="0.25">
      <c r="A9735" s="204">
        <v>44392</v>
      </c>
      <c r="B9735" s="26" t="s">
        <v>69</v>
      </c>
      <c r="C9735" s="26" t="s">
        <v>295</v>
      </c>
      <c r="D9735" s="8">
        <v>15000</v>
      </c>
      <c r="E9735" s="8"/>
      <c r="F9735" s="92">
        <f t="shared" si="214"/>
        <v>236661</v>
      </c>
    </row>
    <row r="9736" spans="1:7" x14ac:dyDescent="0.25">
      <c r="A9736" s="204">
        <v>44392</v>
      </c>
      <c r="B9736" s="26" t="s">
        <v>8451</v>
      </c>
      <c r="C9736" s="26" t="s">
        <v>8452</v>
      </c>
      <c r="D9736" s="8">
        <v>2000</v>
      </c>
      <c r="E9736" s="8"/>
      <c r="F9736" s="92">
        <f t="shared" si="214"/>
        <v>234661</v>
      </c>
    </row>
    <row r="9737" spans="1:7" x14ac:dyDescent="0.25">
      <c r="A9737" s="204">
        <v>44392</v>
      </c>
      <c r="B9737" s="26" t="s">
        <v>1077</v>
      </c>
      <c r="C9737" s="26" t="s">
        <v>8453</v>
      </c>
      <c r="D9737" s="8">
        <v>9290</v>
      </c>
      <c r="E9737" s="8"/>
      <c r="F9737" s="92">
        <f t="shared" si="214"/>
        <v>225371</v>
      </c>
    </row>
    <row r="9738" spans="1:7" x14ac:dyDescent="0.25">
      <c r="A9738" s="204">
        <v>44392</v>
      </c>
      <c r="B9738" s="26" t="s">
        <v>3728</v>
      </c>
      <c r="C9738" s="26" t="s">
        <v>41</v>
      </c>
      <c r="D9738" s="8">
        <v>4090</v>
      </c>
      <c r="E9738" s="8"/>
      <c r="F9738" s="92">
        <f t="shared" si="214"/>
        <v>221281</v>
      </c>
    </row>
    <row r="9739" spans="1:7" x14ac:dyDescent="0.25">
      <c r="A9739" s="204">
        <v>44392</v>
      </c>
      <c r="B9739" s="26" t="s">
        <v>6877</v>
      </c>
      <c r="C9739" s="26" t="s">
        <v>8466</v>
      </c>
      <c r="D9739" s="8">
        <v>5000</v>
      </c>
      <c r="E9739" s="8"/>
      <c r="F9739" s="92">
        <f t="shared" si="214"/>
        <v>216281</v>
      </c>
    </row>
    <row r="9740" spans="1:7" x14ac:dyDescent="0.25">
      <c r="A9740" s="204">
        <v>44392</v>
      </c>
      <c r="B9740" s="26" t="s">
        <v>2951</v>
      </c>
      <c r="C9740" s="26" t="s">
        <v>8467</v>
      </c>
      <c r="D9740" s="8">
        <v>1300</v>
      </c>
      <c r="E9740" s="8"/>
      <c r="F9740" s="92">
        <f t="shared" si="214"/>
        <v>214981</v>
      </c>
    </row>
    <row r="9741" spans="1:7" x14ac:dyDescent="0.25">
      <c r="A9741" s="204">
        <v>44392</v>
      </c>
      <c r="B9741" s="26" t="s">
        <v>85</v>
      </c>
      <c r="C9741" s="26" t="s">
        <v>8468</v>
      </c>
      <c r="D9741" s="8">
        <v>5000</v>
      </c>
      <c r="E9741" s="8"/>
      <c r="F9741" s="92">
        <f t="shared" si="214"/>
        <v>209981</v>
      </c>
    </row>
    <row r="9742" spans="1:7" x14ac:dyDescent="0.25">
      <c r="A9742" s="204">
        <v>44392</v>
      </c>
      <c r="B9742" s="26" t="s">
        <v>111</v>
      </c>
      <c r="C9742" s="26" t="s">
        <v>641</v>
      </c>
      <c r="D9742" s="8">
        <v>3000</v>
      </c>
      <c r="E9742" s="8"/>
      <c r="F9742" s="92">
        <f t="shared" si="214"/>
        <v>206981</v>
      </c>
    </row>
    <row r="9743" spans="1:7" ht="15.75" customHeight="1" x14ac:dyDescent="0.25">
      <c r="A9743" s="204">
        <v>44392</v>
      </c>
      <c r="B9743" s="26" t="s">
        <v>8469</v>
      </c>
      <c r="C9743" s="26" t="s">
        <v>8470</v>
      </c>
      <c r="D9743" s="8">
        <v>30000</v>
      </c>
      <c r="E9743" s="8"/>
      <c r="F9743" s="92">
        <f t="shared" si="214"/>
        <v>176981</v>
      </c>
    </row>
    <row r="9744" spans="1:7" x14ac:dyDescent="0.25">
      <c r="A9744" s="204">
        <v>44392</v>
      </c>
      <c r="B9744" s="26" t="s">
        <v>85</v>
      </c>
      <c r="C9744" s="26" t="s">
        <v>8471</v>
      </c>
      <c r="D9744" s="8">
        <v>3000</v>
      </c>
      <c r="E9744" s="8"/>
      <c r="F9744" s="92">
        <f t="shared" ref="F9744" si="215">F9743+E9744-D9744</f>
        <v>173981</v>
      </c>
    </row>
    <row r="9745" spans="1:6" ht="30" x14ac:dyDescent="0.25">
      <c r="A9745" s="204">
        <v>44393</v>
      </c>
      <c r="B9745" s="26" t="s">
        <v>4285</v>
      </c>
      <c r="C9745" s="87" t="s">
        <v>8472</v>
      </c>
      <c r="D9745" s="8">
        <v>9000</v>
      </c>
      <c r="E9745" s="8"/>
      <c r="F9745" s="92">
        <f t="shared" si="214"/>
        <v>164981</v>
      </c>
    </row>
    <row r="9746" spans="1:6" x14ac:dyDescent="0.25">
      <c r="A9746" s="26"/>
      <c r="B9746" s="26"/>
      <c r="C9746" s="26"/>
      <c r="D9746" s="8"/>
      <c r="E9746" s="8"/>
      <c r="F9746" s="92">
        <f t="shared" ref="F9746:F9775" si="216">F9745+E9746-D9746</f>
        <v>164981</v>
      </c>
    </row>
    <row r="9747" spans="1:6" x14ac:dyDescent="0.25">
      <c r="A9747" s="26"/>
      <c r="B9747" s="26"/>
      <c r="C9747" s="26"/>
      <c r="D9747" s="8"/>
      <c r="E9747" s="8"/>
      <c r="F9747" s="92">
        <f t="shared" si="216"/>
        <v>164981</v>
      </c>
    </row>
    <row r="9748" spans="1:6" x14ac:dyDescent="0.25">
      <c r="A9748" s="26"/>
      <c r="B9748" s="26"/>
      <c r="C9748" s="26"/>
      <c r="D9748" s="8"/>
      <c r="E9748" s="8"/>
      <c r="F9748" s="92">
        <f t="shared" si="216"/>
        <v>164981</v>
      </c>
    </row>
    <row r="9749" spans="1:6" x14ac:dyDescent="0.25">
      <c r="A9749" s="26"/>
      <c r="B9749" s="26"/>
      <c r="C9749" s="26"/>
      <c r="D9749" s="8"/>
      <c r="E9749" s="8"/>
      <c r="F9749" s="92">
        <f t="shared" si="216"/>
        <v>164981</v>
      </c>
    </row>
    <row r="9750" spans="1:6" x14ac:dyDescent="0.25">
      <c r="A9750" s="26"/>
      <c r="B9750" s="26"/>
      <c r="C9750" s="26"/>
      <c r="D9750" s="8"/>
      <c r="E9750" s="8"/>
      <c r="F9750" s="92">
        <f t="shared" si="216"/>
        <v>164981</v>
      </c>
    </row>
    <row r="9751" spans="1:6" x14ac:dyDescent="0.25">
      <c r="A9751" s="26"/>
      <c r="B9751" s="26"/>
      <c r="C9751" s="26"/>
      <c r="D9751" s="8"/>
      <c r="E9751" s="8"/>
      <c r="F9751" s="92">
        <f t="shared" si="216"/>
        <v>164981</v>
      </c>
    </row>
    <row r="9752" spans="1:6" x14ac:dyDescent="0.25">
      <c r="A9752" s="26"/>
      <c r="B9752" s="26"/>
      <c r="C9752" s="26"/>
      <c r="D9752" s="8"/>
      <c r="E9752" s="8"/>
      <c r="F9752" s="92">
        <f t="shared" si="216"/>
        <v>164981</v>
      </c>
    </row>
    <row r="9753" spans="1:6" x14ac:dyDescent="0.25">
      <c r="A9753" s="26"/>
      <c r="B9753" s="26"/>
      <c r="C9753" s="26"/>
      <c r="D9753" s="8"/>
      <c r="E9753" s="8"/>
      <c r="F9753" s="92">
        <f t="shared" si="216"/>
        <v>164981</v>
      </c>
    </row>
    <row r="9754" spans="1:6" x14ac:dyDescent="0.25">
      <c r="A9754" s="26"/>
      <c r="B9754" s="26"/>
      <c r="C9754" s="26"/>
      <c r="D9754" s="8"/>
      <c r="E9754" s="8"/>
      <c r="F9754" s="92">
        <f t="shared" si="216"/>
        <v>164981</v>
      </c>
    </row>
    <row r="9755" spans="1:6" x14ac:dyDescent="0.25">
      <c r="A9755" s="26"/>
      <c r="B9755" s="26"/>
      <c r="C9755" s="26"/>
      <c r="D9755" s="8"/>
      <c r="E9755" s="8"/>
      <c r="F9755" s="92">
        <f t="shared" si="216"/>
        <v>164981</v>
      </c>
    </row>
    <row r="9756" spans="1:6" x14ac:dyDescent="0.25">
      <c r="A9756" s="26"/>
      <c r="B9756" s="26"/>
      <c r="C9756" s="26"/>
      <c r="D9756" s="8"/>
      <c r="E9756" s="8"/>
      <c r="F9756" s="92">
        <f t="shared" si="216"/>
        <v>164981</v>
      </c>
    </row>
    <row r="9757" spans="1:6" x14ac:dyDescent="0.25">
      <c r="A9757" s="26"/>
      <c r="B9757" s="26"/>
      <c r="C9757" s="26"/>
      <c r="D9757" s="8"/>
      <c r="E9757" s="8"/>
      <c r="F9757" s="92">
        <f t="shared" si="216"/>
        <v>164981</v>
      </c>
    </row>
    <row r="9758" spans="1:6" x14ac:dyDescent="0.25">
      <c r="A9758" s="26"/>
      <c r="B9758" s="26"/>
      <c r="C9758" s="26"/>
      <c r="D9758" s="8"/>
      <c r="E9758" s="8"/>
      <c r="F9758" s="92">
        <f t="shared" si="216"/>
        <v>164981</v>
      </c>
    </row>
    <row r="9759" spans="1:6" x14ac:dyDescent="0.25">
      <c r="A9759" s="26"/>
      <c r="B9759" s="26"/>
      <c r="C9759" s="26"/>
      <c r="D9759" s="8"/>
      <c r="E9759" s="8"/>
      <c r="F9759" s="92">
        <f t="shared" si="216"/>
        <v>164981</v>
      </c>
    </row>
    <row r="9760" spans="1:6" x14ac:dyDescent="0.25">
      <c r="A9760" s="26"/>
      <c r="B9760" s="26"/>
      <c r="C9760" s="26"/>
      <c r="D9760" s="8"/>
      <c r="E9760" s="8"/>
      <c r="F9760" s="92">
        <f t="shared" si="216"/>
        <v>164981</v>
      </c>
    </row>
    <row r="9761" spans="1:6" x14ac:dyDescent="0.25">
      <c r="A9761" s="26"/>
      <c r="B9761" s="26"/>
      <c r="C9761" s="26"/>
      <c r="D9761" s="8"/>
      <c r="E9761" s="8"/>
      <c r="F9761" s="92">
        <f t="shared" si="216"/>
        <v>164981</v>
      </c>
    </row>
    <row r="9762" spans="1:6" x14ac:dyDescent="0.25">
      <c r="A9762" s="26"/>
      <c r="B9762" s="26"/>
      <c r="C9762" s="26"/>
      <c r="D9762" s="8"/>
      <c r="E9762" s="8"/>
      <c r="F9762" s="92">
        <f t="shared" si="216"/>
        <v>164981</v>
      </c>
    </row>
    <row r="9763" spans="1:6" x14ac:dyDescent="0.25">
      <c r="F9763" s="327">
        <f t="shared" si="216"/>
        <v>164981</v>
      </c>
    </row>
    <row r="9764" spans="1:6" x14ac:dyDescent="0.25">
      <c r="F9764" s="92">
        <f t="shared" si="216"/>
        <v>164981</v>
      </c>
    </row>
    <row r="9765" spans="1:6" x14ac:dyDescent="0.25">
      <c r="F9765" s="92">
        <f t="shared" si="216"/>
        <v>164981</v>
      </c>
    </row>
    <row r="9766" spans="1:6" x14ac:dyDescent="0.25">
      <c r="F9766" s="92">
        <f t="shared" si="216"/>
        <v>164981</v>
      </c>
    </row>
    <row r="9767" spans="1:6" x14ac:dyDescent="0.25">
      <c r="F9767" s="92">
        <f t="shared" si="216"/>
        <v>164981</v>
      </c>
    </row>
    <row r="9768" spans="1:6" x14ac:dyDescent="0.25">
      <c r="F9768" s="92">
        <f t="shared" si="216"/>
        <v>164981</v>
      </c>
    </row>
    <row r="9769" spans="1:6" x14ac:dyDescent="0.25">
      <c r="F9769" s="92">
        <f t="shared" si="216"/>
        <v>164981</v>
      </c>
    </row>
    <row r="9770" spans="1:6" x14ac:dyDescent="0.25">
      <c r="F9770" s="92">
        <f t="shared" si="216"/>
        <v>164981</v>
      </c>
    </row>
    <row r="9771" spans="1:6" x14ac:dyDescent="0.25">
      <c r="F9771" s="92">
        <f t="shared" si="216"/>
        <v>164981</v>
      </c>
    </row>
    <row r="9772" spans="1:6" x14ac:dyDescent="0.25">
      <c r="F9772" s="92">
        <f t="shared" si="216"/>
        <v>164981</v>
      </c>
    </row>
    <row r="9773" spans="1:6" x14ac:dyDescent="0.25">
      <c r="F9773" s="92">
        <f t="shared" si="216"/>
        <v>164981</v>
      </c>
    </row>
    <row r="9774" spans="1:6" x14ac:dyDescent="0.25">
      <c r="F9774" s="92">
        <f t="shared" si="216"/>
        <v>164981</v>
      </c>
    </row>
    <row r="9775" spans="1:6" x14ac:dyDescent="0.25">
      <c r="F9775" s="92">
        <f t="shared" si="216"/>
        <v>164981</v>
      </c>
    </row>
    <row r="9776" spans="1:6" x14ac:dyDescent="0.25">
      <c r="F9776" s="92">
        <f t="shared" ref="F9776:F9839" si="217">F9775+E9776-D9776</f>
        <v>164981</v>
      </c>
    </row>
    <row r="9777" spans="6:6" x14ac:dyDescent="0.25">
      <c r="F9777" s="92">
        <f t="shared" si="217"/>
        <v>164981</v>
      </c>
    </row>
    <row r="9778" spans="6:6" x14ac:dyDescent="0.25">
      <c r="F9778" s="92">
        <f t="shared" si="217"/>
        <v>164981</v>
      </c>
    </row>
    <row r="9779" spans="6:6" x14ac:dyDescent="0.25">
      <c r="F9779" s="92">
        <f t="shared" si="217"/>
        <v>164981</v>
      </c>
    </row>
    <row r="9780" spans="6:6" x14ac:dyDescent="0.25">
      <c r="F9780" s="92">
        <f t="shared" si="217"/>
        <v>164981</v>
      </c>
    </row>
    <row r="9781" spans="6:6" x14ac:dyDescent="0.25">
      <c r="F9781" s="92">
        <f t="shared" si="217"/>
        <v>164981</v>
      </c>
    </row>
    <row r="9782" spans="6:6" x14ac:dyDescent="0.25">
      <c r="F9782" s="92">
        <f t="shared" si="217"/>
        <v>164981</v>
      </c>
    </row>
    <row r="9783" spans="6:6" x14ac:dyDescent="0.25">
      <c r="F9783" s="92">
        <f t="shared" si="217"/>
        <v>164981</v>
      </c>
    </row>
    <row r="9784" spans="6:6" x14ac:dyDescent="0.25">
      <c r="F9784" s="92">
        <f t="shared" si="217"/>
        <v>164981</v>
      </c>
    </row>
    <row r="9785" spans="6:6" x14ac:dyDescent="0.25">
      <c r="F9785" s="92">
        <f t="shared" si="217"/>
        <v>164981</v>
      </c>
    </row>
    <row r="9786" spans="6:6" x14ac:dyDescent="0.25">
      <c r="F9786" s="92">
        <f t="shared" si="217"/>
        <v>164981</v>
      </c>
    </row>
    <row r="9787" spans="6:6" x14ac:dyDescent="0.25">
      <c r="F9787" s="92">
        <f t="shared" si="217"/>
        <v>164981</v>
      </c>
    </row>
    <row r="9788" spans="6:6" x14ac:dyDescent="0.25">
      <c r="F9788" s="92">
        <f t="shared" si="217"/>
        <v>164981</v>
      </c>
    </row>
    <row r="9789" spans="6:6" x14ac:dyDescent="0.25">
      <c r="F9789" s="92">
        <f t="shared" si="217"/>
        <v>164981</v>
      </c>
    </row>
    <row r="9790" spans="6:6" x14ac:dyDescent="0.25">
      <c r="F9790" s="92">
        <f t="shared" si="217"/>
        <v>164981</v>
      </c>
    </row>
    <row r="9791" spans="6:6" x14ac:dyDescent="0.25">
      <c r="F9791" s="92">
        <f t="shared" si="217"/>
        <v>164981</v>
      </c>
    </row>
    <row r="9792" spans="6:6" x14ac:dyDescent="0.25">
      <c r="F9792" s="92">
        <f t="shared" si="217"/>
        <v>164981</v>
      </c>
    </row>
    <row r="9793" spans="6:6" x14ac:dyDescent="0.25">
      <c r="F9793" s="92">
        <f t="shared" si="217"/>
        <v>164981</v>
      </c>
    </row>
    <row r="9794" spans="6:6" x14ac:dyDescent="0.25">
      <c r="F9794" s="92">
        <f t="shared" si="217"/>
        <v>164981</v>
      </c>
    </row>
    <row r="9795" spans="6:6" x14ac:dyDescent="0.25">
      <c r="F9795" s="92">
        <f t="shared" si="217"/>
        <v>164981</v>
      </c>
    </row>
    <row r="9796" spans="6:6" x14ac:dyDescent="0.25">
      <c r="F9796" s="92">
        <f t="shared" si="217"/>
        <v>164981</v>
      </c>
    </row>
    <row r="9797" spans="6:6" x14ac:dyDescent="0.25">
      <c r="F9797" s="92">
        <f t="shared" si="217"/>
        <v>164981</v>
      </c>
    </row>
    <row r="9798" spans="6:6" x14ac:dyDescent="0.25">
      <c r="F9798" s="92">
        <f t="shared" si="217"/>
        <v>164981</v>
      </c>
    </row>
    <row r="9799" spans="6:6" x14ac:dyDescent="0.25">
      <c r="F9799" s="92">
        <f t="shared" si="217"/>
        <v>164981</v>
      </c>
    </row>
    <row r="9800" spans="6:6" x14ac:dyDescent="0.25">
      <c r="F9800" s="92">
        <f t="shared" si="217"/>
        <v>164981</v>
      </c>
    </row>
    <row r="9801" spans="6:6" x14ac:dyDescent="0.25">
      <c r="F9801" s="92">
        <f t="shared" si="217"/>
        <v>164981</v>
      </c>
    </row>
    <row r="9802" spans="6:6" x14ac:dyDescent="0.25">
      <c r="F9802" s="92">
        <f t="shared" si="217"/>
        <v>164981</v>
      </c>
    </row>
    <row r="9803" spans="6:6" x14ac:dyDescent="0.25">
      <c r="F9803" s="92">
        <f t="shared" si="217"/>
        <v>164981</v>
      </c>
    </row>
    <row r="9804" spans="6:6" x14ac:dyDescent="0.25">
      <c r="F9804" s="92">
        <f t="shared" si="217"/>
        <v>164981</v>
      </c>
    </row>
    <row r="9805" spans="6:6" x14ac:dyDescent="0.25">
      <c r="F9805" s="92">
        <f t="shared" si="217"/>
        <v>164981</v>
      </c>
    </row>
    <row r="9806" spans="6:6" x14ac:dyDescent="0.25">
      <c r="F9806" s="92">
        <f t="shared" si="217"/>
        <v>164981</v>
      </c>
    </row>
    <row r="9807" spans="6:6" x14ac:dyDescent="0.25">
      <c r="F9807" s="92">
        <f t="shared" si="217"/>
        <v>164981</v>
      </c>
    </row>
    <row r="9808" spans="6:6" x14ac:dyDescent="0.25">
      <c r="F9808" s="92">
        <f t="shared" si="217"/>
        <v>164981</v>
      </c>
    </row>
    <row r="9809" spans="6:6" x14ac:dyDescent="0.25">
      <c r="F9809" s="92">
        <f t="shared" si="217"/>
        <v>164981</v>
      </c>
    </row>
    <row r="9810" spans="6:6" x14ac:dyDescent="0.25">
      <c r="F9810" s="92">
        <f t="shared" si="217"/>
        <v>164981</v>
      </c>
    </row>
    <row r="9811" spans="6:6" x14ac:dyDescent="0.25">
      <c r="F9811" s="92">
        <f t="shared" si="217"/>
        <v>164981</v>
      </c>
    </row>
    <row r="9812" spans="6:6" x14ac:dyDescent="0.25">
      <c r="F9812" s="92">
        <f t="shared" si="217"/>
        <v>164981</v>
      </c>
    </row>
    <row r="9813" spans="6:6" x14ac:dyDescent="0.25">
      <c r="F9813" s="92">
        <f t="shared" si="217"/>
        <v>164981</v>
      </c>
    </row>
    <row r="9814" spans="6:6" x14ac:dyDescent="0.25">
      <c r="F9814" s="92">
        <f t="shared" si="217"/>
        <v>164981</v>
      </c>
    </row>
    <row r="9815" spans="6:6" x14ac:dyDescent="0.25">
      <c r="F9815" s="92">
        <f t="shared" si="217"/>
        <v>164981</v>
      </c>
    </row>
    <row r="9816" spans="6:6" x14ac:dyDescent="0.25">
      <c r="F9816" s="92">
        <f t="shared" si="217"/>
        <v>164981</v>
      </c>
    </row>
    <row r="9817" spans="6:6" x14ac:dyDescent="0.25">
      <c r="F9817" s="92">
        <f t="shared" si="217"/>
        <v>164981</v>
      </c>
    </row>
    <row r="9818" spans="6:6" x14ac:dyDescent="0.25">
      <c r="F9818" s="92">
        <f t="shared" si="217"/>
        <v>164981</v>
      </c>
    </row>
    <row r="9819" spans="6:6" x14ac:dyDescent="0.25">
      <c r="F9819" s="92">
        <f t="shared" si="217"/>
        <v>164981</v>
      </c>
    </row>
    <row r="9820" spans="6:6" x14ac:dyDescent="0.25">
      <c r="F9820" s="92">
        <f t="shared" si="217"/>
        <v>164981</v>
      </c>
    </row>
    <row r="9821" spans="6:6" x14ac:dyDescent="0.25">
      <c r="F9821" s="92">
        <f t="shared" si="217"/>
        <v>164981</v>
      </c>
    </row>
    <row r="9822" spans="6:6" x14ac:dyDescent="0.25">
      <c r="F9822" s="92">
        <f t="shared" si="217"/>
        <v>164981</v>
      </c>
    </row>
    <row r="9823" spans="6:6" x14ac:dyDescent="0.25">
      <c r="F9823" s="92">
        <f t="shared" si="217"/>
        <v>164981</v>
      </c>
    </row>
    <row r="9824" spans="6:6" x14ac:dyDescent="0.25">
      <c r="F9824" s="92">
        <f t="shared" si="217"/>
        <v>164981</v>
      </c>
    </row>
    <row r="9825" spans="6:6" x14ac:dyDescent="0.25">
      <c r="F9825" s="92">
        <f t="shared" si="217"/>
        <v>164981</v>
      </c>
    </row>
    <row r="9826" spans="6:6" x14ac:dyDescent="0.25">
      <c r="F9826" s="92">
        <f t="shared" si="217"/>
        <v>164981</v>
      </c>
    </row>
    <row r="9827" spans="6:6" x14ac:dyDescent="0.25">
      <c r="F9827" s="92">
        <f t="shared" si="217"/>
        <v>164981</v>
      </c>
    </row>
    <row r="9828" spans="6:6" x14ac:dyDescent="0.25">
      <c r="F9828" s="92">
        <f t="shared" si="217"/>
        <v>164981</v>
      </c>
    </row>
    <row r="9829" spans="6:6" x14ac:dyDescent="0.25">
      <c r="F9829" s="92">
        <f t="shared" si="217"/>
        <v>164981</v>
      </c>
    </row>
    <row r="9830" spans="6:6" x14ac:dyDescent="0.25">
      <c r="F9830" s="92">
        <f t="shared" si="217"/>
        <v>164981</v>
      </c>
    </row>
    <row r="9831" spans="6:6" x14ac:dyDescent="0.25">
      <c r="F9831" s="92">
        <f t="shared" si="217"/>
        <v>164981</v>
      </c>
    </row>
    <row r="9832" spans="6:6" x14ac:dyDescent="0.25">
      <c r="F9832" s="92">
        <f t="shared" si="217"/>
        <v>164981</v>
      </c>
    </row>
    <row r="9833" spans="6:6" x14ac:dyDescent="0.25">
      <c r="F9833" s="92">
        <f t="shared" si="217"/>
        <v>164981</v>
      </c>
    </row>
    <row r="9834" spans="6:6" x14ac:dyDescent="0.25">
      <c r="F9834" s="92">
        <f t="shared" si="217"/>
        <v>164981</v>
      </c>
    </row>
    <row r="9835" spans="6:6" x14ac:dyDescent="0.25">
      <c r="F9835" s="92">
        <f t="shared" si="217"/>
        <v>164981</v>
      </c>
    </row>
    <row r="9836" spans="6:6" x14ac:dyDescent="0.25">
      <c r="F9836" s="92">
        <f t="shared" si="217"/>
        <v>164981</v>
      </c>
    </row>
    <row r="9837" spans="6:6" x14ac:dyDescent="0.25">
      <c r="F9837" s="92">
        <f t="shared" si="217"/>
        <v>164981</v>
      </c>
    </row>
    <row r="9838" spans="6:6" x14ac:dyDescent="0.25">
      <c r="F9838" s="92">
        <f t="shared" si="217"/>
        <v>164981</v>
      </c>
    </row>
    <row r="9839" spans="6:6" x14ac:dyDescent="0.25">
      <c r="F9839" s="92">
        <f t="shared" si="217"/>
        <v>164981</v>
      </c>
    </row>
    <row r="9840" spans="6:6" x14ac:dyDescent="0.25">
      <c r="F9840" s="92">
        <f t="shared" ref="F9840:F9903" si="218">F9839+E9840-D9840</f>
        <v>164981</v>
      </c>
    </row>
    <row r="9841" spans="6:6" x14ac:dyDescent="0.25">
      <c r="F9841" s="92">
        <f t="shared" si="218"/>
        <v>164981</v>
      </c>
    </row>
    <row r="9842" spans="6:6" x14ac:dyDescent="0.25">
      <c r="F9842" s="92">
        <f t="shared" si="218"/>
        <v>164981</v>
      </c>
    </row>
    <row r="9843" spans="6:6" x14ac:dyDescent="0.25">
      <c r="F9843" s="92">
        <f t="shared" si="218"/>
        <v>164981</v>
      </c>
    </row>
    <row r="9844" spans="6:6" x14ac:dyDescent="0.25">
      <c r="F9844" s="92">
        <f t="shared" si="218"/>
        <v>164981</v>
      </c>
    </row>
    <row r="9845" spans="6:6" x14ac:dyDescent="0.25">
      <c r="F9845" s="92">
        <f t="shared" si="218"/>
        <v>164981</v>
      </c>
    </row>
    <row r="9846" spans="6:6" x14ac:dyDescent="0.25">
      <c r="F9846" s="92">
        <f t="shared" si="218"/>
        <v>164981</v>
      </c>
    </row>
    <row r="9847" spans="6:6" x14ac:dyDescent="0.25">
      <c r="F9847" s="92">
        <f t="shared" si="218"/>
        <v>164981</v>
      </c>
    </row>
    <row r="9848" spans="6:6" x14ac:dyDescent="0.25">
      <c r="F9848" s="92">
        <f t="shared" si="218"/>
        <v>164981</v>
      </c>
    </row>
    <row r="9849" spans="6:6" x14ac:dyDescent="0.25">
      <c r="F9849" s="92">
        <f t="shared" si="218"/>
        <v>164981</v>
      </c>
    </row>
    <row r="9850" spans="6:6" x14ac:dyDescent="0.25">
      <c r="F9850" s="92">
        <f t="shared" si="218"/>
        <v>164981</v>
      </c>
    </row>
    <row r="9851" spans="6:6" x14ac:dyDescent="0.25">
      <c r="F9851" s="92">
        <f t="shared" si="218"/>
        <v>164981</v>
      </c>
    </row>
    <row r="9852" spans="6:6" x14ac:dyDescent="0.25">
      <c r="F9852" s="92">
        <f t="shared" si="218"/>
        <v>164981</v>
      </c>
    </row>
    <row r="9853" spans="6:6" x14ac:dyDescent="0.25">
      <c r="F9853" s="92">
        <f t="shared" si="218"/>
        <v>164981</v>
      </c>
    </row>
    <row r="9854" spans="6:6" x14ac:dyDescent="0.25">
      <c r="F9854" s="92">
        <f t="shared" si="218"/>
        <v>164981</v>
      </c>
    </row>
    <row r="9855" spans="6:6" x14ac:dyDescent="0.25">
      <c r="F9855" s="92">
        <f t="shared" si="218"/>
        <v>164981</v>
      </c>
    </row>
    <row r="9856" spans="6:6" x14ac:dyDescent="0.25">
      <c r="F9856" s="92">
        <f t="shared" si="218"/>
        <v>164981</v>
      </c>
    </row>
    <row r="9857" spans="6:6" x14ac:dyDescent="0.25">
      <c r="F9857" s="92">
        <f t="shared" si="218"/>
        <v>164981</v>
      </c>
    </row>
    <row r="9858" spans="6:6" x14ac:dyDescent="0.25">
      <c r="F9858" s="92">
        <f t="shared" si="218"/>
        <v>164981</v>
      </c>
    </row>
    <row r="9859" spans="6:6" x14ac:dyDescent="0.25">
      <c r="F9859" s="92">
        <f t="shared" si="218"/>
        <v>164981</v>
      </c>
    </row>
    <row r="9860" spans="6:6" x14ac:dyDescent="0.25">
      <c r="F9860" s="92">
        <f t="shared" si="218"/>
        <v>164981</v>
      </c>
    </row>
    <row r="9861" spans="6:6" x14ac:dyDescent="0.25">
      <c r="F9861" s="92">
        <f t="shared" si="218"/>
        <v>164981</v>
      </c>
    </row>
    <row r="9862" spans="6:6" x14ac:dyDescent="0.25">
      <c r="F9862" s="92">
        <f t="shared" si="218"/>
        <v>164981</v>
      </c>
    </row>
    <row r="9863" spans="6:6" x14ac:dyDescent="0.25">
      <c r="F9863" s="92">
        <f t="shared" si="218"/>
        <v>164981</v>
      </c>
    </row>
    <row r="9864" spans="6:6" x14ac:dyDescent="0.25">
      <c r="F9864" s="92">
        <f t="shared" si="218"/>
        <v>164981</v>
      </c>
    </row>
    <row r="9865" spans="6:6" x14ac:dyDescent="0.25">
      <c r="F9865" s="92">
        <f t="shared" si="218"/>
        <v>164981</v>
      </c>
    </row>
    <row r="9866" spans="6:6" x14ac:dyDescent="0.25">
      <c r="F9866" s="92">
        <f t="shared" si="218"/>
        <v>164981</v>
      </c>
    </row>
    <row r="9867" spans="6:6" x14ac:dyDescent="0.25">
      <c r="F9867" s="92">
        <f t="shared" si="218"/>
        <v>164981</v>
      </c>
    </row>
    <row r="9868" spans="6:6" x14ac:dyDescent="0.25">
      <c r="F9868" s="92">
        <f t="shared" si="218"/>
        <v>164981</v>
      </c>
    </row>
    <row r="9869" spans="6:6" x14ac:dyDescent="0.25">
      <c r="F9869" s="92">
        <f t="shared" si="218"/>
        <v>164981</v>
      </c>
    </row>
    <row r="9870" spans="6:6" x14ac:dyDescent="0.25">
      <c r="F9870" s="92">
        <f t="shared" si="218"/>
        <v>164981</v>
      </c>
    </row>
    <row r="9871" spans="6:6" x14ac:dyDescent="0.25">
      <c r="F9871" s="92">
        <f t="shared" si="218"/>
        <v>164981</v>
      </c>
    </row>
    <row r="9872" spans="6:6" x14ac:dyDescent="0.25">
      <c r="F9872" s="92">
        <f t="shared" si="218"/>
        <v>164981</v>
      </c>
    </row>
    <row r="9873" spans="6:6" x14ac:dyDescent="0.25">
      <c r="F9873" s="92">
        <f t="shared" si="218"/>
        <v>164981</v>
      </c>
    </row>
    <row r="9874" spans="6:6" x14ac:dyDescent="0.25">
      <c r="F9874" s="92">
        <f t="shared" si="218"/>
        <v>164981</v>
      </c>
    </row>
    <row r="9875" spans="6:6" x14ac:dyDescent="0.25">
      <c r="F9875" s="92">
        <f t="shared" si="218"/>
        <v>164981</v>
      </c>
    </row>
    <row r="9876" spans="6:6" x14ac:dyDescent="0.25">
      <c r="F9876" s="92">
        <f t="shared" si="218"/>
        <v>164981</v>
      </c>
    </row>
    <row r="9877" spans="6:6" x14ac:dyDescent="0.25">
      <c r="F9877" s="92">
        <f t="shared" si="218"/>
        <v>164981</v>
      </c>
    </row>
    <row r="9878" spans="6:6" x14ac:dyDescent="0.25">
      <c r="F9878" s="92">
        <f t="shared" si="218"/>
        <v>164981</v>
      </c>
    </row>
    <row r="9879" spans="6:6" x14ac:dyDescent="0.25">
      <c r="F9879" s="92">
        <f t="shared" si="218"/>
        <v>164981</v>
      </c>
    </row>
    <row r="9880" spans="6:6" x14ac:dyDescent="0.25">
      <c r="F9880" s="92">
        <f t="shared" si="218"/>
        <v>164981</v>
      </c>
    </row>
    <row r="9881" spans="6:6" x14ac:dyDescent="0.25">
      <c r="F9881" s="92">
        <f t="shared" si="218"/>
        <v>164981</v>
      </c>
    </row>
    <row r="9882" spans="6:6" x14ac:dyDescent="0.25">
      <c r="F9882" s="92">
        <f t="shared" si="218"/>
        <v>164981</v>
      </c>
    </row>
    <row r="9883" spans="6:6" x14ac:dyDescent="0.25">
      <c r="F9883" s="92">
        <f t="shared" si="218"/>
        <v>164981</v>
      </c>
    </row>
    <row r="9884" spans="6:6" x14ac:dyDescent="0.25">
      <c r="F9884" s="92">
        <f t="shared" si="218"/>
        <v>164981</v>
      </c>
    </row>
    <row r="9885" spans="6:6" x14ac:dyDescent="0.25">
      <c r="F9885" s="92">
        <f t="shared" si="218"/>
        <v>164981</v>
      </c>
    </row>
    <row r="9886" spans="6:6" x14ac:dyDescent="0.25">
      <c r="F9886" s="92">
        <f t="shared" si="218"/>
        <v>164981</v>
      </c>
    </row>
    <row r="9887" spans="6:6" x14ac:dyDescent="0.25">
      <c r="F9887" s="92">
        <f t="shared" si="218"/>
        <v>164981</v>
      </c>
    </row>
    <row r="9888" spans="6:6" x14ac:dyDescent="0.25">
      <c r="F9888" s="92">
        <f t="shared" si="218"/>
        <v>164981</v>
      </c>
    </row>
    <row r="9889" spans="6:6" x14ac:dyDescent="0.25">
      <c r="F9889" s="92">
        <f t="shared" si="218"/>
        <v>164981</v>
      </c>
    </row>
    <row r="9890" spans="6:6" x14ac:dyDescent="0.25">
      <c r="F9890" s="92">
        <f t="shared" si="218"/>
        <v>164981</v>
      </c>
    </row>
    <row r="9891" spans="6:6" x14ac:dyDescent="0.25">
      <c r="F9891" s="92">
        <f t="shared" si="218"/>
        <v>164981</v>
      </c>
    </row>
    <row r="9892" spans="6:6" x14ac:dyDescent="0.25">
      <c r="F9892" s="92">
        <f t="shared" si="218"/>
        <v>164981</v>
      </c>
    </row>
    <row r="9893" spans="6:6" x14ac:dyDescent="0.25">
      <c r="F9893" s="92">
        <f t="shared" si="218"/>
        <v>164981</v>
      </c>
    </row>
    <row r="9894" spans="6:6" x14ac:dyDescent="0.25">
      <c r="F9894" s="92">
        <f t="shared" si="218"/>
        <v>164981</v>
      </c>
    </row>
    <row r="9895" spans="6:6" x14ac:dyDescent="0.25">
      <c r="F9895" s="92">
        <f t="shared" si="218"/>
        <v>164981</v>
      </c>
    </row>
    <row r="9896" spans="6:6" x14ac:dyDescent="0.25">
      <c r="F9896" s="92">
        <f t="shared" si="218"/>
        <v>164981</v>
      </c>
    </row>
    <row r="9897" spans="6:6" x14ac:dyDescent="0.25">
      <c r="F9897" s="92">
        <f t="shared" si="218"/>
        <v>164981</v>
      </c>
    </row>
    <row r="9898" spans="6:6" x14ac:dyDescent="0.25">
      <c r="F9898" s="92">
        <f t="shared" si="218"/>
        <v>164981</v>
      </c>
    </row>
    <row r="9899" spans="6:6" x14ac:dyDescent="0.25">
      <c r="F9899" s="92">
        <f t="shared" si="218"/>
        <v>164981</v>
      </c>
    </row>
    <row r="9900" spans="6:6" x14ac:dyDescent="0.25">
      <c r="F9900" s="92">
        <f t="shared" si="218"/>
        <v>164981</v>
      </c>
    </row>
    <row r="9901" spans="6:6" x14ac:dyDescent="0.25">
      <c r="F9901" s="92">
        <f t="shared" si="218"/>
        <v>164981</v>
      </c>
    </row>
    <row r="9902" spans="6:6" x14ac:dyDescent="0.25">
      <c r="F9902" s="92">
        <f t="shared" si="218"/>
        <v>164981</v>
      </c>
    </row>
    <row r="9903" spans="6:6" x14ac:dyDescent="0.25">
      <c r="F9903" s="92">
        <f t="shared" si="218"/>
        <v>164981</v>
      </c>
    </row>
    <row r="9904" spans="6:6" x14ac:dyDescent="0.25">
      <c r="F9904" s="92">
        <f t="shared" ref="F9904:F9967" si="219">F9903+E9904-D9904</f>
        <v>164981</v>
      </c>
    </row>
    <row r="9905" spans="6:6" x14ac:dyDescent="0.25">
      <c r="F9905" s="92">
        <f t="shared" si="219"/>
        <v>164981</v>
      </c>
    </row>
    <row r="9906" spans="6:6" x14ac:dyDescent="0.25">
      <c r="F9906" s="92">
        <f t="shared" si="219"/>
        <v>164981</v>
      </c>
    </row>
    <row r="9907" spans="6:6" x14ac:dyDescent="0.25">
      <c r="F9907" s="92">
        <f t="shared" si="219"/>
        <v>164981</v>
      </c>
    </row>
    <row r="9908" spans="6:6" x14ac:dyDescent="0.25">
      <c r="F9908" s="92">
        <f t="shared" si="219"/>
        <v>164981</v>
      </c>
    </row>
    <row r="9909" spans="6:6" x14ac:dyDescent="0.25">
      <c r="F9909" s="92">
        <f t="shared" si="219"/>
        <v>164981</v>
      </c>
    </row>
    <row r="9910" spans="6:6" x14ac:dyDescent="0.25">
      <c r="F9910" s="92">
        <f t="shared" si="219"/>
        <v>164981</v>
      </c>
    </row>
    <row r="9911" spans="6:6" x14ac:dyDescent="0.25">
      <c r="F9911" s="92">
        <f t="shared" si="219"/>
        <v>164981</v>
      </c>
    </row>
    <row r="9912" spans="6:6" x14ac:dyDescent="0.25">
      <c r="F9912" s="92">
        <f t="shared" si="219"/>
        <v>164981</v>
      </c>
    </row>
    <row r="9913" spans="6:6" x14ac:dyDescent="0.25">
      <c r="F9913" s="92">
        <f t="shared" si="219"/>
        <v>164981</v>
      </c>
    </row>
    <row r="9914" spans="6:6" x14ac:dyDescent="0.25">
      <c r="F9914" s="92">
        <f t="shared" si="219"/>
        <v>164981</v>
      </c>
    </row>
    <row r="9915" spans="6:6" x14ac:dyDescent="0.25">
      <c r="F9915" s="92">
        <f t="shared" si="219"/>
        <v>164981</v>
      </c>
    </row>
    <row r="9916" spans="6:6" x14ac:dyDescent="0.25">
      <c r="F9916" s="92">
        <f t="shared" si="219"/>
        <v>164981</v>
      </c>
    </row>
    <row r="9917" spans="6:6" x14ac:dyDescent="0.25">
      <c r="F9917" s="92">
        <f t="shared" si="219"/>
        <v>164981</v>
      </c>
    </row>
    <row r="9918" spans="6:6" x14ac:dyDescent="0.25">
      <c r="F9918" s="92">
        <f t="shared" si="219"/>
        <v>164981</v>
      </c>
    </row>
    <row r="9919" spans="6:6" x14ac:dyDescent="0.25">
      <c r="F9919" s="92">
        <f t="shared" si="219"/>
        <v>164981</v>
      </c>
    </row>
    <row r="9920" spans="6:6" x14ac:dyDescent="0.25">
      <c r="F9920" s="92">
        <f t="shared" si="219"/>
        <v>164981</v>
      </c>
    </row>
    <row r="9921" spans="6:6" x14ac:dyDescent="0.25">
      <c r="F9921" s="92">
        <f t="shared" si="219"/>
        <v>164981</v>
      </c>
    </row>
    <row r="9922" spans="6:6" x14ac:dyDescent="0.25">
      <c r="F9922" s="92">
        <f t="shared" si="219"/>
        <v>164981</v>
      </c>
    </row>
    <row r="9923" spans="6:6" x14ac:dyDescent="0.25">
      <c r="F9923" s="92">
        <f t="shared" si="219"/>
        <v>164981</v>
      </c>
    </row>
    <row r="9924" spans="6:6" x14ac:dyDescent="0.25">
      <c r="F9924" s="92">
        <f t="shared" si="219"/>
        <v>164981</v>
      </c>
    </row>
    <row r="9925" spans="6:6" x14ac:dyDescent="0.25">
      <c r="F9925" s="92">
        <f t="shared" si="219"/>
        <v>164981</v>
      </c>
    </row>
    <row r="9926" spans="6:6" x14ac:dyDescent="0.25">
      <c r="F9926" s="92">
        <f t="shared" si="219"/>
        <v>164981</v>
      </c>
    </row>
    <row r="9927" spans="6:6" x14ac:dyDescent="0.25">
      <c r="F9927" s="92">
        <f t="shared" si="219"/>
        <v>164981</v>
      </c>
    </row>
    <row r="9928" spans="6:6" x14ac:dyDescent="0.25">
      <c r="F9928" s="92">
        <f t="shared" si="219"/>
        <v>164981</v>
      </c>
    </row>
    <row r="9929" spans="6:6" x14ac:dyDescent="0.25">
      <c r="F9929" s="92">
        <f t="shared" si="219"/>
        <v>164981</v>
      </c>
    </row>
    <row r="9930" spans="6:6" x14ac:dyDescent="0.25">
      <c r="F9930" s="92">
        <f t="shared" si="219"/>
        <v>164981</v>
      </c>
    </row>
    <row r="9931" spans="6:6" x14ac:dyDescent="0.25">
      <c r="F9931" s="92">
        <f t="shared" si="219"/>
        <v>164981</v>
      </c>
    </row>
    <row r="9932" spans="6:6" x14ac:dyDescent="0.25">
      <c r="F9932" s="92">
        <f t="shared" si="219"/>
        <v>164981</v>
      </c>
    </row>
    <row r="9933" spans="6:6" x14ac:dyDescent="0.25">
      <c r="F9933" s="92">
        <f t="shared" si="219"/>
        <v>164981</v>
      </c>
    </row>
    <row r="9934" spans="6:6" x14ac:dyDescent="0.25">
      <c r="F9934" s="92">
        <f t="shared" si="219"/>
        <v>164981</v>
      </c>
    </row>
    <row r="9935" spans="6:6" x14ac:dyDescent="0.25">
      <c r="F9935" s="92">
        <f t="shared" si="219"/>
        <v>164981</v>
      </c>
    </row>
    <row r="9936" spans="6:6" x14ac:dyDescent="0.25">
      <c r="F9936" s="92">
        <f t="shared" si="219"/>
        <v>164981</v>
      </c>
    </row>
    <row r="9937" spans="6:6" x14ac:dyDescent="0.25">
      <c r="F9937" s="92">
        <f t="shared" si="219"/>
        <v>164981</v>
      </c>
    </row>
    <row r="9938" spans="6:6" x14ac:dyDescent="0.25">
      <c r="F9938" s="92">
        <f t="shared" si="219"/>
        <v>164981</v>
      </c>
    </row>
    <row r="9939" spans="6:6" x14ac:dyDescent="0.25">
      <c r="F9939" s="92">
        <f t="shared" si="219"/>
        <v>164981</v>
      </c>
    </row>
    <row r="9940" spans="6:6" x14ac:dyDescent="0.25">
      <c r="F9940" s="92">
        <f t="shared" si="219"/>
        <v>164981</v>
      </c>
    </row>
    <row r="9941" spans="6:6" x14ac:dyDescent="0.25">
      <c r="F9941" s="92">
        <f t="shared" si="219"/>
        <v>164981</v>
      </c>
    </row>
    <row r="9942" spans="6:6" x14ac:dyDescent="0.25">
      <c r="F9942" s="92">
        <f t="shared" si="219"/>
        <v>164981</v>
      </c>
    </row>
    <row r="9943" spans="6:6" x14ac:dyDescent="0.25">
      <c r="F9943" s="92">
        <f t="shared" si="219"/>
        <v>164981</v>
      </c>
    </row>
    <row r="9944" spans="6:6" x14ac:dyDescent="0.25">
      <c r="F9944" s="92">
        <f t="shared" si="219"/>
        <v>164981</v>
      </c>
    </row>
    <row r="9945" spans="6:6" x14ac:dyDescent="0.25">
      <c r="F9945" s="92">
        <f t="shared" si="219"/>
        <v>164981</v>
      </c>
    </row>
    <row r="9946" spans="6:6" x14ac:dyDescent="0.25">
      <c r="F9946" s="92">
        <f t="shared" si="219"/>
        <v>164981</v>
      </c>
    </row>
    <row r="9947" spans="6:6" x14ac:dyDescent="0.25">
      <c r="F9947" s="92">
        <f t="shared" si="219"/>
        <v>164981</v>
      </c>
    </row>
    <row r="9948" spans="6:6" x14ac:dyDescent="0.25">
      <c r="F9948" s="92">
        <f t="shared" si="219"/>
        <v>164981</v>
      </c>
    </row>
    <row r="9949" spans="6:6" x14ac:dyDescent="0.25">
      <c r="F9949" s="92">
        <f t="shared" si="219"/>
        <v>164981</v>
      </c>
    </row>
    <row r="9950" spans="6:6" x14ac:dyDescent="0.25">
      <c r="F9950" s="92">
        <f t="shared" si="219"/>
        <v>164981</v>
      </c>
    </row>
    <row r="9951" spans="6:6" x14ac:dyDescent="0.25">
      <c r="F9951" s="92">
        <f t="shared" si="219"/>
        <v>164981</v>
      </c>
    </row>
    <row r="9952" spans="6:6" x14ac:dyDescent="0.25">
      <c r="F9952" s="92">
        <f t="shared" si="219"/>
        <v>164981</v>
      </c>
    </row>
    <row r="9953" spans="6:6" x14ac:dyDescent="0.25">
      <c r="F9953" s="92">
        <f t="shared" si="219"/>
        <v>164981</v>
      </c>
    </row>
    <row r="9954" spans="6:6" x14ac:dyDescent="0.25">
      <c r="F9954" s="92">
        <f t="shared" si="219"/>
        <v>164981</v>
      </c>
    </row>
    <row r="9955" spans="6:6" x14ac:dyDescent="0.25">
      <c r="F9955" s="92">
        <f t="shared" si="219"/>
        <v>164981</v>
      </c>
    </row>
    <row r="9956" spans="6:6" x14ac:dyDescent="0.25">
      <c r="F9956" s="92">
        <f t="shared" si="219"/>
        <v>164981</v>
      </c>
    </row>
    <row r="9957" spans="6:6" x14ac:dyDescent="0.25">
      <c r="F9957" s="92">
        <f t="shared" si="219"/>
        <v>164981</v>
      </c>
    </row>
    <row r="9958" spans="6:6" x14ac:dyDescent="0.25">
      <c r="F9958" s="92">
        <f t="shared" si="219"/>
        <v>164981</v>
      </c>
    </row>
    <row r="9959" spans="6:6" x14ac:dyDescent="0.25">
      <c r="F9959" s="92">
        <f t="shared" si="219"/>
        <v>164981</v>
      </c>
    </row>
    <row r="9960" spans="6:6" x14ac:dyDescent="0.25">
      <c r="F9960" s="92">
        <f t="shared" si="219"/>
        <v>164981</v>
      </c>
    </row>
    <row r="9961" spans="6:6" x14ac:dyDescent="0.25">
      <c r="F9961" s="92">
        <f t="shared" si="219"/>
        <v>164981</v>
      </c>
    </row>
    <row r="9962" spans="6:6" x14ac:dyDescent="0.25">
      <c r="F9962" s="92">
        <f t="shared" si="219"/>
        <v>164981</v>
      </c>
    </row>
    <row r="9963" spans="6:6" x14ac:dyDescent="0.25">
      <c r="F9963" s="92">
        <f t="shared" si="219"/>
        <v>164981</v>
      </c>
    </row>
    <row r="9964" spans="6:6" x14ac:dyDescent="0.25">
      <c r="F9964" s="92">
        <f t="shared" si="219"/>
        <v>164981</v>
      </c>
    </row>
    <row r="9965" spans="6:6" x14ac:dyDescent="0.25">
      <c r="F9965" s="92">
        <f t="shared" si="219"/>
        <v>164981</v>
      </c>
    </row>
    <row r="9966" spans="6:6" x14ac:dyDescent="0.25">
      <c r="F9966" s="92">
        <f t="shared" si="219"/>
        <v>164981</v>
      </c>
    </row>
    <row r="9967" spans="6:6" x14ac:dyDescent="0.25">
      <c r="F9967" s="92">
        <f t="shared" si="219"/>
        <v>164981</v>
      </c>
    </row>
    <row r="9968" spans="6:6" x14ac:dyDescent="0.25">
      <c r="F9968" s="92">
        <f t="shared" ref="F9968:F10031" si="220">F9967+E9968-D9968</f>
        <v>164981</v>
      </c>
    </row>
    <row r="9969" spans="6:6" x14ac:dyDescent="0.25">
      <c r="F9969" s="92">
        <f t="shared" si="220"/>
        <v>164981</v>
      </c>
    </row>
    <row r="9970" spans="6:6" x14ac:dyDescent="0.25">
      <c r="F9970" s="92">
        <f t="shared" si="220"/>
        <v>164981</v>
      </c>
    </row>
    <row r="9971" spans="6:6" x14ac:dyDescent="0.25">
      <c r="F9971" s="92">
        <f t="shared" si="220"/>
        <v>164981</v>
      </c>
    </row>
    <row r="9972" spans="6:6" x14ac:dyDescent="0.25">
      <c r="F9972" s="92">
        <f t="shared" si="220"/>
        <v>164981</v>
      </c>
    </row>
    <row r="9973" spans="6:6" x14ac:dyDescent="0.25">
      <c r="F9973" s="92">
        <f t="shared" si="220"/>
        <v>164981</v>
      </c>
    </row>
    <row r="9974" spans="6:6" x14ac:dyDescent="0.25">
      <c r="F9974" s="92">
        <f t="shared" si="220"/>
        <v>164981</v>
      </c>
    </row>
    <row r="9975" spans="6:6" x14ac:dyDescent="0.25">
      <c r="F9975" s="92">
        <f t="shared" si="220"/>
        <v>164981</v>
      </c>
    </row>
    <row r="9976" spans="6:6" x14ac:dyDescent="0.25">
      <c r="F9976" s="92">
        <f t="shared" si="220"/>
        <v>164981</v>
      </c>
    </row>
    <row r="9977" spans="6:6" x14ac:dyDescent="0.25">
      <c r="F9977" s="92">
        <f t="shared" si="220"/>
        <v>164981</v>
      </c>
    </row>
    <row r="9978" spans="6:6" x14ac:dyDescent="0.25">
      <c r="F9978" s="92">
        <f t="shared" si="220"/>
        <v>164981</v>
      </c>
    </row>
    <row r="9979" spans="6:6" x14ac:dyDescent="0.25">
      <c r="F9979" s="92">
        <f t="shared" si="220"/>
        <v>164981</v>
      </c>
    </row>
    <row r="9980" spans="6:6" x14ac:dyDescent="0.25">
      <c r="F9980" s="92">
        <f t="shared" si="220"/>
        <v>164981</v>
      </c>
    </row>
    <row r="9981" spans="6:6" x14ac:dyDescent="0.25">
      <c r="F9981" s="92">
        <f t="shared" si="220"/>
        <v>164981</v>
      </c>
    </row>
    <row r="9982" spans="6:6" x14ac:dyDescent="0.25">
      <c r="F9982" s="92">
        <f t="shared" si="220"/>
        <v>164981</v>
      </c>
    </row>
    <row r="9983" spans="6:6" x14ac:dyDescent="0.25">
      <c r="F9983" s="92">
        <f t="shared" si="220"/>
        <v>164981</v>
      </c>
    </row>
    <row r="9984" spans="6:6" x14ac:dyDescent="0.25">
      <c r="F9984" s="92">
        <f t="shared" si="220"/>
        <v>164981</v>
      </c>
    </row>
    <row r="9985" spans="6:6" x14ac:dyDescent="0.25">
      <c r="F9985" s="92">
        <f t="shared" si="220"/>
        <v>164981</v>
      </c>
    </row>
    <row r="9986" spans="6:6" x14ac:dyDescent="0.25">
      <c r="F9986" s="92">
        <f t="shared" si="220"/>
        <v>164981</v>
      </c>
    </row>
    <row r="9987" spans="6:6" x14ac:dyDescent="0.25">
      <c r="F9987" s="92">
        <f t="shared" si="220"/>
        <v>164981</v>
      </c>
    </row>
    <row r="9988" spans="6:6" x14ac:dyDescent="0.25">
      <c r="F9988" s="92">
        <f t="shared" si="220"/>
        <v>164981</v>
      </c>
    </row>
    <row r="9989" spans="6:6" x14ac:dyDescent="0.25">
      <c r="F9989" s="92">
        <f t="shared" si="220"/>
        <v>164981</v>
      </c>
    </row>
    <row r="9990" spans="6:6" x14ac:dyDescent="0.25">
      <c r="F9990" s="92">
        <f t="shared" si="220"/>
        <v>164981</v>
      </c>
    </row>
    <row r="9991" spans="6:6" x14ac:dyDescent="0.25">
      <c r="F9991" s="92">
        <f t="shared" si="220"/>
        <v>164981</v>
      </c>
    </row>
    <row r="9992" spans="6:6" x14ac:dyDescent="0.25">
      <c r="F9992" s="92">
        <f t="shared" si="220"/>
        <v>164981</v>
      </c>
    </row>
    <row r="9993" spans="6:6" x14ac:dyDescent="0.25">
      <c r="F9993" s="92">
        <f t="shared" si="220"/>
        <v>164981</v>
      </c>
    </row>
    <row r="9994" spans="6:6" x14ac:dyDescent="0.25">
      <c r="F9994" s="92">
        <f t="shared" si="220"/>
        <v>164981</v>
      </c>
    </row>
    <row r="9995" spans="6:6" x14ac:dyDescent="0.25">
      <c r="F9995" s="92">
        <f t="shared" si="220"/>
        <v>164981</v>
      </c>
    </row>
    <row r="9996" spans="6:6" x14ac:dyDescent="0.25">
      <c r="F9996" s="92">
        <f t="shared" si="220"/>
        <v>164981</v>
      </c>
    </row>
    <row r="9997" spans="6:6" x14ac:dyDescent="0.25">
      <c r="F9997" s="92">
        <f t="shared" si="220"/>
        <v>164981</v>
      </c>
    </row>
    <row r="9998" spans="6:6" x14ac:dyDescent="0.25">
      <c r="F9998" s="92">
        <f t="shared" si="220"/>
        <v>164981</v>
      </c>
    </row>
    <row r="9999" spans="6:6" x14ac:dyDescent="0.25">
      <c r="F9999" s="92">
        <f t="shared" si="220"/>
        <v>164981</v>
      </c>
    </row>
    <row r="10000" spans="6:6" x14ac:dyDescent="0.25">
      <c r="F10000" s="92">
        <f t="shared" si="220"/>
        <v>164981</v>
      </c>
    </row>
    <row r="10001" spans="6:6" x14ac:dyDescent="0.25">
      <c r="F10001" s="92">
        <f t="shared" si="220"/>
        <v>164981</v>
      </c>
    </row>
    <row r="10002" spans="6:6" x14ac:dyDescent="0.25">
      <c r="F10002" s="92">
        <f t="shared" si="220"/>
        <v>164981</v>
      </c>
    </row>
    <row r="10003" spans="6:6" x14ac:dyDescent="0.25">
      <c r="F10003" s="92">
        <f t="shared" si="220"/>
        <v>164981</v>
      </c>
    </row>
    <row r="10004" spans="6:6" x14ac:dyDescent="0.25">
      <c r="F10004" s="92">
        <f t="shared" si="220"/>
        <v>164981</v>
      </c>
    </row>
    <row r="10005" spans="6:6" x14ac:dyDescent="0.25">
      <c r="F10005" s="92">
        <f t="shared" si="220"/>
        <v>164981</v>
      </c>
    </row>
    <row r="10006" spans="6:6" x14ac:dyDescent="0.25">
      <c r="F10006" s="92">
        <f t="shared" si="220"/>
        <v>164981</v>
      </c>
    </row>
    <row r="10007" spans="6:6" x14ac:dyDescent="0.25">
      <c r="F10007" s="92">
        <f t="shared" si="220"/>
        <v>164981</v>
      </c>
    </row>
    <row r="10008" spans="6:6" x14ac:dyDescent="0.25">
      <c r="F10008" s="92">
        <f t="shared" si="220"/>
        <v>164981</v>
      </c>
    </row>
    <row r="10009" spans="6:6" x14ac:dyDescent="0.25">
      <c r="F10009" s="92">
        <f t="shared" si="220"/>
        <v>164981</v>
      </c>
    </row>
    <row r="10010" spans="6:6" x14ac:dyDescent="0.25">
      <c r="F10010" s="92">
        <f t="shared" si="220"/>
        <v>164981</v>
      </c>
    </row>
    <row r="10011" spans="6:6" x14ac:dyDescent="0.25">
      <c r="F10011" s="92">
        <f t="shared" si="220"/>
        <v>164981</v>
      </c>
    </row>
    <row r="10012" spans="6:6" x14ac:dyDescent="0.25">
      <c r="F10012" s="92">
        <f t="shared" si="220"/>
        <v>164981</v>
      </c>
    </row>
    <row r="10013" spans="6:6" x14ac:dyDescent="0.25">
      <c r="F10013" s="92">
        <f t="shared" si="220"/>
        <v>164981</v>
      </c>
    </row>
    <row r="10014" spans="6:6" x14ac:dyDescent="0.25">
      <c r="F10014" s="92">
        <f t="shared" si="220"/>
        <v>164981</v>
      </c>
    </row>
    <row r="10015" spans="6:6" x14ac:dyDescent="0.25">
      <c r="F10015" s="92">
        <f t="shared" si="220"/>
        <v>164981</v>
      </c>
    </row>
    <row r="10016" spans="6:6" x14ac:dyDescent="0.25">
      <c r="F10016" s="92">
        <f t="shared" si="220"/>
        <v>164981</v>
      </c>
    </row>
    <row r="10017" spans="6:6" x14ac:dyDescent="0.25">
      <c r="F10017" s="92">
        <f t="shared" si="220"/>
        <v>164981</v>
      </c>
    </row>
    <row r="10018" spans="6:6" x14ac:dyDescent="0.25">
      <c r="F10018" s="92">
        <f t="shared" si="220"/>
        <v>164981</v>
      </c>
    </row>
    <row r="10019" spans="6:6" x14ac:dyDescent="0.25">
      <c r="F10019" s="92">
        <f t="shared" si="220"/>
        <v>164981</v>
      </c>
    </row>
    <row r="10020" spans="6:6" x14ac:dyDescent="0.25">
      <c r="F10020" s="92">
        <f t="shared" si="220"/>
        <v>164981</v>
      </c>
    </row>
    <row r="10021" spans="6:6" x14ac:dyDescent="0.25">
      <c r="F10021" s="92">
        <f t="shared" si="220"/>
        <v>164981</v>
      </c>
    </row>
    <row r="10022" spans="6:6" x14ac:dyDescent="0.25">
      <c r="F10022" s="92">
        <f t="shared" si="220"/>
        <v>164981</v>
      </c>
    </row>
    <row r="10023" spans="6:6" x14ac:dyDescent="0.25">
      <c r="F10023" s="92">
        <f t="shared" si="220"/>
        <v>164981</v>
      </c>
    </row>
    <row r="10024" spans="6:6" x14ac:dyDescent="0.25">
      <c r="F10024" s="92">
        <f t="shared" si="220"/>
        <v>164981</v>
      </c>
    </row>
    <row r="10025" spans="6:6" x14ac:dyDescent="0.25">
      <c r="F10025" s="92">
        <f t="shared" si="220"/>
        <v>164981</v>
      </c>
    </row>
    <row r="10026" spans="6:6" x14ac:dyDescent="0.25">
      <c r="F10026" s="92">
        <f t="shared" si="220"/>
        <v>164981</v>
      </c>
    </row>
    <row r="10027" spans="6:6" x14ac:dyDescent="0.25">
      <c r="F10027" s="92">
        <f t="shared" si="220"/>
        <v>164981</v>
      </c>
    </row>
    <row r="10028" spans="6:6" x14ac:dyDescent="0.25">
      <c r="F10028" s="92">
        <f t="shared" si="220"/>
        <v>164981</v>
      </c>
    </row>
    <row r="10029" spans="6:6" x14ac:dyDescent="0.25">
      <c r="F10029" s="92">
        <f t="shared" si="220"/>
        <v>164981</v>
      </c>
    </row>
    <row r="10030" spans="6:6" x14ac:dyDescent="0.25">
      <c r="F10030" s="92">
        <f t="shared" si="220"/>
        <v>164981</v>
      </c>
    </row>
    <row r="10031" spans="6:6" x14ac:dyDescent="0.25">
      <c r="F10031" s="92">
        <f t="shared" si="220"/>
        <v>164981</v>
      </c>
    </row>
    <row r="10032" spans="6:6" x14ac:dyDescent="0.25">
      <c r="F10032" s="92">
        <f t="shared" ref="F10032:F10057" si="221">F10031+E10032-D10032</f>
        <v>164981</v>
      </c>
    </row>
    <row r="10033" spans="6:6" x14ac:dyDescent="0.25">
      <c r="F10033" s="92">
        <f t="shared" si="221"/>
        <v>164981</v>
      </c>
    </row>
    <row r="10034" spans="6:6" x14ac:dyDescent="0.25">
      <c r="F10034" s="92">
        <f t="shared" si="221"/>
        <v>164981</v>
      </c>
    </row>
    <row r="10035" spans="6:6" x14ac:dyDescent="0.25">
      <c r="F10035" s="92">
        <f t="shared" si="221"/>
        <v>164981</v>
      </c>
    </row>
    <row r="10036" spans="6:6" x14ac:dyDescent="0.25">
      <c r="F10036" s="92">
        <f t="shared" si="221"/>
        <v>164981</v>
      </c>
    </row>
    <row r="10037" spans="6:6" x14ac:dyDescent="0.25">
      <c r="F10037" s="92">
        <f t="shared" si="221"/>
        <v>164981</v>
      </c>
    </row>
    <row r="10038" spans="6:6" x14ac:dyDescent="0.25">
      <c r="F10038" s="92">
        <f t="shared" si="221"/>
        <v>164981</v>
      </c>
    </row>
    <row r="10039" spans="6:6" x14ac:dyDescent="0.25">
      <c r="F10039" s="92">
        <f t="shared" si="221"/>
        <v>164981</v>
      </c>
    </row>
    <row r="10040" spans="6:6" x14ac:dyDescent="0.25">
      <c r="F10040" s="92">
        <f t="shared" si="221"/>
        <v>164981</v>
      </c>
    </row>
    <row r="10041" spans="6:6" x14ac:dyDescent="0.25">
      <c r="F10041" s="92">
        <f t="shared" si="221"/>
        <v>164981</v>
      </c>
    </row>
    <row r="10042" spans="6:6" x14ac:dyDescent="0.25">
      <c r="F10042" s="92">
        <f t="shared" si="221"/>
        <v>164981</v>
      </c>
    </row>
    <row r="10043" spans="6:6" x14ac:dyDescent="0.25">
      <c r="F10043" s="92">
        <f t="shared" si="221"/>
        <v>164981</v>
      </c>
    </row>
    <row r="10044" spans="6:6" x14ac:dyDescent="0.25">
      <c r="F10044" s="92">
        <f t="shared" si="221"/>
        <v>164981</v>
      </c>
    </row>
    <row r="10045" spans="6:6" x14ac:dyDescent="0.25">
      <c r="F10045" s="92">
        <f t="shared" si="221"/>
        <v>164981</v>
      </c>
    </row>
    <row r="10046" spans="6:6" x14ac:dyDescent="0.25">
      <c r="F10046" s="92">
        <f t="shared" si="221"/>
        <v>164981</v>
      </c>
    </row>
    <row r="10047" spans="6:6" x14ac:dyDescent="0.25">
      <c r="F10047" s="92">
        <f t="shared" si="221"/>
        <v>164981</v>
      </c>
    </row>
    <row r="10048" spans="6:6" x14ac:dyDescent="0.25">
      <c r="F10048" s="92">
        <f t="shared" si="221"/>
        <v>164981</v>
      </c>
    </row>
    <row r="10049" spans="6:6" x14ac:dyDescent="0.25">
      <c r="F10049" s="92">
        <f t="shared" si="221"/>
        <v>164981</v>
      </c>
    </row>
    <row r="10050" spans="6:6" x14ac:dyDescent="0.25">
      <c r="F10050" s="92">
        <f t="shared" si="221"/>
        <v>164981</v>
      </c>
    </row>
    <row r="10051" spans="6:6" x14ac:dyDescent="0.25">
      <c r="F10051" s="92">
        <f t="shared" si="221"/>
        <v>164981</v>
      </c>
    </row>
    <row r="10052" spans="6:6" x14ac:dyDescent="0.25">
      <c r="F10052" s="92">
        <f t="shared" si="221"/>
        <v>164981</v>
      </c>
    </row>
    <row r="10053" spans="6:6" x14ac:dyDescent="0.25">
      <c r="F10053" s="92">
        <f t="shared" si="221"/>
        <v>164981</v>
      </c>
    </row>
    <row r="10054" spans="6:6" x14ac:dyDescent="0.25">
      <c r="F10054" s="92">
        <f t="shared" si="221"/>
        <v>164981</v>
      </c>
    </row>
    <row r="10055" spans="6:6" x14ac:dyDescent="0.25">
      <c r="F10055" s="92">
        <f t="shared" si="221"/>
        <v>164981</v>
      </c>
    </row>
    <row r="10056" spans="6:6" x14ac:dyDescent="0.25">
      <c r="F10056" s="92">
        <f t="shared" si="221"/>
        <v>164981</v>
      </c>
    </row>
    <row r="10057" spans="6:6" x14ac:dyDescent="0.25">
      <c r="F10057" s="92">
        <f t="shared" si="221"/>
        <v>164981</v>
      </c>
    </row>
  </sheetData>
  <autoFilter ref="A1:L10059"/>
  <sortState ref="A4161:L4175">
    <sortCondition descending="1" ref="C4161:C4175"/>
  </sortState>
  <dataConsolidate topLabels="1">
    <dataRefs count="1">
      <dataRef ref="B9728:B9739" sheet="Petty cash"/>
    </dataRefs>
  </dataConsolidate>
  <mergeCells count="762">
    <mergeCell ref="B7248:D7248"/>
    <mergeCell ref="B7419:D7419"/>
    <mergeCell ref="B7354:D7354"/>
    <mergeCell ref="B7243:D7243"/>
    <mergeCell ref="B7514:D7514"/>
    <mergeCell ref="B7453:D7453"/>
    <mergeCell ref="B7422:D7422"/>
    <mergeCell ref="B7416:D7416"/>
    <mergeCell ref="B7386:D7386"/>
    <mergeCell ref="B7360:D7360"/>
    <mergeCell ref="B7357:D7357"/>
    <mergeCell ref="B7260:D7260"/>
    <mergeCell ref="B7245:D7245"/>
    <mergeCell ref="B7268:D7268"/>
    <mergeCell ref="B7336:D7336"/>
    <mergeCell ref="B7331:D7331"/>
    <mergeCell ref="B7311:D7311"/>
    <mergeCell ref="B7327:D7327"/>
    <mergeCell ref="B7308:D7308"/>
    <mergeCell ref="B7309:D7309"/>
    <mergeCell ref="B7310:D7310"/>
    <mergeCell ref="B7265:D7265"/>
    <mergeCell ref="B7131:D7131"/>
    <mergeCell ref="B7137:D7137"/>
    <mergeCell ref="B7229:D7229"/>
    <mergeCell ref="B7230:D7230"/>
    <mergeCell ref="B7219:D7219"/>
    <mergeCell ref="B7200:D7200"/>
    <mergeCell ref="B7201:D7201"/>
    <mergeCell ref="B7202:D7202"/>
    <mergeCell ref="B7209:D7209"/>
    <mergeCell ref="B7187:D7187"/>
    <mergeCell ref="B7168:D7168"/>
    <mergeCell ref="B6877:D6877"/>
    <mergeCell ref="B6875:D6875"/>
    <mergeCell ref="B5899:C5899"/>
    <mergeCell ref="B5848:C5848"/>
    <mergeCell ref="B6967:D6967"/>
    <mergeCell ref="B6855:D6855"/>
    <mergeCell ref="B6946:D6946"/>
    <mergeCell ref="B6919:D6919"/>
    <mergeCell ref="B6907:D6907"/>
    <mergeCell ref="B6860:D6860"/>
    <mergeCell ref="B5997:C5997"/>
    <mergeCell ref="B5859:C5859"/>
    <mergeCell ref="B6112:C6112"/>
    <mergeCell ref="B6965:D6965"/>
    <mergeCell ref="B6932:D6932"/>
    <mergeCell ref="B6933:D6933"/>
    <mergeCell ref="B6911:D6911"/>
    <mergeCell ref="B6886:D6886"/>
    <mergeCell ref="B6868:D6868"/>
    <mergeCell ref="B6862:D6862"/>
    <mergeCell ref="B6974:D6974"/>
    <mergeCell ref="B7129:D7129"/>
    <mergeCell ref="B7130:D7130"/>
    <mergeCell ref="B7077:D7077"/>
    <mergeCell ref="B7058:D7058"/>
    <mergeCell ref="B7024:D7024"/>
    <mergeCell ref="B7021:D7021"/>
    <mergeCell ref="B6982:D6982"/>
    <mergeCell ref="B6988:D6988"/>
    <mergeCell ref="B7044:D7044"/>
    <mergeCell ref="B7030:D7030"/>
    <mergeCell ref="B7015:D7015"/>
    <mergeCell ref="B7000:D7000"/>
    <mergeCell ref="B7004:D7004"/>
    <mergeCell ref="B6997:D6997"/>
    <mergeCell ref="B7124:D7124"/>
    <mergeCell ref="B7125:D7125"/>
    <mergeCell ref="B6977:D6977"/>
    <mergeCell ref="B7033:D7033"/>
    <mergeCell ref="B7111:D7111"/>
    <mergeCell ref="B7103:D7103"/>
    <mergeCell ref="B5665:C5665"/>
    <mergeCell ref="B5794:C5794"/>
    <mergeCell ref="B5706:C5706"/>
    <mergeCell ref="B6951:D6951"/>
    <mergeCell ref="B6029:C6029"/>
    <mergeCell ref="B6001:C6001"/>
    <mergeCell ref="B5982:C5982"/>
    <mergeCell ref="B5765:C5765"/>
    <mergeCell ref="B5780:C5780"/>
    <mergeCell ref="B5965:C5965"/>
    <mergeCell ref="B5948:C5948"/>
    <mergeCell ref="B5815:C5815"/>
    <mergeCell ref="B5950:C5950"/>
    <mergeCell ref="B5772:C5772"/>
    <mergeCell ref="B5818:C5818"/>
    <mergeCell ref="B5810:C5810"/>
    <mergeCell ref="B5886:C5886"/>
    <mergeCell ref="B5865:C5865"/>
    <mergeCell ref="B6026:C6026"/>
    <mergeCell ref="B5973:C5973"/>
    <mergeCell ref="B5744:C5744"/>
    <mergeCell ref="B5716:C5716"/>
    <mergeCell ref="B5754:C5754"/>
    <mergeCell ref="B5876:C5876"/>
    <mergeCell ref="B5827:C5827"/>
    <mergeCell ref="B6854:D6854"/>
    <mergeCell ref="B6045:C6045"/>
    <mergeCell ref="B6050:C6050"/>
    <mergeCell ref="B6032:C6032"/>
    <mergeCell ref="B6795:C6795"/>
    <mergeCell ref="B6828:D6828"/>
    <mergeCell ref="B6827:D6827"/>
    <mergeCell ref="B6829:D6829"/>
    <mergeCell ref="B6834:D6834"/>
    <mergeCell ref="B6160:C6160"/>
    <mergeCell ref="B6072:C6072"/>
    <mergeCell ref="B5955:C5955"/>
    <mergeCell ref="B5933:C5933"/>
    <mergeCell ref="B6089:C6089"/>
    <mergeCell ref="B6058:C6058"/>
    <mergeCell ref="B5988:C5988"/>
    <mergeCell ref="B5831:C5831"/>
    <mergeCell ref="B5883:C5883"/>
    <mergeCell ref="B6123:C6123"/>
    <mergeCell ref="B6169:C6169"/>
    <mergeCell ref="B5834:C5834"/>
    <mergeCell ref="B5841:C5841"/>
    <mergeCell ref="B5344:C5344"/>
    <mergeCell ref="B5332:C5332"/>
    <mergeCell ref="B5316:C5316"/>
    <mergeCell ref="B5384:C5384"/>
    <mergeCell ref="B5652:C5652"/>
    <mergeCell ref="B5609:C5609"/>
    <mergeCell ref="B5554:C5554"/>
    <mergeCell ref="B5562:C5562"/>
    <mergeCell ref="B5581:C5581"/>
    <mergeCell ref="B5550:C5550"/>
    <mergeCell ref="B5651:C5651"/>
    <mergeCell ref="B5578:C5578"/>
    <mergeCell ref="B5600:C5600"/>
    <mergeCell ref="B5481:C5481"/>
    <mergeCell ref="B5403:C5403"/>
    <mergeCell ref="B5657:C5657"/>
    <mergeCell ref="B5614:C5614"/>
    <mergeCell ref="B5593:C5593"/>
    <mergeCell ref="B5732:C5732"/>
    <mergeCell ref="B5729:C5729"/>
    <mergeCell ref="B5684:C5684"/>
    <mergeCell ref="B5789:C5789"/>
    <mergeCell ref="B5677:C5677"/>
    <mergeCell ref="B4979:C4979"/>
    <mergeCell ref="B5545:C5545"/>
    <mergeCell ref="B5496:C5496"/>
    <mergeCell ref="B5485:C5485"/>
    <mergeCell ref="B5421:C5421"/>
    <mergeCell ref="B5446:C5446"/>
    <mergeCell ref="B5451:C5451"/>
    <mergeCell ref="B5437:C5437"/>
    <mergeCell ref="B5489:C5489"/>
    <mergeCell ref="B5392:C5392"/>
    <mergeCell ref="B4990:C4990"/>
    <mergeCell ref="B5182:C5182"/>
    <mergeCell ref="B4996:C4996"/>
    <mergeCell ref="B5155:C5155"/>
    <mergeCell ref="B5460:C5460"/>
    <mergeCell ref="B5461:C5461"/>
    <mergeCell ref="B5168:C5168"/>
    <mergeCell ref="B5142:C5142"/>
    <mergeCell ref="B5419:C5419"/>
    <mergeCell ref="B5526:C5526"/>
    <mergeCell ref="B5363:C5363"/>
    <mergeCell ref="B5223:C5223"/>
    <mergeCell ref="B3955:C3955"/>
    <mergeCell ref="B5360:C5360"/>
    <mergeCell ref="B5506:C5506"/>
    <mergeCell ref="B5507:C5507"/>
    <mergeCell ref="B4036:C4036"/>
    <mergeCell ref="B5087:C5087"/>
    <mergeCell ref="B5323:C5323"/>
    <mergeCell ref="B5256:C5256"/>
    <mergeCell ref="B5249:C5249"/>
    <mergeCell ref="B5233:C5233"/>
    <mergeCell ref="B4022:C4022"/>
    <mergeCell ref="B4154:C4154"/>
    <mergeCell ref="B4414:C4414"/>
    <mergeCell ref="B4712:C4712"/>
    <mergeCell ref="B4636:C4636"/>
    <mergeCell ref="B4630:C4630"/>
    <mergeCell ref="B5266:C5266"/>
    <mergeCell ref="B5287:C5287"/>
    <mergeCell ref="B4951:C4951"/>
    <mergeCell ref="B5079:C5079"/>
    <mergeCell ref="B4047:C4047"/>
    <mergeCell ref="B4132:C4132"/>
    <mergeCell ref="B4955:C4955"/>
    <mergeCell ref="B5070:C5070"/>
    <mergeCell ref="B4390:C4390"/>
    <mergeCell ref="B4090:C4090"/>
    <mergeCell ref="B4533:C4533"/>
    <mergeCell ref="B4530:C4530"/>
    <mergeCell ref="B4799:C4799"/>
    <mergeCell ref="B4528:C4528"/>
    <mergeCell ref="B4456:C4456"/>
    <mergeCell ref="B4519:C4519"/>
    <mergeCell ref="B4512:C4512"/>
    <mergeCell ref="B4486:C4486"/>
    <mergeCell ref="B4134:C4134"/>
    <mergeCell ref="B4180:C4180"/>
    <mergeCell ref="B4160:C4160"/>
    <mergeCell ref="B4635:C4635"/>
    <mergeCell ref="B4930:C4930"/>
    <mergeCell ref="B4924:C4924"/>
    <mergeCell ref="B4905:C4905"/>
    <mergeCell ref="B4919:C4919"/>
    <mergeCell ref="B4597:C4597"/>
    <mergeCell ref="B4570:C4570"/>
    <mergeCell ref="B4622:C4622"/>
    <mergeCell ref="B4655:C4655"/>
    <mergeCell ref="B4738:C4738"/>
    <mergeCell ref="B4745:C4745"/>
    <mergeCell ref="B4723:C4723"/>
    <mergeCell ref="B4876:C4876"/>
    <mergeCell ref="B4868:C4868"/>
    <mergeCell ref="B4619:C4619"/>
    <mergeCell ref="B4674:C4674"/>
    <mergeCell ref="B4813:C4813"/>
    <mergeCell ref="B4859:C4859"/>
    <mergeCell ref="B4814:C4814"/>
    <mergeCell ref="B4843:C4843"/>
    <mergeCell ref="B4822:C4822"/>
    <mergeCell ref="B4815:C4815"/>
    <mergeCell ref="B4664:C4664"/>
    <mergeCell ref="B4691:C4691"/>
    <mergeCell ref="B4770:C4770"/>
    <mergeCell ref="B4756:C4756"/>
    <mergeCell ref="B4783:C4783"/>
    <mergeCell ref="B4812:C4812"/>
    <mergeCell ref="B4396:C4396"/>
    <mergeCell ref="B4447:C4447"/>
    <mergeCell ref="B4460:C4460"/>
    <mergeCell ref="B4158:C4158"/>
    <mergeCell ref="B4270:C4270"/>
    <mergeCell ref="B4474:C4474"/>
    <mergeCell ref="B4531:C4531"/>
    <mergeCell ref="B4499:C4499"/>
    <mergeCell ref="B4548:C4548"/>
    <mergeCell ref="B4521:C4521"/>
    <mergeCell ref="B4525:C4525"/>
    <mergeCell ref="B3186:C3186"/>
    <mergeCell ref="B3347:C3347"/>
    <mergeCell ref="B3484:C3484"/>
    <mergeCell ref="B3305:C3305"/>
    <mergeCell ref="B3174:C3174"/>
    <mergeCell ref="B4789:C4789"/>
    <mergeCell ref="B4337:C4337"/>
    <mergeCell ref="B4225:C4225"/>
    <mergeCell ref="B3972:C3972"/>
    <mergeCell ref="B3970:C3970"/>
    <mergeCell ref="B3946:C3946"/>
    <mergeCell ref="B3879:C3879"/>
    <mergeCell ref="B3889:C3889"/>
    <mergeCell ref="B3344:C3344"/>
    <mergeCell ref="B3932:C3932"/>
    <mergeCell ref="B3974:C3974"/>
    <mergeCell ref="B3918:C3918"/>
    <mergeCell ref="B3897:C3897"/>
    <mergeCell ref="B3846:C3846"/>
    <mergeCell ref="B3999:C3999"/>
    <mergeCell ref="B3466:C3466"/>
    <mergeCell ref="B3842:C3842"/>
    <mergeCell ref="B4492:C4492"/>
    <mergeCell ref="B4487:C4487"/>
    <mergeCell ref="B2426:C2426"/>
    <mergeCell ref="B3942:C3942"/>
    <mergeCell ref="B4340:C4340"/>
    <mergeCell ref="B4381:C4381"/>
    <mergeCell ref="B4453:C4453"/>
    <mergeCell ref="B4212:C4212"/>
    <mergeCell ref="B4155:C4155"/>
    <mergeCell ref="B4118:C4118"/>
    <mergeCell ref="B4359:C4359"/>
    <mergeCell ref="B4362:C4362"/>
    <mergeCell ref="B4282:C4282"/>
    <mergeCell ref="B4320:C4320"/>
    <mergeCell ref="B4260:C4260"/>
    <mergeCell ref="B4346:C4346"/>
    <mergeCell ref="B4294:C4294"/>
    <mergeCell ref="B4085:C4085"/>
    <mergeCell ref="B4064:C4064"/>
    <mergeCell ref="B4199:C4199"/>
    <mergeCell ref="B3991:C3991"/>
    <mergeCell ref="B4012:C4012"/>
    <mergeCell ref="B3135:C3135"/>
    <mergeCell ref="B3145:C3145"/>
    <mergeCell ref="B3128:C3128"/>
    <mergeCell ref="B3261:C3261"/>
    <mergeCell ref="B3041:C3041"/>
    <mergeCell ref="B3067:C3067"/>
    <mergeCell ref="B2798:C2798"/>
    <mergeCell ref="B2855:C2855"/>
    <mergeCell ref="B3567:C3567"/>
    <mergeCell ref="B3811:C3811"/>
    <mergeCell ref="B3669:C3669"/>
    <mergeCell ref="B3616:C3616"/>
    <mergeCell ref="B3420:C3420"/>
    <mergeCell ref="B3289:C3289"/>
    <mergeCell ref="B3246:C3246"/>
    <mergeCell ref="B3391:C3391"/>
    <mergeCell ref="B3361:C3361"/>
    <mergeCell ref="B3322:C3322"/>
    <mergeCell ref="B3536:C3536"/>
    <mergeCell ref="B3734:C3734"/>
    <mergeCell ref="B3784:C3784"/>
    <mergeCell ref="B2927:C2927"/>
    <mergeCell ref="B2837:C2837"/>
    <mergeCell ref="B2810:C2810"/>
    <mergeCell ref="B3027:C3027"/>
    <mergeCell ref="B2928:C2928"/>
    <mergeCell ref="B2875:C2875"/>
    <mergeCell ref="B3050:C3050"/>
    <mergeCell ref="B2452:C2452"/>
    <mergeCell ref="B2583:C2583"/>
    <mergeCell ref="B2751:C2751"/>
    <mergeCell ref="B2917:C2917"/>
    <mergeCell ref="B2972:C2972"/>
    <mergeCell ref="B2879:C2879"/>
    <mergeCell ref="B2779:C2779"/>
    <mergeCell ref="B2733:C2733"/>
    <mergeCell ref="B2671:C2671"/>
    <mergeCell ref="B2717:C2717"/>
    <mergeCell ref="B2593:C2593"/>
    <mergeCell ref="B2611:C2611"/>
    <mergeCell ref="B2495:C2495"/>
    <mergeCell ref="B2747:C2747"/>
    <mergeCell ref="B2612:C2612"/>
    <mergeCell ref="B2570:C2570"/>
    <mergeCell ref="B2527:C2527"/>
    <mergeCell ref="B2571:C2571"/>
    <mergeCell ref="B2703:C2703"/>
    <mergeCell ref="B2716:C2716"/>
    <mergeCell ref="B2560:C2560"/>
    <mergeCell ref="B3068:C3068"/>
    <mergeCell ref="B3282:C3282"/>
    <mergeCell ref="B3092:C3092"/>
    <mergeCell ref="B2192:C2192"/>
    <mergeCell ref="B2172:C2172"/>
    <mergeCell ref="B2377:C2377"/>
    <mergeCell ref="B2361:C2361"/>
    <mergeCell ref="B2155:C2155"/>
    <mergeCell ref="B2409:C2409"/>
    <mergeCell ref="B2408:C2408"/>
    <mergeCell ref="B2232:C2232"/>
    <mergeCell ref="B2286:C2286"/>
    <mergeCell ref="B2322:C2322"/>
    <mergeCell ref="B2331:C2331"/>
    <mergeCell ref="B2220:C2220"/>
    <mergeCell ref="B2200:C2200"/>
    <mergeCell ref="B2307:C2307"/>
    <mergeCell ref="B2422:C2422"/>
    <mergeCell ref="B2475:C2475"/>
    <mergeCell ref="B2827:C2827"/>
    <mergeCell ref="B2768:C2768"/>
    <mergeCell ref="B2396:C2396"/>
    <mergeCell ref="B2883:C2883"/>
    <mergeCell ref="B2451:C2451"/>
    <mergeCell ref="B1904:C1904"/>
    <mergeCell ref="B1974:C1974"/>
    <mergeCell ref="B2043:C2043"/>
    <mergeCell ref="B2111:C2111"/>
    <mergeCell ref="B2069:C2069"/>
    <mergeCell ref="B2141:C2141"/>
    <mergeCell ref="B2005:C2005"/>
    <mergeCell ref="B1962:C1962"/>
    <mergeCell ref="B1965:C1965"/>
    <mergeCell ref="B2019:C2019"/>
    <mergeCell ref="B1932:C1932"/>
    <mergeCell ref="B1953:C1953"/>
    <mergeCell ref="B2048:C2048"/>
    <mergeCell ref="B2084:C2084"/>
    <mergeCell ref="B2120:C2120"/>
    <mergeCell ref="B2053:C2053"/>
    <mergeCell ref="B1218:C1218"/>
    <mergeCell ref="B1510:C1510"/>
    <mergeCell ref="B1630:C1630"/>
    <mergeCell ref="B1492:C1492"/>
    <mergeCell ref="B1321:C1321"/>
    <mergeCell ref="B1345:C1345"/>
    <mergeCell ref="B1366:C1366"/>
    <mergeCell ref="B1570:C1570"/>
    <mergeCell ref="B1453:C1453"/>
    <mergeCell ref="B1404:C1404"/>
    <mergeCell ref="B1389:C1389"/>
    <mergeCell ref="B1379:C1379"/>
    <mergeCell ref="B1519:C1519"/>
    <mergeCell ref="B1229:C1229"/>
    <mergeCell ref="B1432:C1432"/>
    <mergeCell ref="B1285:C1285"/>
    <mergeCell ref="B1258:C1258"/>
    <mergeCell ref="B1234:C1234"/>
    <mergeCell ref="B1836:C1836"/>
    <mergeCell ref="B1683:C1683"/>
    <mergeCell ref="B1891:C1891"/>
    <mergeCell ref="B1944:C1944"/>
    <mergeCell ref="B2025:C2025"/>
    <mergeCell ref="B2016:C2016"/>
    <mergeCell ref="B1912:C1912"/>
    <mergeCell ref="B1924:C1924"/>
    <mergeCell ref="B1675:C1675"/>
    <mergeCell ref="B1756:C1756"/>
    <mergeCell ref="B1882:C1882"/>
    <mergeCell ref="B1766:C1766"/>
    <mergeCell ref="B1871:C1871"/>
    <mergeCell ref="B1708:C1708"/>
    <mergeCell ref="B1777:C1777"/>
    <mergeCell ref="B1798:C1798"/>
    <mergeCell ref="B1827:C1827"/>
    <mergeCell ref="B1695:C1695"/>
    <mergeCell ref="B1807:C1807"/>
    <mergeCell ref="B1842:C1842"/>
    <mergeCell ref="B1746:C1746"/>
    <mergeCell ref="B1778:C1778"/>
    <mergeCell ref="B1718:C1718"/>
    <mergeCell ref="B1742:C1742"/>
    <mergeCell ref="I309:K309"/>
    <mergeCell ref="I312:J312"/>
    <mergeCell ref="I313:J313"/>
    <mergeCell ref="I319:J319"/>
    <mergeCell ref="B444:C444"/>
    <mergeCell ref="B431:C431"/>
    <mergeCell ref="B407:C407"/>
    <mergeCell ref="I310:J310"/>
    <mergeCell ref="I311:J311"/>
    <mergeCell ref="B386:C386"/>
    <mergeCell ref="B359:C359"/>
    <mergeCell ref="B710:C710"/>
    <mergeCell ref="B786:C786"/>
    <mergeCell ref="B748:C748"/>
    <mergeCell ref="B912:C912"/>
    <mergeCell ref="B964:C964"/>
    <mergeCell ref="B1090:C1090"/>
    <mergeCell ref="B1297:C1297"/>
    <mergeCell ref="B1273:C1273"/>
    <mergeCell ref="B1312:C1312"/>
    <mergeCell ref="B727:C727"/>
    <mergeCell ref="B1210:C1210"/>
    <mergeCell ref="B818:C818"/>
    <mergeCell ref="B760:C760"/>
    <mergeCell ref="B851:C851"/>
    <mergeCell ref="B860:C860"/>
    <mergeCell ref="B1169:C1169"/>
    <mergeCell ref="B844:C844"/>
    <mergeCell ref="B892:C892"/>
    <mergeCell ref="B942:C942"/>
    <mergeCell ref="B880:C880"/>
    <mergeCell ref="B975:C975"/>
    <mergeCell ref="B1010:C1010"/>
    <mergeCell ref="B1131:C1131"/>
    <mergeCell ref="B944:C944"/>
    <mergeCell ref="B957:C957"/>
    <mergeCell ref="B984:C984"/>
    <mergeCell ref="B1021:C1021"/>
    <mergeCell ref="B1001:C1001"/>
    <mergeCell ref="B1009:C1009"/>
    <mergeCell ref="B1075:C1075"/>
    <mergeCell ref="B1121:C1121"/>
    <mergeCell ref="B1195:C1195"/>
    <mergeCell ref="B1060:C1060"/>
    <mergeCell ref="B1158:C1158"/>
    <mergeCell ref="A2:E2"/>
    <mergeCell ref="B44:C44"/>
    <mergeCell ref="B169:C169"/>
    <mergeCell ref="B170:C170"/>
    <mergeCell ref="B214:C214"/>
    <mergeCell ref="B280:C280"/>
    <mergeCell ref="B662:C662"/>
    <mergeCell ref="B607:C607"/>
    <mergeCell ref="B602:C602"/>
    <mergeCell ref="B588:C588"/>
    <mergeCell ref="B566:C566"/>
    <mergeCell ref="B503:C503"/>
    <mergeCell ref="B476:C476"/>
    <mergeCell ref="B509:C509"/>
    <mergeCell ref="B519:C519"/>
    <mergeCell ref="B539:C539"/>
    <mergeCell ref="B552:C552"/>
    <mergeCell ref="B1666:C1666"/>
    <mergeCell ref="B1463:C1463"/>
    <mergeCell ref="B1414:C1414"/>
    <mergeCell ref="B1551:C1551"/>
    <mergeCell ref="B1598:C1598"/>
    <mergeCell ref="B1467:C1467"/>
    <mergeCell ref="B1618:C1618"/>
    <mergeCell ref="B1612:C1612"/>
    <mergeCell ref="B1584:C1584"/>
    <mergeCell ref="B1650:C1650"/>
    <mergeCell ref="B1500:C1500"/>
    <mergeCell ref="B1483:C1483"/>
    <mergeCell ref="B1534:C1534"/>
    <mergeCell ref="B1642:C1642"/>
    <mergeCell ref="B1631:C1631"/>
    <mergeCell ref="B3074:C3074"/>
    <mergeCell ref="B3635:C3635"/>
    <mergeCell ref="B3795:C3795"/>
    <mergeCell ref="B3825:C3825"/>
    <mergeCell ref="B3828:C3828"/>
    <mergeCell ref="B3717:C3717"/>
    <mergeCell ref="B3699:C3699"/>
    <mergeCell ref="B3545:C3545"/>
    <mergeCell ref="B3743:C3743"/>
    <mergeCell ref="B3773:C3773"/>
    <mergeCell ref="B3816:C3816"/>
    <mergeCell ref="B3555:C3555"/>
    <mergeCell ref="B3233:C3233"/>
    <mergeCell ref="B3377:C3377"/>
    <mergeCell ref="B3256:C3256"/>
    <mergeCell ref="B3655:C3655"/>
    <mergeCell ref="B3521:C3521"/>
    <mergeCell ref="B3510:C3510"/>
    <mergeCell ref="B3114:C3114"/>
    <mergeCell ref="B3160:C3160"/>
    <mergeCell ref="B3190:C3190"/>
    <mergeCell ref="B3170:C3170"/>
    <mergeCell ref="B3213:C3213"/>
    <mergeCell ref="B3201:C3201"/>
    <mergeCell ref="B7519:D7519"/>
    <mergeCell ref="B7374:D7374"/>
    <mergeCell ref="B7367:D7367"/>
    <mergeCell ref="B7508:D7508"/>
    <mergeCell ref="B7498:D7498"/>
    <mergeCell ref="B7485:D7485"/>
    <mergeCell ref="B7462:D7462"/>
    <mergeCell ref="B7454:D7454"/>
    <mergeCell ref="B7272:D7272"/>
    <mergeCell ref="B7292:D7292"/>
    <mergeCell ref="B7691:D7691"/>
    <mergeCell ref="B7595:D7595"/>
    <mergeCell ref="B7682:D7682"/>
    <mergeCell ref="B7548:D7548"/>
    <mergeCell ref="B7524:D7524"/>
    <mergeCell ref="B7533:D7533"/>
    <mergeCell ref="B7534:D7534"/>
    <mergeCell ref="B7536:D7536"/>
    <mergeCell ref="B7642:D7642"/>
    <mergeCell ref="B7664:D7664"/>
    <mergeCell ref="B7671:D7671"/>
    <mergeCell ref="B7678:D7678"/>
    <mergeCell ref="B7624:D7624"/>
    <mergeCell ref="B7599:D7599"/>
    <mergeCell ref="B7661:D7661"/>
    <mergeCell ref="B7658:D7658"/>
    <mergeCell ref="B7667:D7667"/>
    <mergeCell ref="B7809:D7809"/>
    <mergeCell ref="B7898:D7898"/>
    <mergeCell ref="B7853:D7853"/>
    <mergeCell ref="B7839:D7839"/>
    <mergeCell ref="B7836:D7836"/>
    <mergeCell ref="B7684:D7684"/>
    <mergeCell ref="B7754:D7754"/>
    <mergeCell ref="B7780:D7780"/>
    <mergeCell ref="B7784:D7784"/>
    <mergeCell ref="B7789:D7789"/>
    <mergeCell ref="B7772:D7772"/>
    <mergeCell ref="B7774:D7774"/>
    <mergeCell ref="B7741:D7741"/>
    <mergeCell ref="B7804:D7804"/>
    <mergeCell ref="B7766:D7766"/>
    <mergeCell ref="B7776:D7776"/>
    <mergeCell ref="B7688:D7688"/>
    <mergeCell ref="B7759:D7759"/>
    <mergeCell ref="B7745:D7745"/>
    <mergeCell ref="B7730:D7730"/>
    <mergeCell ref="B7720:D7720"/>
    <mergeCell ref="B7717:D7717"/>
    <mergeCell ref="B7712:D7712"/>
    <mergeCell ref="B7701:D7701"/>
    <mergeCell ref="B7923:D7923"/>
    <mergeCell ref="B7925:D7925"/>
    <mergeCell ref="B7905:D7905"/>
    <mergeCell ref="B7886:D7886"/>
    <mergeCell ref="B7874:D7874"/>
    <mergeCell ref="B7833:D7833"/>
    <mergeCell ref="B7820:D7820"/>
    <mergeCell ref="B7823:D7823"/>
    <mergeCell ref="B7896:D7896"/>
    <mergeCell ref="B7985:D7985"/>
    <mergeCell ref="B7976:D7976"/>
    <mergeCell ref="B8097:D8097"/>
    <mergeCell ref="B7968:D7968"/>
    <mergeCell ref="B8001:D8001"/>
    <mergeCell ref="B7961:D7961"/>
    <mergeCell ref="B7950:D7950"/>
    <mergeCell ref="B7935:D7935"/>
    <mergeCell ref="B7941:D7941"/>
    <mergeCell ref="B8074:D8074"/>
    <mergeCell ref="B8068:D8068"/>
    <mergeCell ref="B8069:D8069"/>
    <mergeCell ref="B8020:D8020"/>
    <mergeCell ref="B8037:D8037"/>
    <mergeCell ref="B8054:D8054"/>
    <mergeCell ref="B8122:D8122"/>
    <mergeCell ref="B8219:D8219"/>
    <mergeCell ref="B8501:D8501"/>
    <mergeCell ref="B8452:D8452"/>
    <mergeCell ref="B8437:D8437"/>
    <mergeCell ref="B8391:D8391"/>
    <mergeCell ref="B8293:D8293"/>
    <mergeCell ref="B8277:D8277"/>
    <mergeCell ref="B8269:D8269"/>
    <mergeCell ref="B8206:D8206"/>
    <mergeCell ref="B8176:D8176"/>
    <mergeCell ref="B8144:D8144"/>
    <mergeCell ref="B8289:D8289"/>
    <mergeCell ref="B8290:D8290"/>
    <mergeCell ref="B8267:D8267"/>
    <mergeCell ref="B8253:D8253"/>
    <mergeCell ref="B8374:D8374"/>
    <mergeCell ref="B8381:D8381"/>
    <mergeCell ref="B8371:D8371"/>
    <mergeCell ref="B8348:D8348"/>
    <mergeCell ref="B8349:D8349"/>
    <mergeCell ref="B8321:D8321"/>
    <mergeCell ref="B8306:D8306"/>
    <mergeCell ref="B8244:D8244"/>
    <mergeCell ref="B8529:D8529"/>
    <mergeCell ref="B8698:D8698"/>
    <mergeCell ref="B8519:D8519"/>
    <mergeCell ref="B8663:D8663"/>
    <mergeCell ref="B8673:D8673"/>
    <mergeCell ref="B8140:D8140"/>
    <mergeCell ref="B8132:D8132"/>
    <mergeCell ref="B8245:D8245"/>
    <mergeCell ref="B8246:D8246"/>
    <mergeCell ref="B8215:D8215"/>
    <mergeCell ref="B8203:D8203"/>
    <mergeCell ref="B8182:D8182"/>
    <mergeCell ref="B8510:D8510"/>
    <mergeCell ref="B8630:D8630"/>
    <mergeCell ref="B8612:D8612"/>
    <mergeCell ref="B8587:D8587"/>
    <mergeCell ref="B8570:D8570"/>
    <mergeCell ref="B8513:D8513"/>
    <mergeCell ref="B8494:D8494"/>
    <mergeCell ref="B8476:D8476"/>
    <mergeCell ref="B8540:D8540"/>
    <mergeCell ref="B8558:D8558"/>
    <mergeCell ref="B8596:D8596"/>
    <mergeCell ref="B8634:D8634"/>
    <mergeCell ref="B8651:D8651"/>
    <mergeCell ref="B8901:D8901"/>
    <mergeCell ref="B8894:D8894"/>
    <mergeCell ref="B8907:D8907"/>
    <mergeCell ref="B8636:D8636"/>
    <mergeCell ref="B8830:D8830"/>
    <mergeCell ref="B8721:D8721"/>
    <mergeCell ref="B8736:D8736"/>
    <mergeCell ref="B8742:D8742"/>
    <mergeCell ref="B8749:D8749"/>
    <mergeCell ref="B8884:D8884"/>
    <mergeCell ref="B8866:D8866"/>
    <mergeCell ref="B8867:D8867"/>
    <mergeCell ref="B8868:D8868"/>
    <mergeCell ref="B8859:D8859"/>
    <mergeCell ref="B8840:D8840"/>
    <mergeCell ref="B9080:D9080"/>
    <mergeCell ref="B9061:D9061"/>
    <mergeCell ref="B9063:D9063"/>
    <mergeCell ref="B9065:D9065"/>
    <mergeCell ref="B9073:D9073"/>
    <mergeCell ref="B9044:D9044"/>
    <mergeCell ref="B9036:D9036"/>
    <mergeCell ref="B9013:D9013"/>
    <mergeCell ref="B9021:D9021"/>
    <mergeCell ref="B9019:D9019"/>
    <mergeCell ref="I8832:J8832"/>
    <mergeCell ref="B8836:D8836"/>
    <mergeCell ref="B8805:D8805"/>
    <mergeCell ref="B8798:D8798"/>
    <mergeCell ref="B8705:D8705"/>
    <mergeCell ref="B8687:D8687"/>
    <mergeCell ref="B8930:D8930"/>
    <mergeCell ref="B8940:D8940"/>
    <mergeCell ref="B9003:D9003"/>
    <mergeCell ref="B8975:D8975"/>
    <mergeCell ref="B8976:D8976"/>
    <mergeCell ref="B8947:D8947"/>
    <mergeCell ref="B8992:D8992"/>
    <mergeCell ref="B8993:D8993"/>
    <mergeCell ref="B9102:D9102"/>
    <mergeCell ref="B9094:D9094"/>
    <mergeCell ref="B9314:D9314"/>
    <mergeCell ref="B9289:D9289"/>
    <mergeCell ref="B9166:D9166"/>
    <mergeCell ref="B9148:D9148"/>
    <mergeCell ref="B9135:D9135"/>
    <mergeCell ref="B9119:D9119"/>
    <mergeCell ref="B9226:D9226"/>
    <mergeCell ref="B9204:D9204"/>
    <mergeCell ref="B9211:D9211"/>
    <mergeCell ref="B9179:D9179"/>
    <mergeCell ref="B9109:D9109"/>
    <mergeCell ref="B9274:D9274"/>
    <mergeCell ref="B9263:D9263"/>
    <mergeCell ref="B9258:D9258"/>
    <mergeCell ref="B9235:D9235"/>
    <mergeCell ref="B9236:D9236"/>
    <mergeCell ref="B9237:D9237"/>
    <mergeCell ref="B9242:D9242"/>
    <mergeCell ref="B9197:D9197"/>
    <mergeCell ref="B9183:D9183"/>
    <mergeCell ref="B9249:D9249"/>
    <mergeCell ref="B9300:D9300"/>
    <mergeCell ref="B9365:D9365"/>
    <mergeCell ref="B9353:D9353"/>
    <mergeCell ref="H9400:I9400"/>
    <mergeCell ref="B9340:D9340"/>
    <mergeCell ref="B9341:D9341"/>
    <mergeCell ref="B9306:D9306"/>
    <mergeCell ref="B9310:D9310"/>
    <mergeCell ref="H9396:J9396"/>
    <mergeCell ref="H9397:I9397"/>
    <mergeCell ref="H9398:I9398"/>
    <mergeCell ref="H9399:I9399"/>
    <mergeCell ref="B9397:D9397"/>
    <mergeCell ref="B9380:D9380"/>
    <mergeCell ref="B9368:D9368"/>
    <mergeCell ref="B9419:D9419"/>
    <mergeCell ref="H9402:I9402"/>
    <mergeCell ref="B9587:D9587"/>
    <mergeCell ref="B9283:D9283"/>
    <mergeCell ref="B9287:D9287"/>
    <mergeCell ref="H9401:I9401"/>
    <mergeCell ref="H9403:I9403"/>
    <mergeCell ref="B9520:D9520"/>
    <mergeCell ref="B9556:D9556"/>
    <mergeCell ref="B9544:D9544"/>
    <mergeCell ref="B9538:D9538"/>
    <mergeCell ref="B9523:D9523"/>
    <mergeCell ref="B9496:D9496"/>
    <mergeCell ref="B9401:D9401"/>
    <mergeCell ref="B9410:D9410"/>
    <mergeCell ref="B9405:D9405"/>
    <mergeCell ref="B9483:D9483"/>
    <mergeCell ref="B9475:D9475"/>
    <mergeCell ref="B9476:D9476"/>
    <mergeCell ref="B9469:D9469"/>
    <mergeCell ref="B9448:D9448"/>
    <mergeCell ref="B9449:D9449"/>
    <mergeCell ref="B9439:D9439"/>
    <mergeCell ref="B9387:D9387"/>
    <mergeCell ref="B9579:D9579"/>
    <mergeCell ref="B9566:D9566"/>
    <mergeCell ref="B9690:D9690"/>
    <mergeCell ref="B9691:D9691"/>
    <mergeCell ref="B9525:D9525"/>
    <mergeCell ref="B9534:D9534"/>
    <mergeCell ref="H9535:I9535"/>
    <mergeCell ref="B9486:D9486"/>
    <mergeCell ref="B9606:D9606"/>
    <mergeCell ref="B9609:D9609"/>
    <mergeCell ref="B9724:D9724"/>
    <mergeCell ref="B9713:D9713"/>
    <mergeCell ref="B9709:D9709"/>
    <mergeCell ref="B9680:D9680"/>
    <mergeCell ref="B9670:D9670"/>
    <mergeCell ref="B9657:D9657"/>
    <mergeCell ref="B9620:D9620"/>
    <mergeCell ref="B9598:D9598"/>
    <mergeCell ref="B9591:D9591"/>
  </mergeCells>
  <dataValidations count="1">
    <dataValidation type="list" allowBlank="1" showInputMessage="1" showErrorMessage="1" sqref="G9730">
      <formula1>$B$9727:$B$9738</formula1>
    </dataValidation>
  </dataValidations>
  <printOptions horizontalCentered="1"/>
  <pageMargins left="0" right="0" top="0" bottom="0" header="0.3" footer="0.3"/>
  <pageSetup paperSize="9" scale="78" fitToHeight="19" orientation="portrait" r:id="rId1"/>
  <rowBreaks count="2" manualBreakCount="2">
    <brk id="4791" max="12" man="1"/>
    <brk id="8174" max="12" man="1"/>
  </rowBreaks>
  <colBreaks count="1" manualBreakCount="1">
    <brk id="6" max="8477" man="1"/>
  </colBreaks>
  <ignoredErrors>
    <ignoredError sqref="J9465" evalError="1"/>
    <ignoredError sqref="F6932 F8510 F8587 K9572:K9573 I9589 F3289 F3889 F4405 F4410" formula="1"/>
  </ignoredErrors>
  <drawing r:id="rId2"/>
  <legacy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0"/>
  <sheetViews>
    <sheetView topLeftCell="A16" zoomScale="115" zoomScaleNormal="115" workbookViewId="0">
      <selection sqref="A1:E1048576"/>
    </sheetView>
  </sheetViews>
  <sheetFormatPr defaultColWidth="8.85546875" defaultRowHeight="15" x14ac:dyDescent="0.25"/>
  <cols>
    <col min="1" max="1" width="12.42578125" style="5" customWidth="1"/>
    <col min="2" max="2" width="36.28515625" style="5" customWidth="1"/>
    <col min="3" max="3" width="11.5703125" style="5" bestFit="1" customWidth="1"/>
    <col min="4" max="4" width="12.42578125" style="10" bestFit="1" customWidth="1"/>
    <col min="5" max="5" width="11.28515625" style="6" customWidth="1"/>
    <col min="6" max="6" width="15.5703125" style="5" customWidth="1"/>
    <col min="7" max="7" width="11.140625" style="10" bestFit="1" customWidth="1"/>
    <col min="8" max="16384" width="8.85546875" style="5"/>
  </cols>
  <sheetData>
    <row r="1" spans="1:7" s="101" customFormat="1" ht="31.5" x14ac:dyDescent="0.25">
      <c r="A1" s="45" t="s">
        <v>1</v>
      </c>
      <c r="B1" s="45" t="s">
        <v>3</v>
      </c>
      <c r="C1" s="125" t="s">
        <v>4365</v>
      </c>
      <c r="D1" s="125" t="s">
        <v>4364</v>
      </c>
      <c r="E1" s="135" t="s">
        <v>4366</v>
      </c>
      <c r="G1" s="54"/>
    </row>
    <row r="2" spans="1:7" s="101" customFormat="1" ht="15.75" x14ac:dyDescent="0.25">
      <c r="A2" s="144"/>
      <c r="B2" s="40" t="s">
        <v>7500</v>
      </c>
      <c r="C2" s="126"/>
      <c r="D2" s="126">
        <v>1400</v>
      </c>
      <c r="E2" s="136">
        <f>D2</f>
        <v>1400</v>
      </c>
      <c r="G2" s="54"/>
    </row>
    <row r="3" spans="1:7" s="101" customFormat="1" ht="15.75" x14ac:dyDescent="0.25">
      <c r="A3" s="144"/>
      <c r="B3" s="127" t="s">
        <v>295</v>
      </c>
      <c r="C3" s="126"/>
      <c r="D3" s="126">
        <v>20000</v>
      </c>
      <c r="E3" s="136">
        <f>E2+D3-C3</f>
        <v>21400</v>
      </c>
      <c r="G3" s="54"/>
    </row>
    <row r="4" spans="1:7" s="101" customFormat="1" ht="15.75" x14ac:dyDescent="0.25">
      <c r="A4" s="204"/>
      <c r="B4" s="127" t="s">
        <v>3924</v>
      </c>
      <c r="C4" s="126">
        <v>22460</v>
      </c>
      <c r="D4" s="126"/>
      <c r="E4" s="136">
        <f>E3+D4-C4</f>
        <v>-1060</v>
      </c>
      <c r="G4" s="54"/>
    </row>
    <row r="5" spans="1:7" s="101" customFormat="1" ht="15.75" x14ac:dyDescent="0.25">
      <c r="A5" s="204"/>
      <c r="B5" s="127" t="s">
        <v>7613</v>
      </c>
      <c r="C5" s="126"/>
      <c r="D5" s="126">
        <v>2150</v>
      </c>
      <c r="E5" s="136">
        <f>E4+D5-C5</f>
        <v>1090</v>
      </c>
      <c r="G5" s="54"/>
    </row>
    <row r="6" spans="1:7" s="101" customFormat="1" ht="15.75" x14ac:dyDescent="0.25">
      <c r="A6" s="124"/>
      <c r="B6" s="127" t="s">
        <v>295</v>
      </c>
      <c r="C6" s="126"/>
      <c r="D6" s="126">
        <v>13000</v>
      </c>
      <c r="E6" s="136">
        <f>E5+D6-C6</f>
        <v>14090</v>
      </c>
      <c r="G6" s="54"/>
    </row>
    <row r="7" spans="1:7" s="101" customFormat="1" ht="15.75" x14ac:dyDescent="0.25">
      <c r="A7" s="144"/>
      <c r="B7" s="127" t="s">
        <v>3924</v>
      </c>
      <c r="C7" s="126">
        <v>14425</v>
      </c>
      <c r="D7" s="126"/>
      <c r="E7" s="136">
        <f>E6+D7-C7</f>
        <v>-335</v>
      </c>
      <c r="G7" s="54"/>
    </row>
    <row r="8" spans="1:7" s="101" customFormat="1" ht="15.75" x14ac:dyDescent="0.25">
      <c r="A8" s="124"/>
      <c r="B8" s="127" t="s">
        <v>7613</v>
      </c>
      <c r="C8" s="126"/>
      <c r="D8" s="126">
        <v>3000</v>
      </c>
      <c r="E8" s="136">
        <v>1900</v>
      </c>
      <c r="G8" s="54"/>
    </row>
    <row r="9" spans="1:7" s="101" customFormat="1" ht="15.75" x14ac:dyDescent="0.25">
      <c r="A9" s="204">
        <v>44257</v>
      </c>
      <c r="B9" s="127" t="s">
        <v>3924</v>
      </c>
      <c r="C9" s="126">
        <v>620</v>
      </c>
      <c r="D9" s="126"/>
      <c r="E9" s="136">
        <f t="shared" ref="E9:E24" si="0">E8-C9+D9</f>
        <v>1280</v>
      </c>
      <c r="G9" s="54"/>
    </row>
    <row r="10" spans="1:7" s="101" customFormat="1" ht="15.75" x14ac:dyDescent="0.25">
      <c r="A10" s="204">
        <v>44258</v>
      </c>
      <c r="B10" s="127" t="s">
        <v>295</v>
      </c>
      <c r="C10" s="126"/>
      <c r="D10" s="126">
        <v>7000</v>
      </c>
      <c r="E10" s="136">
        <f t="shared" si="0"/>
        <v>8280</v>
      </c>
      <c r="G10" s="54"/>
    </row>
    <row r="11" spans="1:7" s="101" customFormat="1" ht="15.75" x14ac:dyDescent="0.25">
      <c r="A11" s="204">
        <v>44260</v>
      </c>
      <c r="B11" s="127" t="s">
        <v>3924</v>
      </c>
      <c r="C11" s="126">
        <f>6460+250</f>
        <v>6710</v>
      </c>
      <c r="D11" s="126"/>
      <c r="E11" s="136">
        <f t="shared" si="0"/>
        <v>1570</v>
      </c>
      <c r="G11" s="54"/>
    </row>
    <row r="12" spans="1:7" ht="18.75" x14ac:dyDescent="0.3">
      <c r="A12" s="204">
        <v>44260</v>
      </c>
      <c r="B12" s="36" t="s">
        <v>295</v>
      </c>
      <c r="C12" s="8"/>
      <c r="D12" s="8">
        <v>2500</v>
      </c>
      <c r="E12" s="136">
        <f t="shared" si="0"/>
        <v>4070</v>
      </c>
      <c r="F12" s="101"/>
      <c r="G12" s="47"/>
    </row>
    <row r="13" spans="1:7" ht="18.75" x14ac:dyDescent="0.3">
      <c r="A13" s="204">
        <v>44264</v>
      </c>
      <c r="B13" s="36" t="s">
        <v>3924</v>
      </c>
      <c r="C13" s="8">
        <v>3790</v>
      </c>
      <c r="D13" s="8"/>
      <c r="E13" s="136">
        <f t="shared" si="0"/>
        <v>280</v>
      </c>
      <c r="G13" s="47"/>
    </row>
    <row r="14" spans="1:7" ht="18.75" x14ac:dyDescent="0.3">
      <c r="A14" s="204">
        <v>44264</v>
      </c>
      <c r="B14" s="36" t="s">
        <v>3924</v>
      </c>
      <c r="C14" s="8">
        <v>1760</v>
      </c>
      <c r="D14" s="8"/>
      <c r="E14" s="136">
        <f t="shared" si="0"/>
        <v>-1480</v>
      </c>
      <c r="G14" s="5"/>
    </row>
    <row r="15" spans="1:7" ht="18.75" x14ac:dyDescent="0.3">
      <c r="A15" s="204">
        <v>44264</v>
      </c>
      <c r="B15" s="36" t="s">
        <v>295</v>
      </c>
      <c r="C15" s="8"/>
      <c r="D15" s="8">
        <v>1480</v>
      </c>
      <c r="E15" s="136">
        <f t="shared" si="0"/>
        <v>0</v>
      </c>
      <c r="G15" s="47"/>
    </row>
    <row r="16" spans="1:7" ht="18.75" x14ac:dyDescent="0.3">
      <c r="A16" s="204">
        <v>44266</v>
      </c>
      <c r="B16" s="36" t="s">
        <v>295</v>
      </c>
      <c r="C16" s="8"/>
      <c r="D16" s="8">
        <v>15000</v>
      </c>
      <c r="E16" s="136">
        <f t="shared" si="0"/>
        <v>15000</v>
      </c>
      <c r="G16" s="5"/>
    </row>
    <row r="17" spans="1:7" x14ac:dyDescent="0.25">
      <c r="A17" s="204">
        <v>44271</v>
      </c>
      <c r="B17" s="34" t="s">
        <v>4390</v>
      </c>
      <c r="C17" s="8">
        <v>13800</v>
      </c>
      <c r="D17" s="14"/>
      <c r="E17" s="136">
        <f t="shared" si="0"/>
        <v>1200</v>
      </c>
      <c r="G17" s="5"/>
    </row>
    <row r="18" spans="1:7" x14ac:dyDescent="0.25">
      <c r="A18" s="204">
        <v>44271</v>
      </c>
      <c r="B18" s="34" t="s">
        <v>295</v>
      </c>
      <c r="C18" s="8"/>
      <c r="D18" s="14">
        <v>5000</v>
      </c>
      <c r="E18" s="136">
        <f t="shared" si="0"/>
        <v>6200</v>
      </c>
      <c r="G18" s="5"/>
    </row>
    <row r="19" spans="1:7" x14ac:dyDescent="0.25">
      <c r="A19" s="204">
        <v>44277</v>
      </c>
      <c r="B19" s="34" t="s">
        <v>295</v>
      </c>
      <c r="C19" s="8"/>
      <c r="D19" s="8">
        <v>24000</v>
      </c>
      <c r="E19" s="136">
        <f t="shared" si="0"/>
        <v>30200</v>
      </c>
      <c r="G19" s="5"/>
    </row>
    <row r="20" spans="1:7" ht="15.75" x14ac:dyDescent="0.25">
      <c r="A20" s="204">
        <v>44279</v>
      </c>
      <c r="B20" s="52" t="s">
        <v>4390</v>
      </c>
      <c r="C20" s="8">
        <v>20800</v>
      </c>
      <c r="D20" s="8"/>
      <c r="E20" s="136">
        <f t="shared" si="0"/>
        <v>9400</v>
      </c>
      <c r="F20" s="101"/>
    </row>
    <row r="21" spans="1:7" x14ac:dyDescent="0.25">
      <c r="A21" s="204">
        <v>44279</v>
      </c>
      <c r="B21" s="34" t="s">
        <v>7872</v>
      </c>
      <c r="C21" s="34">
        <v>3620</v>
      </c>
      <c r="D21" s="8"/>
      <c r="E21" s="136">
        <f t="shared" si="0"/>
        <v>5780</v>
      </c>
    </row>
    <row r="22" spans="1:7" x14ac:dyDescent="0.25">
      <c r="A22" s="204">
        <v>44281</v>
      </c>
      <c r="B22" s="34" t="s">
        <v>7876</v>
      </c>
      <c r="C22" s="34">
        <v>5740</v>
      </c>
      <c r="D22" s="8"/>
      <c r="E22" s="136">
        <v>0</v>
      </c>
    </row>
    <row r="23" spans="1:7" x14ac:dyDescent="0.25">
      <c r="A23" s="204">
        <v>44315</v>
      </c>
      <c r="B23" s="34" t="s">
        <v>295</v>
      </c>
      <c r="C23" s="34"/>
      <c r="D23" s="8">
        <v>5000</v>
      </c>
      <c r="E23" s="136">
        <f t="shared" si="0"/>
        <v>5000</v>
      </c>
    </row>
    <row r="24" spans="1:7" x14ac:dyDescent="0.25">
      <c r="A24" s="204">
        <v>44315</v>
      </c>
      <c r="B24" s="34" t="s">
        <v>3924</v>
      </c>
      <c r="C24" s="34">
        <v>3135</v>
      </c>
      <c r="D24" s="8"/>
      <c r="E24" s="136">
        <f t="shared" si="0"/>
        <v>1865</v>
      </c>
    </row>
    <row r="25" spans="1:7" ht="15.75" x14ac:dyDescent="0.25">
      <c r="A25" s="144"/>
      <c r="B25" s="34"/>
      <c r="C25" s="34"/>
      <c r="D25" s="8"/>
      <c r="E25" s="136" t="s">
        <v>4584</v>
      </c>
    </row>
    <row r="26" spans="1:7" ht="15.75" x14ac:dyDescent="0.25">
      <c r="A26" s="144"/>
      <c r="B26" s="34"/>
      <c r="C26" s="34"/>
      <c r="D26" s="8"/>
      <c r="E26" s="136"/>
    </row>
    <row r="27" spans="1:7" ht="15.75" x14ac:dyDescent="0.25">
      <c r="A27" s="144"/>
      <c r="B27" s="34"/>
      <c r="C27" s="34"/>
      <c r="D27" s="8"/>
      <c r="E27" s="136"/>
      <c r="F27" s="101"/>
    </row>
    <row r="28" spans="1:7" ht="15.75" x14ac:dyDescent="0.25">
      <c r="A28" s="144"/>
      <c r="B28" s="34"/>
      <c r="C28" s="34"/>
      <c r="D28" s="8"/>
      <c r="E28" s="136"/>
      <c r="F28" s="101"/>
    </row>
    <row r="29" spans="1:7" ht="15.75" x14ac:dyDescent="0.25">
      <c r="A29" s="144"/>
      <c r="B29" s="34"/>
      <c r="C29" s="34"/>
      <c r="D29" s="8"/>
      <c r="E29" s="136"/>
    </row>
    <row r="30" spans="1:7" ht="15.75" x14ac:dyDescent="0.25">
      <c r="A30" s="144"/>
      <c r="B30" s="34"/>
      <c r="C30" s="34"/>
      <c r="D30" s="8"/>
      <c r="E30" s="136"/>
    </row>
    <row r="31" spans="1:7" ht="15.75" x14ac:dyDescent="0.25">
      <c r="A31" s="144"/>
      <c r="B31" s="34"/>
      <c r="C31" s="34"/>
      <c r="D31" s="8"/>
      <c r="E31" s="136"/>
    </row>
    <row r="32" spans="1:7" ht="15.75" x14ac:dyDescent="0.25">
      <c r="A32" s="144"/>
      <c r="B32" s="34"/>
      <c r="C32" s="34"/>
      <c r="D32" s="8"/>
      <c r="E32" s="136"/>
    </row>
    <row r="33" spans="1:5" ht="15.75" x14ac:dyDescent="0.25">
      <c r="A33" s="144"/>
      <c r="B33" s="52"/>
      <c r="C33" s="34"/>
      <c r="D33" s="8"/>
      <c r="E33" s="136"/>
    </row>
    <row r="34" spans="1:5" ht="15.75" x14ac:dyDescent="0.25">
      <c r="A34" s="144"/>
      <c r="B34" s="34"/>
      <c r="C34" s="46"/>
      <c r="D34" s="8"/>
      <c r="E34" s="136"/>
    </row>
    <row r="35" spans="1:5" ht="15.75" x14ac:dyDescent="0.25">
      <c r="A35" s="144"/>
      <c r="B35" s="52"/>
      <c r="C35" s="52"/>
      <c r="D35" s="8"/>
      <c r="E35" s="136"/>
    </row>
    <row r="36" spans="1:5" x14ac:dyDescent="0.25">
      <c r="A36" s="34"/>
      <c r="B36" s="52"/>
      <c r="C36" s="52"/>
      <c r="D36" s="8"/>
      <c r="E36" s="136"/>
    </row>
    <row r="37" spans="1:5" x14ac:dyDescent="0.25">
      <c r="B37" s="48"/>
      <c r="E37" s="136"/>
    </row>
    <row r="38" spans="1:5" x14ac:dyDescent="0.25">
      <c r="B38" s="48"/>
      <c r="E38" s="136"/>
    </row>
    <row r="39" spans="1:5" x14ac:dyDescent="0.25">
      <c r="B39" s="48"/>
      <c r="E39" s="136"/>
    </row>
    <row r="40" spans="1:5" x14ac:dyDescent="0.25">
      <c r="B40" s="48"/>
      <c r="E40" s="150"/>
    </row>
    <row r="41" spans="1:5" x14ac:dyDescent="0.25">
      <c r="A41" s="124"/>
      <c r="B41" s="52"/>
      <c r="C41" s="34"/>
      <c r="D41" s="8"/>
      <c r="E41" s="136"/>
    </row>
    <row r="42" spans="1:5" x14ac:dyDescent="0.25">
      <c r="A42" s="124"/>
      <c r="B42" s="52"/>
      <c r="C42" s="34"/>
      <c r="D42" s="8"/>
      <c r="E42" s="136"/>
    </row>
    <row r="43" spans="1:5" x14ac:dyDescent="0.25">
      <c r="A43" s="124"/>
      <c r="B43" s="52"/>
      <c r="C43" s="34"/>
      <c r="D43" s="8"/>
      <c r="E43" s="136"/>
    </row>
    <row r="44" spans="1:5" x14ac:dyDescent="0.25">
      <c r="A44" s="124"/>
      <c r="B44" s="52"/>
      <c r="C44" s="8"/>
      <c r="D44" s="8"/>
      <c r="E44" s="136"/>
    </row>
    <row r="45" spans="1:5" x14ac:dyDescent="0.25">
      <c r="A45" s="124"/>
      <c r="B45" s="52"/>
      <c r="C45" s="8"/>
      <c r="D45" s="8"/>
      <c r="E45" s="136"/>
    </row>
    <row r="46" spans="1:5" x14ac:dyDescent="0.25">
      <c r="A46" s="124"/>
      <c r="B46" s="52"/>
      <c r="C46" s="8"/>
      <c r="D46" s="8"/>
      <c r="E46" s="136"/>
    </row>
    <row r="47" spans="1:5" x14ac:dyDescent="0.25">
      <c r="A47" s="124"/>
      <c r="B47" s="52"/>
      <c r="C47" s="8"/>
      <c r="D47" s="8"/>
      <c r="E47" s="136"/>
    </row>
    <row r="48" spans="1:5" x14ac:dyDescent="0.25">
      <c r="A48" s="124"/>
      <c r="B48" s="52"/>
      <c r="C48" s="8"/>
      <c r="D48" s="8"/>
      <c r="E48" s="136"/>
    </row>
    <row r="49" spans="1:5" x14ac:dyDescent="0.25">
      <c r="A49" s="124"/>
      <c r="B49" s="52"/>
      <c r="C49" s="8"/>
      <c r="D49" s="8"/>
      <c r="E49" s="136"/>
    </row>
    <row r="50" spans="1:5" x14ac:dyDescent="0.25">
      <c r="A50" s="124"/>
      <c r="B50" s="52"/>
      <c r="C50" s="8"/>
      <c r="D50" s="8"/>
      <c r="E50" s="136"/>
    </row>
    <row r="51" spans="1:5" x14ac:dyDescent="0.25">
      <c r="A51" s="124"/>
      <c r="B51" s="52"/>
      <c r="C51" s="8"/>
      <c r="D51" s="8"/>
      <c r="E51" s="136"/>
    </row>
    <row r="52" spans="1:5" x14ac:dyDescent="0.25">
      <c r="A52" s="124"/>
      <c r="B52" s="52"/>
      <c r="C52" s="8"/>
      <c r="D52" s="8"/>
      <c r="E52" s="136"/>
    </row>
    <row r="53" spans="1:5" x14ac:dyDescent="0.25">
      <c r="A53" s="124"/>
      <c r="B53" s="52"/>
      <c r="C53" s="8"/>
      <c r="D53" s="8"/>
      <c r="E53" s="136"/>
    </row>
    <row r="54" spans="1:5" x14ac:dyDescent="0.25">
      <c r="A54" s="124"/>
      <c r="B54" s="52"/>
      <c r="C54" s="8"/>
      <c r="D54" s="8"/>
      <c r="E54" s="136"/>
    </row>
    <row r="55" spans="1:5" x14ac:dyDescent="0.25">
      <c r="A55" s="124"/>
      <c r="B55" s="52"/>
      <c r="C55" s="8"/>
      <c r="D55" s="8"/>
      <c r="E55" s="136"/>
    </row>
    <row r="56" spans="1:5" x14ac:dyDescent="0.25">
      <c r="A56" s="124"/>
      <c r="B56" s="52"/>
      <c r="C56" s="8"/>
      <c r="D56" s="8"/>
      <c r="E56" s="136"/>
    </row>
    <row r="57" spans="1:5" x14ac:dyDescent="0.25">
      <c r="A57" s="124"/>
      <c r="B57" s="34"/>
      <c r="C57" s="8"/>
      <c r="D57" s="8"/>
      <c r="E57" s="136"/>
    </row>
    <row r="58" spans="1:5" x14ac:dyDescent="0.25">
      <c r="A58" s="124"/>
      <c r="B58" s="34"/>
      <c r="C58" s="8"/>
      <c r="D58" s="8"/>
      <c r="E58" s="136"/>
    </row>
    <row r="59" spans="1:5" x14ac:dyDescent="0.25">
      <c r="A59" s="124"/>
      <c r="B59" s="34"/>
      <c r="C59" s="8"/>
      <c r="D59" s="8"/>
      <c r="E59" s="136"/>
    </row>
    <row r="60" spans="1:5" x14ac:dyDescent="0.25">
      <c r="A60" s="124"/>
      <c r="B60" s="34"/>
      <c r="C60" s="8"/>
      <c r="D60" s="8"/>
      <c r="E60" s="136"/>
    </row>
    <row r="61" spans="1:5" x14ac:dyDescent="0.25">
      <c r="A61" s="124"/>
      <c r="B61" s="34"/>
      <c r="C61" s="8"/>
      <c r="D61" s="8"/>
      <c r="E61" s="136"/>
    </row>
    <row r="62" spans="1:5" x14ac:dyDescent="0.25">
      <c r="A62" s="124"/>
      <c r="B62" s="34"/>
      <c r="C62" s="8"/>
      <c r="D62" s="8"/>
      <c r="E62" s="136"/>
    </row>
    <row r="63" spans="1:5" x14ac:dyDescent="0.25">
      <c r="A63" s="124"/>
      <c r="B63" s="34"/>
      <c r="C63" s="8"/>
      <c r="D63" s="8"/>
      <c r="E63" s="136"/>
    </row>
    <row r="64" spans="1:5" x14ac:dyDescent="0.25">
      <c r="A64" s="124"/>
      <c r="B64" s="52"/>
      <c r="C64" s="8"/>
      <c r="D64" s="8"/>
      <c r="E64" s="136"/>
    </row>
    <row r="65" spans="1:5" x14ac:dyDescent="0.25">
      <c r="A65" s="124"/>
      <c r="B65" s="34"/>
      <c r="C65" s="8"/>
      <c r="D65" s="8"/>
      <c r="E65" s="136"/>
    </row>
    <row r="66" spans="1:5" x14ac:dyDescent="0.25">
      <c r="A66" s="124"/>
      <c r="B66" s="34"/>
      <c r="C66" s="8"/>
      <c r="D66" s="8"/>
      <c r="E66" s="136"/>
    </row>
    <row r="67" spans="1:5" x14ac:dyDescent="0.25">
      <c r="A67" s="124"/>
      <c r="B67" s="34"/>
      <c r="C67" s="8"/>
      <c r="D67" s="8"/>
      <c r="E67" s="136"/>
    </row>
    <row r="68" spans="1:5" x14ac:dyDescent="0.25">
      <c r="A68" s="124"/>
      <c r="B68" s="34"/>
      <c r="C68" s="8"/>
      <c r="D68" s="8"/>
      <c r="E68" s="136"/>
    </row>
    <row r="69" spans="1:5" x14ac:dyDescent="0.25">
      <c r="A69" s="124"/>
      <c r="B69" s="34"/>
      <c r="C69" s="8"/>
      <c r="D69" s="8"/>
      <c r="E69" s="136"/>
    </row>
    <row r="70" spans="1:5" x14ac:dyDescent="0.25">
      <c r="A70" s="124"/>
      <c r="B70" s="34"/>
      <c r="C70" s="8"/>
      <c r="D70" s="8"/>
      <c r="E70" s="136"/>
    </row>
    <row r="71" spans="1:5" x14ac:dyDescent="0.25">
      <c r="A71" s="124"/>
      <c r="B71" s="34"/>
      <c r="C71" s="8"/>
      <c r="D71" s="8"/>
      <c r="E71" s="136"/>
    </row>
    <row r="72" spans="1:5" x14ac:dyDescent="0.25">
      <c r="A72" s="124"/>
      <c r="B72" s="52"/>
      <c r="C72" s="8"/>
      <c r="D72" s="8"/>
      <c r="E72" s="136"/>
    </row>
    <row r="73" spans="1:5" x14ac:dyDescent="0.25">
      <c r="A73" s="124"/>
      <c r="B73" s="34"/>
      <c r="C73" s="8"/>
      <c r="D73" s="8"/>
      <c r="E73" s="136"/>
    </row>
    <row r="74" spans="1:5" x14ac:dyDescent="0.25">
      <c r="A74" s="124"/>
      <c r="B74" s="34"/>
      <c r="C74" s="8"/>
      <c r="D74" s="8"/>
      <c r="E74" s="136"/>
    </row>
    <row r="75" spans="1:5" x14ac:dyDescent="0.25">
      <c r="A75" s="124"/>
      <c r="B75" s="52"/>
      <c r="C75" s="34"/>
      <c r="D75" s="8"/>
      <c r="E75" s="136"/>
    </row>
    <row r="76" spans="1:5" x14ac:dyDescent="0.25">
      <c r="A76" s="124"/>
      <c r="B76" s="52"/>
      <c r="C76" s="34"/>
      <c r="D76" s="8"/>
      <c r="E76" s="136"/>
    </row>
    <row r="77" spans="1:5" x14ac:dyDescent="0.25">
      <c r="A77" s="124"/>
      <c r="B77" s="52"/>
      <c r="C77" s="14"/>
      <c r="D77" s="8"/>
      <c r="E77" s="136"/>
    </row>
    <row r="78" spans="1:5" x14ac:dyDescent="0.25">
      <c r="A78" s="124"/>
      <c r="B78" s="52"/>
      <c r="C78" s="14"/>
      <c r="D78" s="8"/>
      <c r="E78" s="136"/>
    </row>
    <row r="79" spans="1:5" x14ac:dyDescent="0.25">
      <c r="A79" s="124"/>
      <c r="B79" s="52"/>
      <c r="C79" s="14"/>
      <c r="D79" s="8"/>
      <c r="E79" s="136"/>
    </row>
    <row r="80" spans="1:5" x14ac:dyDescent="0.25">
      <c r="A80" s="124"/>
      <c r="B80" s="52"/>
      <c r="C80" s="34"/>
      <c r="D80" s="8"/>
      <c r="E80" s="136"/>
    </row>
    <row r="81" spans="1:5" x14ac:dyDescent="0.25">
      <c r="A81" s="124"/>
      <c r="B81" s="52"/>
      <c r="C81" s="14"/>
      <c r="D81" s="8"/>
      <c r="E81" s="136"/>
    </row>
    <row r="82" spans="1:5" x14ac:dyDescent="0.25">
      <c r="A82" s="124"/>
      <c r="B82" s="52"/>
      <c r="C82" s="14"/>
      <c r="D82" s="8"/>
      <c r="E82" s="136"/>
    </row>
    <row r="83" spans="1:5" x14ac:dyDescent="0.25">
      <c r="A83" s="34"/>
      <c r="B83" s="137"/>
      <c r="C83" s="137"/>
      <c r="D83" s="139"/>
      <c r="E83" s="171"/>
    </row>
    <row r="84" spans="1:5" x14ac:dyDescent="0.25">
      <c r="A84" s="34"/>
      <c r="B84" s="34"/>
      <c r="C84" s="34"/>
      <c r="D84" s="8"/>
      <c r="E84" s="26"/>
    </row>
    <row r="85" spans="1:5" x14ac:dyDescent="0.25">
      <c r="A85" s="34"/>
      <c r="B85" s="34"/>
      <c r="C85" s="34"/>
      <c r="D85" s="8"/>
      <c r="E85" s="26"/>
    </row>
    <row r="86" spans="1:5" x14ac:dyDescent="0.25">
      <c r="A86" s="34"/>
      <c r="B86" s="34"/>
      <c r="C86" s="34"/>
      <c r="D86" s="8"/>
      <c r="E86" s="26"/>
    </row>
    <row r="87" spans="1:5" x14ac:dyDescent="0.25">
      <c r="A87" s="34"/>
      <c r="B87" s="34"/>
      <c r="C87" s="34"/>
      <c r="D87" s="8"/>
      <c r="E87" s="26"/>
    </row>
    <row r="88" spans="1:5" x14ac:dyDescent="0.25">
      <c r="A88" s="34"/>
      <c r="B88" s="34"/>
      <c r="C88" s="34"/>
      <c r="D88" s="8"/>
      <c r="E88" s="26"/>
    </row>
    <row r="89" spans="1:5" x14ac:dyDescent="0.25">
      <c r="A89" s="34"/>
      <c r="B89" s="34"/>
      <c r="C89" s="34"/>
      <c r="D89" s="8"/>
      <c r="E89" s="26"/>
    </row>
    <row r="90" spans="1:5" x14ac:dyDescent="0.25">
      <c r="A90" s="34"/>
      <c r="B90" s="34"/>
      <c r="C90" s="34"/>
      <c r="D90" s="8"/>
      <c r="E90" s="26"/>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91"/>
  <sheetViews>
    <sheetView topLeftCell="A4" zoomScale="110" zoomScaleNormal="110" workbookViewId="0">
      <selection activeCell="R31" sqref="R31"/>
    </sheetView>
  </sheetViews>
  <sheetFormatPr defaultColWidth="8.85546875" defaultRowHeight="12.75" x14ac:dyDescent="0.2"/>
  <cols>
    <col min="1" max="1" width="9.85546875" style="352" bestFit="1" customWidth="1"/>
    <col min="2" max="2" width="19.28515625" style="352" customWidth="1"/>
    <col min="3" max="3" width="8.28515625" style="352" customWidth="1"/>
    <col min="4" max="4" width="8.7109375" style="356" customWidth="1"/>
    <col min="5" max="5" width="8.28515625" style="352" customWidth="1"/>
    <col min="6" max="6" width="1.42578125" style="352" customWidth="1"/>
    <col min="7" max="7" width="10" style="352" customWidth="1"/>
    <col min="8" max="8" width="23.140625" style="352" customWidth="1"/>
    <col min="9" max="9" width="8.42578125" style="352" customWidth="1"/>
    <col min="10" max="10" width="7.42578125" style="356" customWidth="1"/>
    <col min="11" max="11" width="8.28515625" style="352" customWidth="1"/>
    <col min="12" max="12" width="1.5703125" style="352" customWidth="1"/>
    <col min="13" max="13" width="8.42578125" style="352" customWidth="1"/>
    <col min="14" max="14" width="22.5703125" style="352" customWidth="1"/>
    <col min="15" max="15" width="7.7109375" style="352" customWidth="1"/>
    <col min="16" max="16" width="8.85546875" style="356" customWidth="1"/>
    <col min="17" max="17" width="9.7109375" style="352" customWidth="1"/>
    <col min="18" max="16384" width="8.85546875" style="352"/>
  </cols>
  <sheetData>
    <row r="1" spans="1:17" s="345" customFormat="1" ht="25.5" x14ac:dyDescent="0.2">
      <c r="A1" s="343" t="s">
        <v>1</v>
      </c>
      <c r="B1" s="343" t="s">
        <v>3</v>
      </c>
      <c r="C1" s="344" t="s">
        <v>4365</v>
      </c>
      <c r="D1" s="344" t="s">
        <v>4364</v>
      </c>
      <c r="E1" s="343" t="s">
        <v>4366</v>
      </c>
      <c r="G1" s="343" t="s">
        <v>1</v>
      </c>
      <c r="H1" s="343" t="s">
        <v>3</v>
      </c>
      <c r="I1" s="344" t="s">
        <v>4365</v>
      </c>
      <c r="J1" s="344" t="s">
        <v>4364</v>
      </c>
      <c r="K1" s="343" t="s">
        <v>4366</v>
      </c>
      <c r="M1" s="343" t="s">
        <v>1</v>
      </c>
      <c r="N1" s="343" t="s">
        <v>3</v>
      </c>
      <c r="O1" s="344" t="s">
        <v>4365</v>
      </c>
      <c r="P1" s="344" t="s">
        <v>4364</v>
      </c>
      <c r="Q1" s="343" t="s">
        <v>4366</v>
      </c>
    </row>
    <row r="2" spans="1:17" s="345" customFormat="1" x14ac:dyDescent="0.2">
      <c r="A2" s="346"/>
      <c r="B2" s="347" t="s">
        <v>7513</v>
      </c>
      <c r="C2" s="348"/>
      <c r="D2" s="348">
        <v>5500</v>
      </c>
      <c r="E2" s="113">
        <f>D2</f>
        <v>5500</v>
      </c>
      <c r="G2" s="346"/>
      <c r="H2" s="347" t="s">
        <v>7464</v>
      </c>
      <c r="I2" s="348"/>
      <c r="J2" s="348">
        <v>5000</v>
      </c>
      <c r="K2" s="113">
        <f>J2</f>
        <v>5000</v>
      </c>
      <c r="M2" s="346"/>
      <c r="N2" s="361" t="s">
        <v>7500</v>
      </c>
      <c r="O2" s="348"/>
      <c r="P2" s="348">
        <v>31000</v>
      </c>
      <c r="Q2" s="113">
        <f>P2</f>
        <v>31000</v>
      </c>
    </row>
    <row r="3" spans="1:17" s="345" customFormat="1" ht="25.5" x14ac:dyDescent="0.2">
      <c r="A3" s="90"/>
      <c r="B3" s="349" t="s">
        <v>7514</v>
      </c>
      <c r="C3" s="348">
        <v>3300</v>
      </c>
      <c r="D3" s="348"/>
      <c r="E3" s="113">
        <f t="shared" ref="E3:E13" si="0">E2+D3-C3</f>
        <v>2200</v>
      </c>
      <c r="G3" s="90">
        <v>43857</v>
      </c>
      <c r="H3" s="349" t="s">
        <v>295</v>
      </c>
      <c r="I3" s="348"/>
      <c r="J3" s="348">
        <v>10000</v>
      </c>
      <c r="K3" s="113">
        <f t="shared" ref="K3:K49" si="1">K2+J3-I3</f>
        <v>15000</v>
      </c>
      <c r="M3" s="346" t="s">
        <v>7724</v>
      </c>
      <c r="N3" s="362" t="s">
        <v>7726</v>
      </c>
      <c r="O3" s="348"/>
      <c r="P3" s="348">
        <v>5000</v>
      </c>
      <c r="Q3" s="113">
        <f t="shared" ref="Q3:Q24" si="2">Q2+P3-O3</f>
        <v>36000</v>
      </c>
    </row>
    <row r="4" spans="1:17" s="345" customFormat="1" x14ac:dyDescent="0.2">
      <c r="A4" s="90">
        <v>44258</v>
      </c>
      <c r="B4" s="349" t="s">
        <v>295</v>
      </c>
      <c r="C4" s="348"/>
      <c r="D4" s="348">
        <v>5000</v>
      </c>
      <c r="E4" s="113">
        <f t="shared" si="0"/>
        <v>7200</v>
      </c>
      <c r="G4" s="90">
        <v>43865</v>
      </c>
      <c r="H4" s="349" t="s">
        <v>3924</v>
      </c>
      <c r="I4" s="348">
        <v>820</v>
      </c>
      <c r="J4" s="348"/>
      <c r="K4" s="113">
        <f t="shared" si="1"/>
        <v>14180</v>
      </c>
      <c r="M4" s="346" t="s">
        <v>7766</v>
      </c>
      <c r="N4" s="349" t="s">
        <v>7767</v>
      </c>
      <c r="O4" s="348"/>
      <c r="P4" s="348">
        <v>5000</v>
      </c>
      <c r="Q4" s="113">
        <f t="shared" si="2"/>
        <v>41000</v>
      </c>
    </row>
    <row r="5" spans="1:17" s="345" customFormat="1" x14ac:dyDescent="0.2">
      <c r="A5" s="90">
        <v>44259</v>
      </c>
      <c r="B5" s="349" t="s">
        <v>295</v>
      </c>
      <c r="C5" s="348"/>
      <c r="D5" s="348">
        <v>5000</v>
      </c>
      <c r="E5" s="113">
        <f t="shared" si="0"/>
        <v>12200</v>
      </c>
      <c r="G5" s="90">
        <v>43865</v>
      </c>
      <c r="H5" s="349" t="s">
        <v>7480</v>
      </c>
      <c r="I5" s="348">
        <v>14180</v>
      </c>
      <c r="J5" s="348"/>
      <c r="K5" s="113">
        <f t="shared" si="1"/>
        <v>0</v>
      </c>
      <c r="M5" s="346" t="s">
        <v>7780</v>
      </c>
      <c r="N5" s="349" t="s">
        <v>7767</v>
      </c>
      <c r="O5" s="348"/>
      <c r="P5" s="348">
        <v>6000</v>
      </c>
      <c r="Q5" s="113">
        <f t="shared" si="2"/>
        <v>47000</v>
      </c>
    </row>
    <row r="6" spans="1:17" s="345" customFormat="1" x14ac:dyDescent="0.2">
      <c r="A6" s="90">
        <v>44263</v>
      </c>
      <c r="B6" s="349" t="s">
        <v>4390</v>
      </c>
      <c r="C6" s="348">
        <v>9430</v>
      </c>
      <c r="D6" s="348"/>
      <c r="E6" s="113">
        <f t="shared" si="0"/>
        <v>2770</v>
      </c>
      <c r="G6" s="90">
        <v>43865</v>
      </c>
      <c r="H6" s="349" t="s">
        <v>7481</v>
      </c>
      <c r="I6" s="348"/>
      <c r="J6" s="348">
        <v>2500</v>
      </c>
      <c r="K6" s="113">
        <f t="shared" si="1"/>
        <v>2500</v>
      </c>
      <c r="M6" s="346" t="s">
        <v>7829</v>
      </c>
      <c r="N6" s="349" t="s">
        <v>7767</v>
      </c>
      <c r="O6" s="348"/>
      <c r="P6" s="348">
        <v>1500</v>
      </c>
      <c r="Q6" s="113">
        <f t="shared" si="2"/>
        <v>48500</v>
      </c>
    </row>
    <row r="7" spans="1:17" s="345" customFormat="1" x14ac:dyDescent="0.2">
      <c r="A7" s="90">
        <v>44293</v>
      </c>
      <c r="B7" s="349" t="s">
        <v>295</v>
      </c>
      <c r="C7" s="348"/>
      <c r="D7" s="348">
        <v>1500</v>
      </c>
      <c r="E7" s="113">
        <f t="shared" si="0"/>
        <v>4270</v>
      </c>
      <c r="G7" s="90">
        <v>43869</v>
      </c>
      <c r="H7" s="349" t="s">
        <v>295</v>
      </c>
      <c r="I7" s="348"/>
      <c r="J7" s="348">
        <v>1000</v>
      </c>
      <c r="K7" s="113">
        <f t="shared" si="1"/>
        <v>3500</v>
      </c>
      <c r="M7" s="346" t="s">
        <v>7829</v>
      </c>
      <c r="N7" s="349" t="s">
        <v>7835</v>
      </c>
      <c r="O7" s="348"/>
      <c r="P7" s="348">
        <v>500</v>
      </c>
      <c r="Q7" s="113">
        <f t="shared" si="2"/>
        <v>49000</v>
      </c>
    </row>
    <row r="8" spans="1:17" s="345" customFormat="1" x14ac:dyDescent="0.2">
      <c r="A8" s="90">
        <v>44301</v>
      </c>
      <c r="B8" s="349" t="s">
        <v>7767</v>
      </c>
      <c r="C8" s="348"/>
      <c r="D8" s="348">
        <v>4000</v>
      </c>
      <c r="E8" s="113">
        <f t="shared" si="0"/>
        <v>8270</v>
      </c>
      <c r="G8" s="90">
        <v>43872</v>
      </c>
      <c r="H8" s="349" t="s">
        <v>295</v>
      </c>
      <c r="I8" s="348"/>
      <c r="J8" s="348">
        <v>6000</v>
      </c>
      <c r="K8" s="113">
        <f t="shared" si="1"/>
        <v>9500</v>
      </c>
      <c r="M8" s="346" t="s">
        <v>7829</v>
      </c>
      <c r="N8" s="349" t="s">
        <v>295</v>
      </c>
      <c r="O8" s="348"/>
      <c r="P8" s="348">
        <v>10000</v>
      </c>
      <c r="Q8" s="113">
        <f t="shared" si="2"/>
        <v>59000</v>
      </c>
    </row>
    <row r="9" spans="1:17" s="345" customFormat="1" x14ac:dyDescent="0.2">
      <c r="A9" s="90">
        <v>44362</v>
      </c>
      <c r="B9" s="349" t="s">
        <v>8266</v>
      </c>
      <c r="C9" s="348"/>
      <c r="D9" s="348">
        <v>5000</v>
      </c>
      <c r="E9" s="113">
        <f t="shared" si="0"/>
        <v>13270</v>
      </c>
      <c r="G9" s="90">
        <v>43876</v>
      </c>
      <c r="H9" s="349" t="s">
        <v>7540</v>
      </c>
      <c r="I9" s="348">
        <v>1300</v>
      </c>
      <c r="J9" s="348"/>
      <c r="K9" s="113">
        <f t="shared" si="1"/>
        <v>8200</v>
      </c>
      <c r="M9" s="346" t="s">
        <v>7829</v>
      </c>
      <c r="N9" s="349" t="s">
        <v>295</v>
      </c>
      <c r="O9" s="348"/>
      <c r="P9" s="348">
        <v>1000</v>
      </c>
      <c r="Q9" s="113">
        <f t="shared" si="2"/>
        <v>60000</v>
      </c>
    </row>
    <row r="10" spans="1:17" s="345" customFormat="1" x14ac:dyDescent="0.2">
      <c r="A10" s="90">
        <v>44368</v>
      </c>
      <c r="B10" s="349" t="s">
        <v>4390</v>
      </c>
      <c r="C10" s="348">
        <v>9970</v>
      </c>
      <c r="D10" s="348"/>
      <c r="E10" s="113">
        <f t="shared" si="0"/>
        <v>3300</v>
      </c>
      <c r="G10" s="90">
        <v>43876</v>
      </c>
      <c r="H10" s="349" t="s">
        <v>7541</v>
      </c>
      <c r="I10" s="348">
        <v>3848</v>
      </c>
      <c r="J10" s="348"/>
      <c r="K10" s="113">
        <f t="shared" si="1"/>
        <v>4352</v>
      </c>
      <c r="M10" s="346" t="s">
        <v>7854</v>
      </c>
      <c r="N10" s="349" t="s">
        <v>295</v>
      </c>
      <c r="O10" s="348"/>
      <c r="P10" s="348">
        <v>6500</v>
      </c>
      <c r="Q10" s="113">
        <f t="shared" si="2"/>
        <v>66500</v>
      </c>
    </row>
    <row r="11" spans="1:17" s="345" customFormat="1" ht="25.5" x14ac:dyDescent="0.2">
      <c r="A11" s="90">
        <v>44368</v>
      </c>
      <c r="B11" s="349" t="s">
        <v>4390</v>
      </c>
      <c r="C11" s="348">
        <v>1800</v>
      </c>
      <c r="D11" s="348"/>
      <c r="E11" s="113">
        <f t="shared" si="0"/>
        <v>1500</v>
      </c>
      <c r="G11" s="90">
        <v>43876</v>
      </c>
      <c r="H11" s="349" t="s">
        <v>295</v>
      </c>
      <c r="I11" s="348"/>
      <c r="J11" s="348">
        <v>5000</v>
      </c>
      <c r="K11" s="113">
        <f t="shared" si="1"/>
        <v>9352</v>
      </c>
      <c r="M11" s="346" t="s">
        <v>7854</v>
      </c>
      <c r="N11" s="349" t="s">
        <v>7855</v>
      </c>
      <c r="O11" s="348"/>
      <c r="P11" s="348">
        <v>1000</v>
      </c>
      <c r="Q11" s="113">
        <f t="shared" si="2"/>
        <v>67500</v>
      </c>
    </row>
    <row r="12" spans="1:17" x14ac:dyDescent="0.2">
      <c r="A12" s="90">
        <v>44368</v>
      </c>
      <c r="B12" s="349" t="s">
        <v>4390</v>
      </c>
      <c r="C12" s="351">
        <v>4790</v>
      </c>
      <c r="D12" s="351"/>
      <c r="E12" s="113">
        <f t="shared" si="0"/>
        <v>-3290</v>
      </c>
      <c r="F12" s="345"/>
      <c r="G12" s="90">
        <v>43880</v>
      </c>
      <c r="H12" s="349" t="s">
        <v>7541</v>
      </c>
      <c r="I12" s="351">
        <v>9460</v>
      </c>
      <c r="J12" s="351"/>
      <c r="K12" s="113">
        <f t="shared" si="1"/>
        <v>-108</v>
      </c>
      <c r="M12" s="346" t="s">
        <v>7868</v>
      </c>
      <c r="N12" s="363" t="s">
        <v>295</v>
      </c>
      <c r="O12" s="351"/>
      <c r="P12" s="351">
        <v>5000</v>
      </c>
      <c r="Q12" s="113">
        <f t="shared" si="2"/>
        <v>72500</v>
      </c>
    </row>
    <row r="13" spans="1:17" x14ac:dyDescent="0.2">
      <c r="A13" s="90">
        <v>44371</v>
      </c>
      <c r="B13" s="350" t="s">
        <v>295</v>
      </c>
      <c r="C13" s="351"/>
      <c r="D13" s="351">
        <v>3290</v>
      </c>
      <c r="E13" s="113">
        <f t="shared" si="0"/>
        <v>0</v>
      </c>
      <c r="G13" s="90">
        <v>43881</v>
      </c>
      <c r="H13" s="350" t="s">
        <v>295</v>
      </c>
      <c r="I13" s="351"/>
      <c r="J13" s="351">
        <v>8000</v>
      </c>
      <c r="K13" s="113">
        <f t="shared" si="1"/>
        <v>7892</v>
      </c>
      <c r="M13" s="346" t="s">
        <v>7880</v>
      </c>
      <c r="N13" s="363" t="s">
        <v>295</v>
      </c>
      <c r="O13" s="351"/>
      <c r="P13" s="351">
        <v>10000</v>
      </c>
      <c r="Q13" s="113">
        <f t="shared" si="2"/>
        <v>82500</v>
      </c>
    </row>
    <row r="14" spans="1:17" x14ac:dyDescent="0.2">
      <c r="A14" s="346"/>
      <c r="B14" s="350"/>
      <c r="C14" s="351"/>
      <c r="D14" s="351"/>
      <c r="E14" s="113"/>
      <c r="G14" s="90">
        <v>43883</v>
      </c>
      <c r="H14" s="350" t="s">
        <v>295</v>
      </c>
      <c r="I14" s="351"/>
      <c r="J14" s="351">
        <v>4000</v>
      </c>
      <c r="K14" s="113">
        <f t="shared" si="1"/>
        <v>11892</v>
      </c>
      <c r="M14" s="346" t="s">
        <v>7931</v>
      </c>
      <c r="N14" s="363" t="s">
        <v>7932</v>
      </c>
      <c r="O14" s="351"/>
      <c r="P14" s="351">
        <v>500</v>
      </c>
      <c r="Q14" s="113">
        <f t="shared" si="2"/>
        <v>83000</v>
      </c>
    </row>
    <row r="15" spans="1:17" x14ac:dyDescent="0.2">
      <c r="A15" s="346"/>
      <c r="B15" s="350"/>
      <c r="C15" s="351"/>
      <c r="D15" s="351"/>
      <c r="E15" s="113"/>
      <c r="G15" s="90">
        <v>43883</v>
      </c>
      <c r="H15" s="350" t="s">
        <v>3924</v>
      </c>
      <c r="I15" s="351">
        <v>3800</v>
      </c>
      <c r="J15" s="351"/>
      <c r="K15" s="113">
        <f t="shared" si="1"/>
        <v>8092</v>
      </c>
      <c r="M15" s="346" t="s">
        <v>7931</v>
      </c>
      <c r="N15" s="363" t="s">
        <v>439</v>
      </c>
      <c r="O15" s="351"/>
      <c r="P15" s="351">
        <v>10000</v>
      </c>
      <c r="Q15" s="113">
        <f t="shared" si="2"/>
        <v>93000</v>
      </c>
    </row>
    <row r="16" spans="1:17" x14ac:dyDescent="0.2">
      <c r="A16" s="346"/>
      <c r="B16" s="350"/>
      <c r="C16" s="351"/>
      <c r="D16" s="351"/>
      <c r="E16" s="113"/>
      <c r="G16" s="90">
        <v>43864</v>
      </c>
      <c r="H16" s="350" t="s">
        <v>7693</v>
      </c>
      <c r="I16" s="351">
        <v>9610</v>
      </c>
      <c r="J16" s="353"/>
      <c r="K16" s="113">
        <f t="shared" si="1"/>
        <v>-1518</v>
      </c>
      <c r="M16" s="346" t="s">
        <v>7931</v>
      </c>
      <c r="N16" s="363" t="s">
        <v>7940</v>
      </c>
      <c r="O16" s="351"/>
      <c r="P16" s="351">
        <v>20000</v>
      </c>
      <c r="Q16" s="113">
        <f t="shared" si="2"/>
        <v>113000</v>
      </c>
    </row>
    <row r="17" spans="1:20" x14ac:dyDescent="0.2">
      <c r="A17" s="346"/>
      <c r="B17" s="350"/>
      <c r="C17" s="351"/>
      <c r="D17" s="353"/>
      <c r="E17" s="113"/>
      <c r="G17" s="90">
        <v>43864</v>
      </c>
      <c r="H17" s="350" t="s">
        <v>295</v>
      </c>
      <c r="I17" s="351"/>
      <c r="J17" s="353">
        <v>1518</v>
      </c>
      <c r="K17" s="113">
        <f t="shared" si="1"/>
        <v>0</v>
      </c>
      <c r="M17" s="346" t="s">
        <v>7980</v>
      </c>
      <c r="N17" s="363" t="s">
        <v>7767</v>
      </c>
      <c r="O17" s="351"/>
      <c r="P17" s="353">
        <v>2000</v>
      </c>
      <c r="Q17" s="113">
        <f t="shared" si="2"/>
        <v>115000</v>
      </c>
      <c r="R17" s="387"/>
    </row>
    <row r="18" spans="1:20" ht="25.5" x14ac:dyDescent="0.2">
      <c r="A18" s="346"/>
      <c r="B18" s="350"/>
      <c r="C18" s="351"/>
      <c r="D18" s="353"/>
      <c r="E18" s="113"/>
      <c r="G18" s="90">
        <v>43867</v>
      </c>
      <c r="H18" s="360" t="s">
        <v>7721</v>
      </c>
      <c r="I18" s="351"/>
      <c r="J18" s="351">
        <v>10000</v>
      </c>
      <c r="K18" s="113">
        <f t="shared" si="1"/>
        <v>10000</v>
      </c>
      <c r="M18" s="346" t="s">
        <v>7987</v>
      </c>
      <c r="N18" s="363" t="s">
        <v>7767</v>
      </c>
      <c r="O18" s="351"/>
      <c r="P18" s="353">
        <v>1000</v>
      </c>
      <c r="Q18" s="113">
        <f t="shared" si="2"/>
        <v>116000</v>
      </c>
    </row>
    <row r="19" spans="1:20" x14ac:dyDescent="0.2">
      <c r="A19" s="346"/>
      <c r="B19" s="350"/>
      <c r="C19" s="351"/>
      <c r="D19" s="351"/>
      <c r="E19" s="113"/>
      <c r="G19" s="90">
        <v>43869</v>
      </c>
      <c r="H19" s="270" t="s">
        <v>295</v>
      </c>
      <c r="I19" s="351"/>
      <c r="J19" s="351">
        <v>3000</v>
      </c>
      <c r="K19" s="113">
        <f t="shared" si="1"/>
        <v>13000</v>
      </c>
      <c r="M19" s="346" t="s">
        <v>7987</v>
      </c>
      <c r="N19" s="363" t="s">
        <v>7940</v>
      </c>
      <c r="O19" s="351"/>
      <c r="P19" s="353">
        <v>1000</v>
      </c>
      <c r="Q19" s="113">
        <f t="shared" si="2"/>
        <v>117000</v>
      </c>
    </row>
    <row r="20" spans="1:20" x14ac:dyDescent="0.2">
      <c r="A20" s="346"/>
      <c r="B20" s="270"/>
      <c r="C20" s="351"/>
      <c r="D20" s="351"/>
      <c r="E20" s="113"/>
      <c r="F20" s="345"/>
      <c r="G20" s="90">
        <v>43869</v>
      </c>
      <c r="H20" s="270" t="s">
        <v>5991</v>
      </c>
      <c r="I20" s="351"/>
      <c r="J20" s="351">
        <v>6000</v>
      </c>
      <c r="K20" s="113">
        <f t="shared" si="1"/>
        <v>19000</v>
      </c>
      <c r="M20" s="346" t="s">
        <v>7987</v>
      </c>
      <c r="N20" s="364" t="s">
        <v>3924</v>
      </c>
      <c r="O20" s="351">
        <v>2600</v>
      </c>
      <c r="P20" s="351"/>
      <c r="Q20" s="113">
        <f t="shared" si="2"/>
        <v>114400</v>
      </c>
    </row>
    <row r="21" spans="1:20" x14ac:dyDescent="0.2">
      <c r="A21" s="346"/>
      <c r="B21" s="270"/>
      <c r="C21" s="351"/>
      <c r="D21" s="351"/>
      <c r="E21" s="113"/>
      <c r="F21" s="345"/>
      <c r="G21" s="90">
        <v>43870</v>
      </c>
      <c r="H21" s="350" t="s">
        <v>7739</v>
      </c>
      <c r="I21" s="350">
        <v>22610</v>
      </c>
      <c r="J21" s="351"/>
      <c r="K21" s="113">
        <f t="shared" si="1"/>
        <v>-3610</v>
      </c>
      <c r="M21" s="346" t="s">
        <v>7987</v>
      </c>
      <c r="N21" s="364" t="s">
        <v>3924</v>
      </c>
      <c r="O21" s="351">
        <v>2200</v>
      </c>
      <c r="P21" s="351"/>
      <c r="Q21" s="113">
        <f t="shared" si="2"/>
        <v>112200</v>
      </c>
      <c r="R21" s="387"/>
    </row>
    <row r="22" spans="1:20" x14ac:dyDescent="0.2">
      <c r="A22" s="346"/>
      <c r="B22" s="350"/>
      <c r="C22" s="350"/>
      <c r="D22" s="351"/>
      <c r="E22" s="113"/>
      <c r="G22" s="90">
        <v>43870</v>
      </c>
      <c r="H22" s="350" t="s">
        <v>295</v>
      </c>
      <c r="I22" s="350"/>
      <c r="J22" s="351">
        <v>3610</v>
      </c>
      <c r="K22" s="113">
        <f t="shared" si="1"/>
        <v>0</v>
      </c>
      <c r="M22" s="346" t="s">
        <v>7987</v>
      </c>
      <c r="N22" s="363" t="s">
        <v>295</v>
      </c>
      <c r="O22" s="350"/>
      <c r="P22" s="351">
        <v>5000</v>
      </c>
      <c r="Q22" s="113">
        <f t="shared" si="2"/>
        <v>117200</v>
      </c>
    </row>
    <row r="23" spans="1:20" x14ac:dyDescent="0.2">
      <c r="A23" s="346"/>
      <c r="B23" s="350"/>
      <c r="C23" s="350"/>
      <c r="D23" s="351"/>
      <c r="E23" s="113"/>
      <c r="G23" s="90">
        <v>43870</v>
      </c>
      <c r="H23" s="350" t="s">
        <v>295</v>
      </c>
      <c r="I23" s="350"/>
      <c r="J23" s="351">
        <v>5000</v>
      </c>
      <c r="K23" s="113">
        <f t="shared" si="1"/>
        <v>5000</v>
      </c>
      <c r="M23" s="346" t="s">
        <v>7987</v>
      </c>
      <c r="N23" s="364" t="s">
        <v>3924</v>
      </c>
      <c r="O23" s="350">
        <v>18000</v>
      </c>
      <c r="P23" s="351"/>
      <c r="Q23" s="113">
        <f t="shared" si="2"/>
        <v>99200</v>
      </c>
    </row>
    <row r="24" spans="1:20" x14ac:dyDescent="0.2">
      <c r="A24" s="346"/>
      <c r="B24" s="350"/>
      <c r="C24" s="350"/>
      <c r="D24" s="351"/>
      <c r="E24" s="113"/>
      <c r="G24" s="90">
        <v>44266</v>
      </c>
      <c r="H24" s="350" t="s">
        <v>295</v>
      </c>
      <c r="I24" s="350"/>
      <c r="J24" s="351">
        <v>5000</v>
      </c>
      <c r="K24" s="113">
        <f t="shared" si="1"/>
        <v>10000</v>
      </c>
      <c r="M24" s="346" t="s">
        <v>8024</v>
      </c>
      <c r="N24" s="363" t="s">
        <v>7767</v>
      </c>
      <c r="O24" s="350"/>
      <c r="P24" s="351">
        <v>1000</v>
      </c>
      <c r="Q24" s="113">
        <f t="shared" si="2"/>
        <v>100200</v>
      </c>
    </row>
    <row r="25" spans="1:20" x14ac:dyDescent="0.2">
      <c r="A25" s="346"/>
      <c r="B25" s="350"/>
      <c r="C25" s="350"/>
      <c r="D25" s="351"/>
      <c r="E25" s="113"/>
      <c r="G25" s="90">
        <v>44270</v>
      </c>
      <c r="H25" s="350" t="s">
        <v>7799</v>
      </c>
      <c r="I25" s="350"/>
      <c r="J25" s="351">
        <v>3000</v>
      </c>
      <c r="K25" s="113">
        <f t="shared" si="1"/>
        <v>13000</v>
      </c>
      <c r="M25" s="346" t="s">
        <v>8024</v>
      </c>
      <c r="N25" s="363" t="s">
        <v>295</v>
      </c>
      <c r="O25" s="350"/>
      <c r="P25" s="351">
        <v>8000</v>
      </c>
      <c r="Q25" s="113">
        <v>110000</v>
      </c>
      <c r="S25" s="352">
        <v>110000</v>
      </c>
    </row>
    <row r="26" spans="1:20" x14ac:dyDescent="0.2">
      <c r="A26" s="346"/>
      <c r="B26" s="350"/>
      <c r="C26" s="350"/>
      <c r="D26" s="351"/>
      <c r="E26" s="113"/>
      <c r="G26" s="90">
        <v>44270</v>
      </c>
      <c r="H26" s="350" t="s">
        <v>3924</v>
      </c>
      <c r="I26" s="350">
        <v>3950</v>
      </c>
      <c r="J26" s="351"/>
      <c r="K26" s="113">
        <f t="shared" si="1"/>
        <v>9050</v>
      </c>
      <c r="M26" s="346" t="s">
        <v>8024</v>
      </c>
      <c r="N26" s="363"/>
      <c r="O26" s="350"/>
      <c r="P26" s="351"/>
      <c r="Q26" s="113">
        <f>Q25+P26-O26</f>
        <v>110000</v>
      </c>
      <c r="R26" s="352" t="s">
        <v>8487</v>
      </c>
      <c r="S26" s="352">
        <v>18000</v>
      </c>
    </row>
    <row r="27" spans="1:20" x14ac:dyDescent="0.2">
      <c r="A27" s="346"/>
      <c r="B27" s="350"/>
      <c r="C27" s="350"/>
      <c r="D27" s="351"/>
      <c r="E27" s="113"/>
      <c r="G27" s="90">
        <v>44271</v>
      </c>
      <c r="H27" s="350" t="s">
        <v>295</v>
      </c>
      <c r="I27" s="350"/>
      <c r="J27" s="351">
        <v>950</v>
      </c>
      <c r="K27" s="113">
        <f t="shared" si="1"/>
        <v>10000</v>
      </c>
      <c r="M27" s="346"/>
      <c r="N27" s="363"/>
      <c r="O27" s="350"/>
      <c r="P27" s="351"/>
      <c r="Q27" s="113"/>
      <c r="S27" s="352">
        <f>S25-S26</f>
        <v>92000</v>
      </c>
    </row>
    <row r="28" spans="1:20" x14ac:dyDescent="0.2">
      <c r="A28" s="346"/>
      <c r="B28" s="350"/>
      <c r="C28" s="350"/>
      <c r="D28" s="351"/>
      <c r="E28" s="113"/>
      <c r="F28" s="345"/>
      <c r="G28" s="90">
        <v>44279</v>
      </c>
      <c r="H28" s="350" t="s">
        <v>3924</v>
      </c>
      <c r="I28" s="350">
        <v>12840</v>
      </c>
      <c r="J28" s="351"/>
      <c r="K28" s="113">
        <f t="shared" si="1"/>
        <v>-2840</v>
      </c>
      <c r="M28" s="346"/>
      <c r="N28" s="363"/>
      <c r="O28" s="350"/>
      <c r="P28" s="351"/>
      <c r="Q28" s="113"/>
      <c r="S28" s="352">
        <v>95000</v>
      </c>
      <c r="T28" s="352" t="s">
        <v>8488</v>
      </c>
    </row>
    <row r="29" spans="1:20" x14ac:dyDescent="0.2">
      <c r="A29" s="346"/>
      <c r="B29" s="350"/>
      <c r="C29" s="350"/>
      <c r="D29" s="351"/>
      <c r="E29" s="113"/>
      <c r="F29" s="345"/>
      <c r="G29" s="90">
        <v>44279</v>
      </c>
      <c r="H29" s="350" t="s">
        <v>295</v>
      </c>
      <c r="I29" s="350"/>
      <c r="J29" s="351">
        <v>3000</v>
      </c>
      <c r="K29" s="113">
        <f t="shared" si="1"/>
        <v>160</v>
      </c>
      <c r="M29" s="346"/>
      <c r="N29" s="363"/>
      <c r="O29" s="350"/>
      <c r="P29" s="351"/>
      <c r="Q29" s="113"/>
    </row>
    <row r="30" spans="1:20" x14ac:dyDescent="0.2">
      <c r="A30" s="346"/>
      <c r="B30" s="350"/>
      <c r="C30" s="350"/>
      <c r="D30" s="351"/>
      <c r="E30" s="113"/>
      <c r="G30" s="90">
        <v>44282</v>
      </c>
      <c r="H30" s="350" t="s">
        <v>295</v>
      </c>
      <c r="I30" s="350"/>
      <c r="J30" s="351">
        <v>3000</v>
      </c>
      <c r="K30" s="113">
        <f t="shared" si="1"/>
        <v>3160</v>
      </c>
      <c r="M30" s="346"/>
      <c r="N30" s="363"/>
      <c r="O30" s="350"/>
      <c r="P30" s="351"/>
      <c r="Q30" s="113"/>
    </row>
    <row r="31" spans="1:20" x14ac:dyDescent="0.2">
      <c r="A31" s="346"/>
      <c r="B31" s="350"/>
      <c r="C31" s="350"/>
      <c r="D31" s="351"/>
      <c r="E31" s="113"/>
      <c r="G31" s="90">
        <v>44282</v>
      </c>
      <c r="H31" s="350" t="s">
        <v>295</v>
      </c>
      <c r="I31" s="350"/>
      <c r="J31" s="351">
        <v>5000</v>
      </c>
      <c r="K31" s="113">
        <f t="shared" si="1"/>
        <v>8160</v>
      </c>
      <c r="M31" s="346"/>
      <c r="N31" s="363"/>
      <c r="O31" s="350"/>
      <c r="P31" s="351"/>
      <c r="Q31" s="113"/>
    </row>
    <row r="32" spans="1:20" x14ac:dyDescent="0.2">
      <c r="A32" s="346"/>
      <c r="B32" s="350"/>
      <c r="C32" s="350"/>
      <c r="D32" s="351"/>
      <c r="E32" s="113"/>
      <c r="G32" s="90">
        <v>44285</v>
      </c>
      <c r="H32" s="350" t="s">
        <v>7693</v>
      </c>
      <c r="I32" s="350">
        <v>13953</v>
      </c>
      <c r="J32" s="351"/>
      <c r="K32" s="113">
        <f t="shared" si="1"/>
        <v>-5793</v>
      </c>
      <c r="M32" s="346"/>
      <c r="N32" s="363"/>
      <c r="O32" s="350"/>
      <c r="P32" s="351"/>
      <c r="Q32" s="113"/>
    </row>
    <row r="33" spans="1:17" x14ac:dyDescent="0.2">
      <c r="A33" s="346"/>
      <c r="B33" s="350"/>
      <c r="C33" s="350"/>
      <c r="D33" s="351"/>
      <c r="E33" s="113"/>
      <c r="G33" s="90">
        <v>44285</v>
      </c>
      <c r="H33" s="270" t="s">
        <v>32</v>
      </c>
      <c r="I33" s="350"/>
      <c r="J33" s="351">
        <v>5793</v>
      </c>
      <c r="K33" s="113">
        <f t="shared" si="1"/>
        <v>0</v>
      </c>
      <c r="M33" s="346"/>
      <c r="N33" s="363"/>
      <c r="O33" s="350"/>
      <c r="P33" s="351"/>
      <c r="Q33" s="113"/>
    </row>
    <row r="34" spans="1:17" x14ac:dyDescent="0.2">
      <c r="A34" s="346"/>
      <c r="B34" s="270"/>
      <c r="C34" s="350"/>
      <c r="D34" s="351"/>
      <c r="E34" s="113"/>
      <c r="G34" s="90">
        <v>44287</v>
      </c>
      <c r="H34" s="270" t="s">
        <v>32</v>
      </c>
      <c r="I34" s="355"/>
      <c r="J34" s="351">
        <v>5000</v>
      </c>
      <c r="K34" s="113">
        <f t="shared" si="1"/>
        <v>5000</v>
      </c>
      <c r="M34" s="346"/>
      <c r="N34" s="364"/>
      <c r="O34" s="350"/>
      <c r="P34" s="351"/>
      <c r="Q34" s="113"/>
    </row>
    <row r="35" spans="1:17" x14ac:dyDescent="0.2">
      <c r="A35" s="346"/>
      <c r="B35" s="350"/>
      <c r="C35" s="355"/>
      <c r="D35" s="351"/>
      <c r="E35" s="113"/>
      <c r="G35" s="90">
        <v>44287</v>
      </c>
      <c r="H35" s="270" t="s">
        <v>7832</v>
      </c>
      <c r="I35" s="270">
        <v>7940</v>
      </c>
      <c r="J35" s="351"/>
      <c r="K35" s="113">
        <f t="shared" si="1"/>
        <v>-2940</v>
      </c>
      <c r="M35" s="346"/>
      <c r="N35" s="363"/>
      <c r="O35" s="355"/>
      <c r="P35" s="351"/>
      <c r="Q35" s="113"/>
    </row>
    <row r="36" spans="1:17" x14ac:dyDescent="0.2">
      <c r="A36" s="346"/>
      <c r="B36" s="270"/>
      <c r="C36" s="270"/>
      <c r="D36" s="351"/>
      <c r="E36" s="113"/>
      <c r="G36" s="90">
        <v>44287</v>
      </c>
      <c r="H36" s="270" t="s">
        <v>32</v>
      </c>
      <c r="I36" s="270"/>
      <c r="J36" s="351">
        <v>6000</v>
      </c>
      <c r="K36" s="113">
        <f t="shared" si="1"/>
        <v>3060</v>
      </c>
      <c r="M36" s="346"/>
      <c r="N36" s="364"/>
      <c r="O36" s="270"/>
      <c r="P36" s="351"/>
      <c r="Q36" s="113"/>
    </row>
    <row r="37" spans="1:17" x14ac:dyDescent="0.2">
      <c r="A37" s="350"/>
      <c r="B37" s="270"/>
      <c r="C37" s="270"/>
      <c r="D37" s="351"/>
      <c r="E37" s="113"/>
      <c r="G37" s="90">
        <v>44287</v>
      </c>
      <c r="H37" s="354" t="s">
        <v>7832</v>
      </c>
      <c r="I37" s="352">
        <v>3300</v>
      </c>
      <c r="K37" s="113">
        <f t="shared" si="1"/>
        <v>-240</v>
      </c>
      <c r="M37" s="350"/>
      <c r="N37" s="364"/>
      <c r="O37" s="270"/>
      <c r="P37" s="351"/>
      <c r="Q37" s="113"/>
    </row>
    <row r="38" spans="1:17" x14ac:dyDescent="0.2">
      <c r="B38" s="354"/>
      <c r="E38" s="113"/>
      <c r="G38" s="90">
        <v>44289</v>
      </c>
      <c r="H38" s="354" t="s">
        <v>7832</v>
      </c>
      <c r="I38" s="352">
        <v>1440</v>
      </c>
      <c r="K38" s="113">
        <f t="shared" si="1"/>
        <v>-1680</v>
      </c>
      <c r="N38" s="360"/>
      <c r="Q38" s="113"/>
    </row>
    <row r="39" spans="1:17" x14ac:dyDescent="0.2">
      <c r="B39" s="354"/>
      <c r="E39" s="113"/>
      <c r="G39" s="90">
        <v>44305</v>
      </c>
      <c r="H39" s="354" t="s">
        <v>7832</v>
      </c>
      <c r="I39" s="352">
        <v>1300</v>
      </c>
      <c r="K39" s="113">
        <f t="shared" si="1"/>
        <v>-2980</v>
      </c>
      <c r="N39" s="360"/>
      <c r="Q39" s="113"/>
    </row>
    <row r="40" spans="1:17" x14ac:dyDescent="0.2">
      <c r="B40" s="354"/>
      <c r="E40" s="113"/>
      <c r="H40" s="354"/>
      <c r="J40" s="356">
        <v>2980</v>
      </c>
      <c r="K40" s="113">
        <f t="shared" si="1"/>
        <v>0</v>
      </c>
      <c r="N40" s="360"/>
      <c r="Q40" s="113"/>
    </row>
    <row r="41" spans="1:17" x14ac:dyDescent="0.2">
      <c r="B41" s="354"/>
      <c r="E41" s="261"/>
      <c r="G41" s="90">
        <v>44321</v>
      </c>
      <c r="H41" s="270" t="s">
        <v>32</v>
      </c>
      <c r="I41" s="350"/>
      <c r="J41" s="351">
        <v>2000</v>
      </c>
      <c r="K41" s="113">
        <f t="shared" si="1"/>
        <v>2000</v>
      </c>
      <c r="N41" s="360"/>
      <c r="Q41" s="261"/>
    </row>
    <row r="42" spans="1:17" x14ac:dyDescent="0.2">
      <c r="A42" s="346"/>
      <c r="B42" s="270"/>
      <c r="C42" s="350"/>
      <c r="D42" s="351"/>
      <c r="E42" s="113"/>
      <c r="G42" s="90">
        <v>44321</v>
      </c>
      <c r="H42" s="270" t="s">
        <v>3924</v>
      </c>
      <c r="I42" s="350">
        <v>500</v>
      </c>
      <c r="J42" s="351"/>
      <c r="K42" s="113">
        <f t="shared" si="1"/>
        <v>1500</v>
      </c>
      <c r="M42" s="346"/>
      <c r="N42" s="364"/>
      <c r="O42" s="350"/>
      <c r="P42" s="351"/>
      <c r="Q42" s="113"/>
    </row>
    <row r="43" spans="1:17" x14ac:dyDescent="0.2">
      <c r="A43" s="346"/>
      <c r="B43" s="270"/>
      <c r="C43" s="350"/>
      <c r="D43" s="351"/>
      <c r="E43" s="113"/>
      <c r="G43" s="90">
        <v>44333</v>
      </c>
      <c r="H43" s="270" t="s">
        <v>32</v>
      </c>
      <c r="I43" s="350"/>
      <c r="J43" s="351">
        <v>1000</v>
      </c>
      <c r="K43" s="113">
        <f t="shared" si="1"/>
        <v>2500</v>
      </c>
      <c r="M43" s="346"/>
      <c r="N43" s="364"/>
      <c r="O43" s="350"/>
      <c r="P43" s="351"/>
      <c r="Q43" s="113"/>
    </row>
    <row r="44" spans="1:17" x14ac:dyDescent="0.2">
      <c r="A44" s="346"/>
      <c r="B44" s="270"/>
      <c r="C44" s="350"/>
      <c r="D44" s="351"/>
      <c r="E44" s="113"/>
      <c r="G44" s="90">
        <v>44337</v>
      </c>
      <c r="H44" s="270" t="s">
        <v>8131</v>
      </c>
      <c r="I44" s="351">
        <v>920</v>
      </c>
      <c r="J44" s="351"/>
      <c r="K44" s="113">
        <f t="shared" si="1"/>
        <v>1580</v>
      </c>
      <c r="M44" s="346"/>
      <c r="N44" s="364"/>
      <c r="O44" s="350"/>
      <c r="P44" s="351"/>
      <c r="Q44" s="113"/>
    </row>
    <row r="45" spans="1:17" x14ac:dyDescent="0.2">
      <c r="A45" s="346"/>
      <c r="B45" s="270"/>
      <c r="C45" s="351"/>
      <c r="D45" s="351"/>
      <c r="E45" s="113"/>
      <c r="G45" s="90">
        <v>44337</v>
      </c>
      <c r="H45" s="270" t="s">
        <v>32</v>
      </c>
      <c r="I45" s="351"/>
      <c r="J45" s="351">
        <v>5000</v>
      </c>
      <c r="K45" s="113">
        <f t="shared" si="1"/>
        <v>6580</v>
      </c>
      <c r="M45" s="346"/>
      <c r="N45" s="364"/>
      <c r="O45" s="351"/>
      <c r="P45" s="351"/>
      <c r="Q45" s="113"/>
    </row>
    <row r="46" spans="1:17" x14ac:dyDescent="0.2">
      <c r="A46" s="346"/>
      <c r="B46" s="270"/>
      <c r="C46" s="351"/>
      <c r="D46" s="351"/>
      <c r="E46" s="113"/>
      <c r="G46" s="90">
        <v>44344</v>
      </c>
      <c r="H46" s="270" t="s">
        <v>3924</v>
      </c>
      <c r="I46" s="351">
        <v>11030</v>
      </c>
      <c r="J46" s="351"/>
      <c r="K46" s="113">
        <f t="shared" si="1"/>
        <v>-4450</v>
      </c>
      <c r="M46" s="346"/>
      <c r="N46" s="364"/>
      <c r="O46" s="351"/>
      <c r="P46" s="351"/>
      <c r="Q46" s="113"/>
    </row>
    <row r="47" spans="1:17" x14ac:dyDescent="0.2">
      <c r="A47" s="346"/>
      <c r="B47" s="270"/>
      <c r="C47" s="351"/>
      <c r="D47" s="351"/>
      <c r="E47" s="113"/>
      <c r="G47" s="90">
        <v>44344</v>
      </c>
      <c r="H47" s="270" t="s">
        <v>32</v>
      </c>
      <c r="I47" s="351"/>
      <c r="J47" s="351">
        <v>4450</v>
      </c>
      <c r="K47" s="113">
        <f t="shared" si="1"/>
        <v>0</v>
      </c>
      <c r="M47" s="346"/>
      <c r="N47" s="364"/>
      <c r="O47" s="351"/>
      <c r="P47" s="351"/>
      <c r="Q47" s="113"/>
    </row>
    <row r="48" spans="1:17" x14ac:dyDescent="0.2">
      <c r="A48" s="346"/>
      <c r="B48" s="270"/>
      <c r="C48" s="351"/>
      <c r="D48" s="351"/>
      <c r="E48" s="113"/>
      <c r="G48" s="90">
        <v>44368</v>
      </c>
      <c r="H48" s="270" t="s">
        <v>32</v>
      </c>
      <c r="I48" s="351"/>
      <c r="J48" s="351">
        <v>6000</v>
      </c>
      <c r="K48" s="113">
        <f t="shared" si="1"/>
        <v>6000</v>
      </c>
      <c r="M48" s="346"/>
      <c r="N48" s="364"/>
      <c r="O48" s="351"/>
      <c r="P48" s="351"/>
      <c r="Q48" s="113"/>
    </row>
    <row r="49" spans="1:17" x14ac:dyDescent="0.2">
      <c r="A49" s="346"/>
      <c r="B49" s="270"/>
      <c r="C49" s="351"/>
      <c r="D49" s="351"/>
      <c r="E49" s="113"/>
      <c r="G49" s="90">
        <v>44368</v>
      </c>
      <c r="H49" s="270" t="s">
        <v>3924</v>
      </c>
      <c r="I49" s="351">
        <v>3700</v>
      </c>
      <c r="J49" s="351"/>
      <c r="K49" s="113">
        <f t="shared" si="1"/>
        <v>2300</v>
      </c>
      <c r="M49" s="346"/>
      <c r="N49" s="364"/>
      <c r="O49" s="351"/>
      <c r="P49" s="351"/>
      <c r="Q49" s="113"/>
    </row>
    <row r="50" spans="1:17" x14ac:dyDescent="0.2">
      <c r="A50" s="346"/>
      <c r="B50" s="270"/>
      <c r="C50" s="351"/>
      <c r="D50" s="351"/>
      <c r="E50" s="113"/>
      <c r="G50" s="90"/>
      <c r="H50" s="270"/>
      <c r="I50" s="351"/>
      <c r="J50" s="351"/>
      <c r="K50" s="113"/>
      <c r="M50" s="346"/>
      <c r="N50" s="364"/>
      <c r="O50" s="351"/>
      <c r="P50" s="351"/>
      <c r="Q50" s="113"/>
    </row>
    <row r="51" spans="1:17" x14ac:dyDescent="0.2">
      <c r="A51" s="346"/>
      <c r="B51" s="270"/>
      <c r="C51" s="351"/>
      <c r="D51" s="351"/>
      <c r="E51" s="113"/>
      <c r="G51" s="90"/>
      <c r="H51" s="270"/>
      <c r="I51" s="351"/>
      <c r="J51" s="351"/>
      <c r="K51" s="113"/>
      <c r="M51" s="346"/>
      <c r="N51" s="364"/>
      <c r="O51" s="351"/>
      <c r="P51" s="351"/>
      <c r="Q51" s="113"/>
    </row>
    <row r="52" spans="1:17" x14ac:dyDescent="0.2">
      <c r="A52" s="346"/>
      <c r="B52" s="270"/>
      <c r="C52" s="351"/>
      <c r="D52" s="351"/>
      <c r="E52" s="113"/>
      <c r="G52" s="346"/>
      <c r="H52" s="270"/>
      <c r="I52" s="351"/>
      <c r="J52" s="351"/>
      <c r="K52" s="113"/>
      <c r="M52" s="346"/>
      <c r="N52" s="364"/>
      <c r="O52" s="351"/>
      <c r="P52" s="351"/>
      <c r="Q52" s="113"/>
    </row>
    <row r="53" spans="1:17" x14ac:dyDescent="0.2">
      <c r="A53" s="346"/>
      <c r="B53" s="270"/>
      <c r="C53" s="351"/>
      <c r="D53" s="351"/>
      <c r="E53" s="113"/>
      <c r="G53" s="346"/>
      <c r="H53" s="270"/>
      <c r="I53" s="351"/>
      <c r="J53" s="351"/>
      <c r="K53" s="113"/>
      <c r="M53" s="346"/>
      <c r="N53" s="364"/>
      <c r="O53" s="351"/>
      <c r="P53" s="351"/>
      <c r="Q53" s="113"/>
    </row>
    <row r="54" spans="1:17" x14ac:dyDescent="0.2">
      <c r="A54" s="346"/>
      <c r="B54" s="270"/>
      <c r="C54" s="351"/>
      <c r="D54" s="351"/>
      <c r="E54" s="113"/>
      <c r="G54" s="346"/>
      <c r="H54" s="270"/>
      <c r="I54" s="351"/>
      <c r="J54" s="351"/>
      <c r="K54" s="113"/>
      <c r="M54" s="346"/>
      <c r="N54" s="364"/>
      <c r="O54" s="351"/>
      <c r="P54" s="351"/>
      <c r="Q54" s="113"/>
    </row>
    <row r="55" spans="1:17" x14ac:dyDescent="0.2">
      <c r="A55" s="346"/>
      <c r="B55" s="270"/>
      <c r="C55" s="351"/>
      <c r="D55" s="351"/>
      <c r="E55" s="113"/>
      <c r="G55" s="346"/>
      <c r="H55" s="270"/>
      <c r="I55" s="351"/>
      <c r="J55" s="351"/>
      <c r="K55" s="113"/>
      <c r="M55" s="346"/>
      <c r="N55" s="364"/>
      <c r="O55" s="351"/>
      <c r="P55" s="351"/>
      <c r="Q55" s="113"/>
    </row>
    <row r="56" spans="1:17" x14ac:dyDescent="0.2">
      <c r="A56" s="346"/>
      <c r="B56" s="270"/>
      <c r="C56" s="351"/>
      <c r="D56" s="351"/>
      <c r="E56" s="113"/>
      <c r="G56" s="346"/>
      <c r="H56" s="270"/>
      <c r="I56" s="351"/>
      <c r="J56" s="351"/>
      <c r="K56" s="113"/>
      <c r="M56" s="346"/>
      <c r="N56" s="364"/>
      <c r="O56" s="351"/>
      <c r="P56" s="351"/>
      <c r="Q56" s="113"/>
    </row>
    <row r="57" spans="1:17" x14ac:dyDescent="0.2">
      <c r="A57" s="346"/>
      <c r="B57" s="270"/>
      <c r="C57" s="351"/>
      <c r="D57" s="351"/>
      <c r="E57" s="113"/>
      <c r="G57" s="346"/>
      <c r="H57" s="350"/>
      <c r="I57" s="351"/>
      <c r="J57" s="351"/>
      <c r="K57" s="113"/>
      <c r="M57" s="346"/>
      <c r="N57" s="364"/>
      <c r="O57" s="351"/>
      <c r="P57" s="351"/>
      <c r="Q57" s="113"/>
    </row>
    <row r="58" spans="1:17" x14ac:dyDescent="0.2">
      <c r="A58" s="346"/>
      <c r="B58" s="350"/>
      <c r="C58" s="351"/>
      <c r="D58" s="351"/>
      <c r="E58" s="113"/>
      <c r="G58" s="346"/>
      <c r="H58" s="350"/>
      <c r="I58" s="351"/>
      <c r="J58" s="351"/>
      <c r="K58" s="113"/>
      <c r="M58" s="346"/>
      <c r="N58" s="363"/>
      <c r="O58" s="351"/>
      <c r="P58" s="351"/>
      <c r="Q58" s="113"/>
    </row>
    <row r="59" spans="1:17" x14ac:dyDescent="0.2">
      <c r="A59" s="346"/>
      <c r="B59" s="350"/>
      <c r="C59" s="351"/>
      <c r="D59" s="351"/>
      <c r="E59" s="113"/>
      <c r="G59" s="346"/>
      <c r="H59" s="350"/>
      <c r="I59" s="351"/>
      <c r="J59" s="351"/>
      <c r="K59" s="113"/>
      <c r="M59" s="346"/>
      <c r="N59" s="363"/>
      <c r="O59" s="351"/>
      <c r="P59" s="351"/>
      <c r="Q59" s="113"/>
    </row>
    <row r="60" spans="1:17" x14ac:dyDescent="0.2">
      <c r="A60" s="346"/>
      <c r="B60" s="350"/>
      <c r="C60" s="351"/>
      <c r="D60" s="351"/>
      <c r="E60" s="113"/>
      <c r="G60" s="346"/>
      <c r="H60" s="350"/>
      <c r="I60" s="351"/>
      <c r="J60" s="351"/>
      <c r="K60" s="113"/>
      <c r="M60" s="346"/>
      <c r="N60" s="363"/>
      <c r="O60" s="351"/>
      <c r="P60" s="351"/>
      <c r="Q60" s="113"/>
    </row>
    <row r="61" spans="1:17" x14ac:dyDescent="0.2">
      <c r="A61" s="346"/>
      <c r="B61" s="350"/>
      <c r="C61" s="351"/>
      <c r="D61" s="351"/>
      <c r="E61" s="113"/>
      <c r="G61" s="346"/>
      <c r="H61" s="350"/>
      <c r="I61" s="351"/>
      <c r="J61" s="351"/>
      <c r="K61" s="113"/>
      <c r="M61" s="346"/>
      <c r="N61" s="363"/>
      <c r="O61" s="351"/>
      <c r="P61" s="351"/>
      <c r="Q61" s="113"/>
    </row>
    <row r="62" spans="1:17" x14ac:dyDescent="0.2">
      <c r="A62" s="346"/>
      <c r="B62" s="350"/>
      <c r="C62" s="351"/>
      <c r="D62" s="351"/>
      <c r="E62" s="113"/>
      <c r="G62" s="346"/>
      <c r="H62" s="350"/>
      <c r="I62" s="351"/>
      <c r="J62" s="351"/>
      <c r="K62" s="113"/>
      <c r="M62" s="346"/>
      <c r="N62" s="363"/>
      <c r="O62" s="351"/>
      <c r="P62" s="351"/>
      <c r="Q62" s="113"/>
    </row>
    <row r="63" spans="1:17" x14ac:dyDescent="0.2">
      <c r="A63" s="346"/>
      <c r="B63" s="350"/>
      <c r="C63" s="351"/>
      <c r="D63" s="351"/>
      <c r="E63" s="113"/>
      <c r="G63" s="346"/>
      <c r="H63" s="350"/>
      <c r="I63" s="351"/>
      <c r="J63" s="351"/>
      <c r="K63" s="113"/>
      <c r="M63" s="346"/>
      <c r="N63" s="363"/>
      <c r="O63" s="351"/>
      <c r="P63" s="351"/>
      <c r="Q63" s="113"/>
    </row>
    <row r="64" spans="1:17" x14ac:dyDescent="0.2">
      <c r="A64" s="346"/>
      <c r="B64" s="350"/>
      <c r="C64" s="351"/>
      <c r="D64" s="351"/>
      <c r="E64" s="113"/>
      <c r="G64" s="346"/>
      <c r="H64" s="270"/>
      <c r="I64" s="351"/>
      <c r="J64" s="351"/>
      <c r="K64" s="113"/>
      <c r="M64" s="346"/>
      <c r="N64" s="363"/>
      <c r="O64" s="351"/>
      <c r="P64" s="351"/>
      <c r="Q64" s="113"/>
    </row>
    <row r="65" spans="1:17" x14ac:dyDescent="0.2">
      <c r="A65" s="346"/>
      <c r="B65" s="270"/>
      <c r="C65" s="351"/>
      <c r="D65" s="351"/>
      <c r="E65" s="113"/>
      <c r="G65" s="346"/>
      <c r="H65" s="350"/>
      <c r="I65" s="351"/>
      <c r="J65" s="351"/>
      <c r="K65" s="113"/>
      <c r="M65" s="346"/>
      <c r="N65" s="364"/>
      <c r="O65" s="351"/>
      <c r="P65" s="351"/>
      <c r="Q65" s="113"/>
    </row>
    <row r="66" spans="1:17" x14ac:dyDescent="0.2">
      <c r="A66" s="346"/>
      <c r="B66" s="350"/>
      <c r="C66" s="351"/>
      <c r="D66" s="351"/>
      <c r="E66" s="113"/>
      <c r="G66" s="346"/>
      <c r="H66" s="350"/>
      <c r="I66" s="351"/>
      <c r="J66" s="351"/>
      <c r="K66" s="113"/>
      <c r="M66" s="346"/>
      <c r="N66" s="363"/>
      <c r="O66" s="351"/>
      <c r="P66" s="351"/>
      <c r="Q66" s="113"/>
    </row>
    <row r="67" spans="1:17" x14ac:dyDescent="0.2">
      <c r="A67" s="346"/>
      <c r="B67" s="350"/>
      <c r="C67" s="351"/>
      <c r="D67" s="351"/>
      <c r="E67" s="113"/>
      <c r="G67" s="346"/>
      <c r="H67" s="350"/>
      <c r="I67" s="351"/>
      <c r="J67" s="351"/>
      <c r="K67" s="113"/>
      <c r="M67" s="346"/>
      <c r="N67" s="363"/>
      <c r="O67" s="351"/>
      <c r="P67" s="351"/>
      <c r="Q67" s="113"/>
    </row>
    <row r="68" spans="1:17" x14ac:dyDescent="0.2">
      <c r="A68" s="346"/>
      <c r="B68" s="350"/>
      <c r="C68" s="351"/>
      <c r="D68" s="351"/>
      <c r="E68" s="113"/>
      <c r="G68" s="346"/>
      <c r="H68" s="350"/>
      <c r="I68" s="351"/>
      <c r="J68" s="351"/>
      <c r="K68" s="113"/>
      <c r="M68" s="346"/>
      <c r="N68" s="350"/>
      <c r="O68" s="351"/>
      <c r="P68" s="351"/>
      <c r="Q68" s="113"/>
    </row>
    <row r="69" spans="1:17" x14ac:dyDescent="0.2">
      <c r="A69" s="346"/>
      <c r="B69" s="350"/>
      <c r="C69" s="351"/>
      <c r="D69" s="351"/>
      <c r="E69" s="113"/>
      <c r="G69" s="346"/>
      <c r="H69" s="350"/>
      <c r="I69" s="351"/>
      <c r="J69" s="351"/>
      <c r="K69" s="113"/>
      <c r="M69" s="346"/>
      <c r="N69" s="350"/>
      <c r="O69" s="351"/>
      <c r="P69" s="351"/>
      <c r="Q69" s="113"/>
    </row>
    <row r="70" spans="1:17" x14ac:dyDescent="0.2">
      <c r="A70" s="346"/>
      <c r="B70" s="350"/>
      <c r="C70" s="351"/>
      <c r="D70" s="351"/>
      <c r="E70" s="113"/>
      <c r="G70" s="346"/>
      <c r="H70" s="350"/>
      <c r="I70" s="351"/>
      <c r="J70" s="351"/>
      <c r="K70" s="113"/>
      <c r="M70" s="346"/>
      <c r="N70" s="350"/>
      <c r="O70" s="351"/>
      <c r="P70" s="351"/>
      <c r="Q70" s="113"/>
    </row>
    <row r="71" spans="1:17" x14ac:dyDescent="0.2">
      <c r="A71" s="346"/>
      <c r="B71" s="350"/>
      <c r="C71" s="351"/>
      <c r="D71" s="351"/>
      <c r="E71" s="113"/>
      <c r="G71" s="346"/>
      <c r="H71" s="350"/>
      <c r="I71" s="351"/>
      <c r="J71" s="351"/>
      <c r="K71" s="113"/>
      <c r="M71" s="346"/>
      <c r="N71" s="350"/>
      <c r="O71" s="351"/>
      <c r="P71" s="351"/>
      <c r="Q71" s="113"/>
    </row>
    <row r="72" spans="1:17" x14ac:dyDescent="0.2">
      <c r="A72" s="346"/>
      <c r="B72" s="350"/>
      <c r="C72" s="351"/>
      <c r="D72" s="351"/>
      <c r="E72" s="113"/>
      <c r="G72" s="346"/>
      <c r="H72" s="270"/>
      <c r="I72" s="351"/>
      <c r="J72" s="351"/>
      <c r="K72" s="113"/>
      <c r="M72" s="346"/>
      <c r="N72" s="350"/>
      <c r="O72" s="351"/>
      <c r="P72" s="351"/>
      <c r="Q72" s="113"/>
    </row>
    <row r="73" spans="1:17" x14ac:dyDescent="0.2">
      <c r="A73" s="346"/>
      <c r="B73" s="270"/>
      <c r="C73" s="351"/>
      <c r="D73" s="351"/>
      <c r="E73" s="113"/>
      <c r="G73" s="346"/>
      <c r="H73" s="350"/>
      <c r="I73" s="351"/>
      <c r="J73" s="351"/>
      <c r="K73" s="113"/>
      <c r="M73" s="346"/>
      <c r="N73" s="270"/>
      <c r="O73" s="351"/>
      <c r="P73" s="351"/>
      <c r="Q73" s="113"/>
    </row>
    <row r="74" spans="1:17" x14ac:dyDescent="0.2">
      <c r="A74" s="346"/>
      <c r="B74" s="350"/>
      <c r="C74" s="351"/>
      <c r="D74" s="351"/>
      <c r="E74" s="113"/>
      <c r="G74" s="346"/>
      <c r="H74" s="350"/>
      <c r="I74" s="351"/>
      <c r="J74" s="351"/>
      <c r="K74" s="113"/>
      <c r="M74" s="346"/>
      <c r="N74" s="350"/>
      <c r="O74" s="351"/>
      <c r="P74" s="351"/>
      <c r="Q74" s="113"/>
    </row>
    <row r="75" spans="1:17" x14ac:dyDescent="0.2">
      <c r="A75" s="346"/>
      <c r="B75" s="350"/>
      <c r="C75" s="351"/>
      <c r="D75" s="351"/>
      <c r="E75" s="113"/>
      <c r="G75" s="346"/>
      <c r="H75" s="270"/>
      <c r="I75" s="350"/>
      <c r="J75" s="351"/>
      <c r="K75" s="113"/>
      <c r="M75" s="346"/>
      <c r="N75" s="350"/>
      <c r="O75" s="351"/>
      <c r="P75" s="351"/>
      <c r="Q75" s="113"/>
    </row>
    <row r="76" spans="1:17" x14ac:dyDescent="0.2">
      <c r="A76" s="346"/>
      <c r="B76" s="270"/>
      <c r="C76" s="350"/>
      <c r="D76" s="351"/>
      <c r="E76" s="113"/>
      <c r="G76" s="346"/>
      <c r="H76" s="270"/>
      <c r="I76" s="350"/>
      <c r="J76" s="351"/>
      <c r="K76" s="113"/>
      <c r="M76" s="346"/>
      <c r="N76" s="270"/>
      <c r="O76" s="350"/>
      <c r="P76" s="351"/>
      <c r="Q76" s="113"/>
    </row>
    <row r="77" spans="1:17" x14ac:dyDescent="0.2">
      <c r="A77" s="346"/>
      <c r="B77" s="270"/>
      <c r="C77" s="350"/>
      <c r="D77" s="351"/>
      <c r="E77" s="113"/>
      <c r="G77" s="346"/>
      <c r="H77" s="270"/>
      <c r="I77" s="353"/>
      <c r="J77" s="351"/>
      <c r="K77" s="113"/>
      <c r="M77" s="346"/>
      <c r="N77" s="270"/>
      <c r="O77" s="350"/>
      <c r="P77" s="351"/>
      <c r="Q77" s="113"/>
    </row>
    <row r="78" spans="1:17" x14ac:dyDescent="0.2">
      <c r="A78" s="346"/>
      <c r="B78" s="270"/>
      <c r="C78" s="353"/>
      <c r="D78" s="351"/>
      <c r="E78" s="113"/>
      <c r="G78" s="346"/>
      <c r="H78" s="270"/>
      <c r="I78" s="353"/>
      <c r="J78" s="351"/>
      <c r="K78" s="113"/>
      <c r="M78" s="346"/>
      <c r="N78" s="270"/>
      <c r="O78" s="353"/>
      <c r="P78" s="351"/>
      <c r="Q78" s="113"/>
    </row>
    <row r="79" spans="1:17" x14ac:dyDescent="0.2">
      <c r="A79" s="346"/>
      <c r="B79" s="270"/>
      <c r="C79" s="353"/>
      <c r="D79" s="351"/>
      <c r="E79" s="113"/>
      <c r="G79" s="346"/>
      <c r="H79" s="270"/>
      <c r="I79" s="353"/>
      <c r="J79" s="351"/>
      <c r="K79" s="113"/>
      <c r="M79" s="346"/>
      <c r="N79" s="270"/>
      <c r="O79" s="353"/>
      <c r="P79" s="351"/>
      <c r="Q79" s="113"/>
    </row>
    <row r="80" spans="1:17" x14ac:dyDescent="0.2">
      <c r="A80" s="346"/>
      <c r="B80" s="270"/>
      <c r="C80" s="353"/>
      <c r="D80" s="351"/>
      <c r="E80" s="113"/>
      <c r="G80" s="346"/>
      <c r="H80" s="270"/>
      <c r="I80" s="350"/>
      <c r="J80" s="351"/>
      <c r="K80" s="113"/>
      <c r="M80" s="346"/>
      <c r="N80" s="270"/>
      <c r="O80" s="353"/>
      <c r="P80" s="351"/>
      <c r="Q80" s="113"/>
    </row>
    <row r="81" spans="1:17" x14ac:dyDescent="0.2">
      <c r="A81" s="346"/>
      <c r="B81" s="270"/>
      <c r="C81" s="350"/>
      <c r="D81" s="351"/>
      <c r="E81" s="113"/>
      <c r="G81" s="346"/>
      <c r="H81" s="270"/>
      <c r="I81" s="353"/>
      <c r="J81" s="351"/>
      <c r="K81" s="113"/>
      <c r="M81" s="346"/>
      <c r="N81" s="270"/>
      <c r="O81" s="350"/>
      <c r="P81" s="351"/>
      <c r="Q81" s="113"/>
    </row>
    <row r="82" spans="1:17" x14ac:dyDescent="0.2">
      <c r="A82" s="346"/>
      <c r="B82" s="270"/>
      <c r="C82" s="353"/>
      <c r="D82" s="351"/>
      <c r="E82" s="113"/>
      <c r="G82" s="346"/>
      <c r="H82" s="270"/>
      <c r="I82" s="353"/>
      <c r="J82" s="351"/>
      <c r="K82" s="113"/>
      <c r="M82" s="346"/>
      <c r="N82" s="270"/>
      <c r="O82" s="353"/>
      <c r="P82" s="351"/>
      <c r="Q82" s="113"/>
    </row>
    <row r="83" spans="1:17" x14ac:dyDescent="0.2">
      <c r="A83" s="346"/>
      <c r="B83" s="270"/>
      <c r="C83" s="353"/>
      <c r="D83" s="351"/>
      <c r="E83" s="113"/>
      <c r="G83" s="350"/>
      <c r="H83" s="357"/>
      <c r="I83" s="357"/>
      <c r="J83" s="358"/>
      <c r="K83" s="359"/>
      <c r="M83" s="346"/>
      <c r="N83" s="270"/>
      <c r="O83" s="353"/>
      <c r="P83" s="351"/>
      <c r="Q83" s="113"/>
    </row>
    <row r="84" spans="1:17" x14ac:dyDescent="0.2">
      <c r="A84" s="350"/>
      <c r="B84" s="357"/>
      <c r="C84" s="357"/>
      <c r="D84" s="358"/>
      <c r="E84" s="359"/>
      <c r="G84" s="350"/>
      <c r="H84" s="350"/>
      <c r="I84" s="350"/>
      <c r="J84" s="351"/>
      <c r="K84" s="350"/>
      <c r="M84" s="350"/>
      <c r="N84" s="357"/>
      <c r="O84" s="357"/>
      <c r="P84" s="358"/>
      <c r="Q84" s="359"/>
    </row>
    <row r="85" spans="1:17" x14ac:dyDescent="0.2">
      <c r="A85" s="350"/>
      <c r="B85" s="350"/>
      <c r="C85" s="350"/>
      <c r="D85" s="351"/>
      <c r="E85" s="350"/>
      <c r="G85" s="350"/>
      <c r="H85" s="350"/>
      <c r="I85" s="350"/>
      <c r="J85" s="351"/>
      <c r="K85" s="350"/>
      <c r="M85" s="350"/>
      <c r="N85" s="350"/>
      <c r="O85" s="350"/>
      <c r="P85" s="351"/>
      <c r="Q85" s="350"/>
    </row>
    <row r="86" spans="1:17" x14ac:dyDescent="0.2">
      <c r="A86" s="350"/>
      <c r="B86" s="350"/>
      <c r="C86" s="350"/>
      <c r="D86" s="351"/>
      <c r="E86" s="350"/>
      <c r="G86" s="350"/>
      <c r="H86" s="350"/>
      <c r="I86" s="350"/>
      <c r="J86" s="351"/>
      <c r="K86" s="350"/>
      <c r="M86" s="350"/>
      <c r="N86" s="350"/>
      <c r="O86" s="350"/>
      <c r="P86" s="351"/>
      <c r="Q86" s="350"/>
    </row>
    <row r="87" spans="1:17" x14ac:dyDescent="0.2">
      <c r="A87" s="350"/>
      <c r="B87" s="350"/>
      <c r="C87" s="350"/>
      <c r="D87" s="351"/>
      <c r="E87" s="350"/>
      <c r="G87" s="350"/>
      <c r="H87" s="350"/>
      <c r="I87" s="350"/>
      <c r="J87" s="351"/>
      <c r="K87" s="350"/>
      <c r="M87" s="350"/>
      <c r="N87" s="350"/>
      <c r="O87" s="350"/>
      <c r="P87" s="351"/>
      <c r="Q87" s="350"/>
    </row>
    <row r="88" spans="1:17" x14ac:dyDescent="0.2">
      <c r="A88" s="350"/>
      <c r="B88" s="350"/>
      <c r="C88" s="350"/>
      <c r="D88" s="351"/>
      <c r="E88" s="350"/>
      <c r="G88" s="350"/>
      <c r="H88" s="350"/>
      <c r="I88" s="350"/>
      <c r="J88" s="351"/>
      <c r="K88" s="350"/>
      <c r="M88" s="350"/>
      <c r="N88" s="350"/>
      <c r="O88" s="350"/>
      <c r="P88" s="351"/>
      <c r="Q88" s="350"/>
    </row>
    <row r="89" spans="1:17" x14ac:dyDescent="0.2">
      <c r="A89" s="350"/>
      <c r="B89" s="350"/>
      <c r="C89" s="350"/>
      <c r="D89" s="351"/>
      <c r="E89" s="350"/>
      <c r="G89" s="350"/>
      <c r="H89" s="350"/>
      <c r="I89" s="350"/>
      <c r="J89" s="351"/>
      <c r="K89" s="350"/>
      <c r="M89" s="350"/>
      <c r="N89" s="350"/>
      <c r="O89" s="350"/>
      <c r="P89" s="351"/>
      <c r="Q89" s="350"/>
    </row>
    <row r="90" spans="1:17" x14ac:dyDescent="0.2">
      <c r="A90" s="350"/>
      <c r="B90" s="350"/>
      <c r="C90" s="350"/>
      <c r="D90" s="351"/>
      <c r="E90" s="350"/>
      <c r="G90" s="350"/>
      <c r="H90" s="350"/>
      <c r="I90" s="350"/>
      <c r="J90" s="351"/>
      <c r="K90" s="350"/>
      <c r="M90" s="350"/>
      <c r="N90" s="350"/>
      <c r="O90" s="350"/>
      <c r="P90" s="351"/>
      <c r="Q90" s="350"/>
    </row>
    <row r="91" spans="1:17" x14ac:dyDescent="0.2">
      <c r="A91" s="350"/>
      <c r="B91" s="350"/>
      <c r="C91" s="350"/>
      <c r="D91" s="351"/>
      <c r="E91" s="350"/>
      <c r="M91" s="350"/>
      <c r="N91" s="350"/>
      <c r="O91" s="350"/>
      <c r="P91" s="351"/>
      <c r="Q91" s="350"/>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9"/>
  <sheetViews>
    <sheetView zoomScale="115" zoomScaleNormal="115" workbookViewId="0">
      <selection activeCell="E9" sqref="E9"/>
    </sheetView>
  </sheetViews>
  <sheetFormatPr defaultColWidth="8.85546875" defaultRowHeight="15" x14ac:dyDescent="0.25"/>
  <cols>
    <col min="1" max="1" width="12.42578125" style="5" customWidth="1"/>
    <col min="2" max="2" width="36.28515625" style="5" customWidth="1"/>
    <col min="3" max="3" width="11.5703125" style="5" bestFit="1" customWidth="1"/>
    <col min="4" max="4" width="12.42578125" style="10" bestFit="1" customWidth="1"/>
    <col min="5" max="5" width="11.28515625" style="6" customWidth="1"/>
    <col min="6" max="6" width="15.5703125" style="5" customWidth="1"/>
    <col min="7" max="7" width="11.140625" style="10" bestFit="1" customWidth="1"/>
    <col min="8" max="16384" width="8.85546875" style="5"/>
  </cols>
  <sheetData>
    <row r="1" spans="1:7" s="101" customFormat="1" ht="31.5" x14ac:dyDescent="0.25">
      <c r="A1" s="45" t="s">
        <v>1</v>
      </c>
      <c r="B1" s="45" t="s">
        <v>3</v>
      </c>
      <c r="C1" s="125" t="s">
        <v>4365</v>
      </c>
      <c r="D1" s="125" t="s">
        <v>4364</v>
      </c>
      <c r="E1" s="135" t="s">
        <v>4366</v>
      </c>
      <c r="G1" s="54"/>
    </row>
    <row r="2" spans="1:7" s="101" customFormat="1" ht="15.75" x14ac:dyDescent="0.25">
      <c r="A2" s="144"/>
      <c r="B2" s="127" t="s">
        <v>8115</v>
      </c>
      <c r="C2" s="126"/>
      <c r="D2" s="126">
        <v>2400</v>
      </c>
      <c r="E2" s="136">
        <f>D2</f>
        <v>2400</v>
      </c>
      <c r="G2" s="54"/>
    </row>
    <row r="3" spans="1:7" s="101" customFormat="1" ht="15.75" x14ac:dyDescent="0.25">
      <c r="A3" s="204"/>
      <c r="B3" s="127" t="s">
        <v>468</v>
      </c>
      <c r="C3" s="126"/>
      <c r="D3" s="126">
        <v>10000</v>
      </c>
      <c r="E3" s="136">
        <f t="shared" ref="E3:E9" si="0">E2+D3-C3</f>
        <v>12400</v>
      </c>
      <c r="G3" s="54"/>
    </row>
    <row r="4" spans="1:7" s="101" customFormat="1" ht="15.75" x14ac:dyDescent="0.25">
      <c r="A4" s="204"/>
      <c r="B4" s="127" t="s">
        <v>468</v>
      </c>
      <c r="C4" s="126"/>
      <c r="D4" s="126">
        <v>15000</v>
      </c>
      <c r="E4" s="136">
        <f t="shared" si="0"/>
        <v>27400</v>
      </c>
      <c r="G4" s="54"/>
    </row>
    <row r="5" spans="1:7" s="101" customFormat="1" ht="15.75" x14ac:dyDescent="0.25">
      <c r="A5" s="204"/>
      <c r="B5" s="127" t="s">
        <v>0</v>
      </c>
      <c r="C5" s="126"/>
      <c r="D5" s="126">
        <v>5000</v>
      </c>
      <c r="E5" s="136">
        <f t="shared" si="0"/>
        <v>32400</v>
      </c>
      <c r="G5" s="54"/>
    </row>
    <row r="6" spans="1:7" s="101" customFormat="1" ht="15.75" x14ac:dyDescent="0.25">
      <c r="A6" s="204"/>
      <c r="B6" s="127" t="s">
        <v>3924</v>
      </c>
      <c r="C6" s="126">
        <v>31700</v>
      </c>
      <c r="D6" s="126"/>
      <c r="E6" s="136">
        <f t="shared" si="0"/>
        <v>700</v>
      </c>
      <c r="G6" s="54"/>
    </row>
    <row r="7" spans="1:7" s="101" customFormat="1" ht="15.75" x14ac:dyDescent="0.25">
      <c r="A7" s="90">
        <v>44336</v>
      </c>
      <c r="B7" s="127" t="s">
        <v>295</v>
      </c>
      <c r="C7" s="126"/>
      <c r="D7" s="126">
        <v>15000</v>
      </c>
      <c r="E7" s="136">
        <f t="shared" si="0"/>
        <v>15700</v>
      </c>
      <c r="G7" s="54"/>
    </row>
    <row r="8" spans="1:7" s="101" customFormat="1" ht="15.75" x14ac:dyDescent="0.25">
      <c r="A8" s="90"/>
      <c r="B8" s="127" t="s">
        <v>468</v>
      </c>
      <c r="C8" s="126"/>
      <c r="D8" s="126">
        <v>5000</v>
      </c>
      <c r="E8" s="136">
        <f t="shared" si="0"/>
        <v>20700</v>
      </c>
      <c r="G8" s="54"/>
    </row>
    <row r="9" spans="1:7" s="101" customFormat="1" ht="15.75" x14ac:dyDescent="0.25">
      <c r="A9" s="90">
        <v>44350</v>
      </c>
      <c r="B9" s="127" t="s">
        <v>3924</v>
      </c>
      <c r="C9" s="126">
        <v>17580</v>
      </c>
      <c r="D9" s="126"/>
      <c r="E9" s="136">
        <f t="shared" si="0"/>
        <v>3120</v>
      </c>
      <c r="G9" s="54"/>
    </row>
    <row r="10" spans="1:7" ht="18.75" x14ac:dyDescent="0.3">
      <c r="A10" s="204"/>
      <c r="B10" s="36"/>
      <c r="C10" s="8"/>
      <c r="D10" s="8"/>
      <c r="E10" s="136"/>
      <c r="F10" s="101"/>
      <c r="G10" s="47"/>
    </row>
    <row r="11" spans="1:7" ht="18.75" x14ac:dyDescent="0.3">
      <c r="A11" s="204"/>
      <c r="B11" s="36"/>
      <c r="C11" s="8"/>
      <c r="D11" s="8"/>
      <c r="E11" s="136"/>
      <c r="G11" s="47"/>
    </row>
    <row r="12" spans="1:7" ht="18.75" x14ac:dyDescent="0.3">
      <c r="A12" s="204"/>
      <c r="B12" s="36"/>
      <c r="C12" s="8"/>
      <c r="D12" s="8"/>
      <c r="E12" s="136"/>
      <c r="G12" s="5"/>
    </row>
    <row r="13" spans="1:7" ht="18.75" x14ac:dyDescent="0.3">
      <c r="A13" s="204"/>
      <c r="B13" s="36"/>
      <c r="C13" s="8"/>
      <c r="D13" s="8"/>
      <c r="E13" s="136"/>
      <c r="G13" s="47"/>
    </row>
    <row r="14" spans="1:7" ht="15.75" x14ac:dyDescent="0.25">
      <c r="A14" s="144"/>
      <c r="B14" s="34"/>
      <c r="C14" s="8"/>
      <c r="D14" s="8"/>
      <c r="E14" s="136"/>
      <c r="G14" s="5"/>
    </row>
    <row r="15" spans="1:7" ht="15.75" x14ac:dyDescent="0.25">
      <c r="A15" s="144"/>
      <c r="B15" s="34"/>
      <c r="C15" s="8"/>
      <c r="D15" s="14"/>
      <c r="E15" s="136"/>
      <c r="G15" s="5"/>
    </row>
    <row r="16" spans="1:7" ht="15.75" x14ac:dyDescent="0.25">
      <c r="A16" s="144"/>
      <c r="B16" s="34"/>
      <c r="C16" s="8"/>
      <c r="D16" s="14"/>
      <c r="E16" s="136"/>
      <c r="G16" s="5"/>
    </row>
    <row r="17" spans="1:7" ht="15.75" x14ac:dyDescent="0.25">
      <c r="A17" s="144"/>
      <c r="B17" s="34"/>
      <c r="C17" s="8"/>
      <c r="D17" s="8"/>
      <c r="E17" s="136"/>
      <c r="G17" s="5"/>
    </row>
    <row r="18" spans="1:7" ht="15.75" x14ac:dyDescent="0.25">
      <c r="A18" s="144"/>
      <c r="B18" s="52"/>
      <c r="C18" s="8"/>
      <c r="D18" s="8"/>
      <c r="E18" s="136"/>
      <c r="F18" s="101"/>
    </row>
    <row r="19" spans="1:7" ht="15.75" x14ac:dyDescent="0.25">
      <c r="A19" s="144"/>
      <c r="B19" s="52"/>
      <c r="C19" s="8"/>
      <c r="D19" s="8"/>
      <c r="E19" s="136"/>
      <c r="F19" s="101"/>
    </row>
    <row r="20" spans="1:7" ht="15.75" x14ac:dyDescent="0.25">
      <c r="A20" s="144"/>
      <c r="B20" s="34"/>
      <c r="C20" s="34"/>
      <c r="D20" s="8"/>
      <c r="E20" s="136"/>
    </row>
    <row r="21" spans="1:7" ht="15.75" x14ac:dyDescent="0.25">
      <c r="A21" s="144"/>
      <c r="B21" s="34"/>
      <c r="C21" s="34"/>
      <c r="D21" s="8"/>
      <c r="E21" s="136"/>
    </row>
    <row r="22" spans="1:7" ht="15.75" x14ac:dyDescent="0.25">
      <c r="A22" s="144"/>
      <c r="B22" s="34"/>
      <c r="C22" s="34"/>
      <c r="D22" s="8"/>
      <c r="E22" s="136"/>
    </row>
    <row r="23" spans="1:7" ht="15.75" x14ac:dyDescent="0.25">
      <c r="A23" s="144"/>
      <c r="B23" s="34"/>
      <c r="C23" s="34"/>
      <c r="D23" s="8"/>
      <c r="E23" s="136"/>
    </row>
    <row r="24" spans="1:7" ht="15.75" x14ac:dyDescent="0.25">
      <c r="A24" s="144"/>
      <c r="B24" s="34"/>
      <c r="C24" s="34"/>
      <c r="D24" s="8"/>
      <c r="E24" s="136"/>
    </row>
    <row r="25" spans="1:7" ht="15.75" x14ac:dyDescent="0.25">
      <c r="A25" s="144"/>
      <c r="B25" s="34"/>
      <c r="C25" s="34"/>
      <c r="D25" s="8"/>
      <c r="E25" s="136"/>
    </row>
    <row r="26" spans="1:7" ht="15.75" x14ac:dyDescent="0.25">
      <c r="A26" s="144"/>
      <c r="B26" s="34"/>
      <c r="C26" s="34"/>
      <c r="D26" s="8"/>
      <c r="E26" s="136"/>
      <c r="F26" s="101"/>
    </row>
    <row r="27" spans="1:7" ht="15.75" x14ac:dyDescent="0.25">
      <c r="A27" s="144"/>
      <c r="B27" s="34"/>
      <c r="C27" s="34"/>
      <c r="D27" s="8"/>
      <c r="E27" s="136"/>
      <c r="F27" s="101"/>
    </row>
    <row r="28" spans="1:7" ht="15.75" x14ac:dyDescent="0.25">
      <c r="A28" s="144"/>
      <c r="B28" s="34"/>
      <c r="C28" s="34"/>
      <c r="D28" s="8"/>
      <c r="E28" s="136"/>
    </row>
    <row r="29" spans="1:7" ht="15.75" x14ac:dyDescent="0.25">
      <c r="A29" s="144"/>
      <c r="B29" s="34"/>
      <c r="C29" s="34"/>
      <c r="D29" s="8"/>
      <c r="E29" s="136"/>
    </row>
    <row r="30" spans="1:7" ht="15.75" x14ac:dyDescent="0.25">
      <c r="A30" s="144"/>
      <c r="B30" s="34"/>
      <c r="C30" s="34"/>
      <c r="D30" s="8"/>
      <c r="E30" s="136"/>
    </row>
    <row r="31" spans="1:7" ht="15.75" x14ac:dyDescent="0.25">
      <c r="A31" s="144"/>
      <c r="B31" s="34"/>
      <c r="C31" s="34"/>
      <c r="D31" s="8"/>
      <c r="E31" s="136"/>
    </row>
    <row r="32" spans="1:7" ht="15.75" x14ac:dyDescent="0.25">
      <c r="A32" s="144"/>
      <c r="B32" s="52"/>
      <c r="C32" s="34"/>
      <c r="D32" s="8"/>
      <c r="E32" s="136"/>
    </row>
    <row r="33" spans="1:5" ht="15.75" x14ac:dyDescent="0.25">
      <c r="A33" s="144"/>
      <c r="B33" s="34"/>
      <c r="C33" s="46"/>
      <c r="D33" s="8"/>
      <c r="E33" s="136"/>
    </row>
    <row r="34" spans="1:5" ht="15.75" x14ac:dyDescent="0.25">
      <c r="A34" s="144"/>
      <c r="B34" s="52"/>
      <c r="C34" s="52"/>
      <c r="D34" s="8"/>
      <c r="E34" s="136"/>
    </row>
    <row r="35" spans="1:5" x14ac:dyDescent="0.25">
      <c r="A35" s="34"/>
      <c r="B35" s="52"/>
      <c r="C35" s="52"/>
      <c r="D35" s="8"/>
      <c r="E35" s="136"/>
    </row>
    <row r="36" spans="1:5" x14ac:dyDescent="0.25">
      <c r="B36" s="48"/>
      <c r="E36" s="136"/>
    </row>
    <row r="37" spans="1:5" x14ac:dyDescent="0.25">
      <c r="B37" s="48"/>
      <c r="E37" s="136"/>
    </row>
    <row r="38" spans="1:5" x14ac:dyDescent="0.25">
      <c r="B38" s="48"/>
      <c r="E38" s="136"/>
    </row>
    <row r="39" spans="1:5" x14ac:dyDescent="0.25">
      <c r="B39" s="48"/>
      <c r="E39" s="150"/>
    </row>
    <row r="40" spans="1:5" x14ac:dyDescent="0.25">
      <c r="A40" s="124"/>
      <c r="B40" s="52"/>
      <c r="C40" s="34"/>
      <c r="D40" s="8"/>
      <c r="E40" s="136"/>
    </row>
    <row r="41" spans="1:5" x14ac:dyDescent="0.25">
      <c r="A41" s="124"/>
      <c r="B41" s="52"/>
      <c r="C41" s="34"/>
      <c r="D41" s="8"/>
      <c r="E41" s="136"/>
    </row>
    <row r="42" spans="1:5" x14ac:dyDescent="0.25">
      <c r="A42" s="124"/>
      <c r="B42" s="52"/>
      <c r="C42" s="34"/>
      <c r="D42" s="8"/>
      <c r="E42" s="136"/>
    </row>
    <row r="43" spans="1:5" x14ac:dyDescent="0.25">
      <c r="A43" s="124"/>
      <c r="B43" s="52"/>
      <c r="C43" s="8"/>
      <c r="D43" s="8"/>
      <c r="E43" s="136"/>
    </row>
    <row r="44" spans="1:5" x14ac:dyDescent="0.25">
      <c r="A44" s="124"/>
      <c r="B44" s="52"/>
      <c r="C44" s="8"/>
      <c r="D44" s="8"/>
      <c r="E44" s="136"/>
    </row>
    <row r="45" spans="1:5" x14ac:dyDescent="0.25">
      <c r="A45" s="124"/>
      <c r="B45" s="52"/>
      <c r="C45" s="8"/>
      <c r="D45" s="8"/>
      <c r="E45" s="136"/>
    </row>
    <row r="46" spans="1:5" x14ac:dyDescent="0.25">
      <c r="A46" s="124"/>
      <c r="B46" s="52"/>
      <c r="C46" s="8"/>
      <c r="D46" s="8"/>
      <c r="E46" s="136"/>
    </row>
    <row r="47" spans="1:5" x14ac:dyDescent="0.25">
      <c r="A47" s="124"/>
      <c r="B47" s="52"/>
      <c r="C47" s="8"/>
      <c r="D47" s="8"/>
      <c r="E47" s="136"/>
    </row>
    <row r="48" spans="1:5" x14ac:dyDescent="0.25">
      <c r="A48" s="124"/>
      <c r="B48" s="52"/>
      <c r="C48" s="8"/>
      <c r="D48" s="8"/>
      <c r="E48" s="136"/>
    </row>
    <row r="49" spans="1:5" x14ac:dyDescent="0.25">
      <c r="A49" s="124"/>
      <c r="B49" s="52"/>
      <c r="C49" s="8"/>
      <c r="D49" s="8"/>
      <c r="E49" s="136"/>
    </row>
    <row r="50" spans="1:5" x14ac:dyDescent="0.25">
      <c r="A50" s="124"/>
      <c r="B50" s="52"/>
      <c r="C50" s="8"/>
      <c r="D50" s="8"/>
      <c r="E50" s="136"/>
    </row>
    <row r="51" spans="1:5" x14ac:dyDescent="0.25">
      <c r="A51" s="124"/>
      <c r="B51" s="52"/>
      <c r="C51" s="8"/>
      <c r="D51" s="8"/>
      <c r="E51" s="136"/>
    </row>
    <row r="52" spans="1:5" x14ac:dyDescent="0.25">
      <c r="A52" s="124"/>
      <c r="B52" s="52"/>
      <c r="C52" s="8"/>
      <c r="D52" s="8"/>
      <c r="E52" s="136"/>
    </row>
    <row r="53" spans="1:5" x14ac:dyDescent="0.25">
      <c r="A53" s="124"/>
      <c r="B53" s="52"/>
      <c r="C53" s="8"/>
      <c r="D53" s="8"/>
      <c r="E53" s="136"/>
    </row>
    <row r="54" spans="1:5" x14ac:dyDescent="0.25">
      <c r="A54" s="124"/>
      <c r="B54" s="52"/>
      <c r="C54" s="8"/>
      <c r="D54" s="8"/>
      <c r="E54" s="136"/>
    </row>
    <row r="55" spans="1:5" x14ac:dyDescent="0.25">
      <c r="A55" s="124"/>
      <c r="B55" s="52"/>
      <c r="C55" s="8"/>
      <c r="D55" s="8"/>
      <c r="E55" s="136"/>
    </row>
    <row r="56" spans="1:5" x14ac:dyDescent="0.25">
      <c r="A56" s="124"/>
      <c r="B56" s="34"/>
      <c r="C56" s="8"/>
      <c r="D56" s="8"/>
      <c r="E56" s="136"/>
    </row>
    <row r="57" spans="1:5" x14ac:dyDescent="0.25">
      <c r="A57" s="124"/>
      <c r="B57" s="34"/>
      <c r="C57" s="8"/>
      <c r="D57" s="8"/>
      <c r="E57" s="136"/>
    </row>
    <row r="58" spans="1:5" x14ac:dyDescent="0.25">
      <c r="A58" s="124"/>
      <c r="B58" s="34"/>
      <c r="C58" s="8"/>
      <c r="D58" s="8"/>
      <c r="E58" s="136"/>
    </row>
    <row r="59" spans="1:5" x14ac:dyDescent="0.25">
      <c r="A59" s="124"/>
      <c r="B59" s="34"/>
      <c r="C59" s="8"/>
      <c r="D59" s="8"/>
      <c r="E59" s="136"/>
    </row>
    <row r="60" spans="1:5" x14ac:dyDescent="0.25">
      <c r="A60" s="124"/>
      <c r="B60" s="34"/>
      <c r="C60" s="8"/>
      <c r="D60" s="8"/>
      <c r="E60" s="136"/>
    </row>
    <row r="61" spans="1:5" x14ac:dyDescent="0.25">
      <c r="A61" s="124"/>
      <c r="B61" s="34"/>
      <c r="C61" s="8"/>
      <c r="D61" s="8"/>
      <c r="E61" s="136"/>
    </row>
    <row r="62" spans="1:5" x14ac:dyDescent="0.25">
      <c r="A62" s="124"/>
      <c r="B62" s="34"/>
      <c r="C62" s="8"/>
      <c r="D62" s="8"/>
      <c r="E62" s="136"/>
    </row>
    <row r="63" spans="1:5" x14ac:dyDescent="0.25">
      <c r="A63" s="124"/>
      <c r="B63" s="52"/>
      <c r="C63" s="8"/>
      <c r="D63" s="8"/>
      <c r="E63" s="136"/>
    </row>
    <row r="64" spans="1:5" x14ac:dyDescent="0.25">
      <c r="A64" s="124"/>
      <c r="B64" s="34"/>
      <c r="C64" s="8"/>
      <c r="D64" s="8"/>
      <c r="E64" s="136"/>
    </row>
    <row r="65" spans="1:5" x14ac:dyDescent="0.25">
      <c r="A65" s="124"/>
      <c r="B65" s="34"/>
      <c r="C65" s="8"/>
      <c r="D65" s="8"/>
      <c r="E65" s="136"/>
    </row>
    <row r="66" spans="1:5" x14ac:dyDescent="0.25">
      <c r="A66" s="124"/>
      <c r="B66" s="34"/>
      <c r="C66" s="8"/>
      <c r="D66" s="8"/>
      <c r="E66" s="136"/>
    </row>
    <row r="67" spans="1:5" x14ac:dyDescent="0.25">
      <c r="A67" s="124"/>
      <c r="B67" s="34"/>
      <c r="C67" s="8"/>
      <c r="D67" s="8"/>
      <c r="E67" s="136"/>
    </row>
    <row r="68" spans="1:5" x14ac:dyDescent="0.25">
      <c r="A68" s="124"/>
      <c r="B68" s="34"/>
      <c r="C68" s="8"/>
      <c r="D68" s="8"/>
      <c r="E68" s="136"/>
    </row>
    <row r="69" spans="1:5" x14ac:dyDescent="0.25">
      <c r="A69" s="124"/>
      <c r="B69" s="34"/>
      <c r="C69" s="8"/>
      <c r="D69" s="8"/>
      <c r="E69" s="136"/>
    </row>
    <row r="70" spans="1:5" x14ac:dyDescent="0.25">
      <c r="A70" s="124"/>
      <c r="B70" s="34"/>
      <c r="C70" s="8"/>
      <c r="D70" s="8"/>
      <c r="E70" s="136"/>
    </row>
    <row r="71" spans="1:5" x14ac:dyDescent="0.25">
      <c r="A71" s="124"/>
      <c r="B71" s="52"/>
      <c r="C71" s="8"/>
      <c r="D71" s="8"/>
      <c r="E71" s="136"/>
    </row>
    <row r="72" spans="1:5" x14ac:dyDescent="0.25">
      <c r="A72" s="124"/>
      <c r="B72" s="34"/>
      <c r="C72" s="8"/>
      <c r="D72" s="8"/>
      <c r="E72" s="136"/>
    </row>
    <row r="73" spans="1:5" x14ac:dyDescent="0.25">
      <c r="A73" s="124"/>
      <c r="B73" s="34"/>
      <c r="C73" s="8"/>
      <c r="D73" s="8"/>
      <c r="E73" s="136"/>
    </row>
    <row r="74" spans="1:5" x14ac:dyDescent="0.25">
      <c r="A74" s="124"/>
      <c r="B74" s="52"/>
      <c r="C74" s="34"/>
      <c r="D74" s="8"/>
      <c r="E74" s="136"/>
    </row>
    <row r="75" spans="1:5" x14ac:dyDescent="0.25">
      <c r="A75" s="124"/>
      <c r="B75" s="52"/>
      <c r="C75" s="34"/>
      <c r="D75" s="8"/>
      <c r="E75" s="136"/>
    </row>
    <row r="76" spans="1:5" x14ac:dyDescent="0.25">
      <c r="A76" s="124"/>
      <c r="B76" s="52"/>
      <c r="C76" s="14"/>
      <c r="D76" s="8"/>
      <c r="E76" s="136"/>
    </row>
    <row r="77" spans="1:5" x14ac:dyDescent="0.25">
      <c r="A77" s="124"/>
      <c r="B77" s="52"/>
      <c r="C77" s="14"/>
      <c r="D77" s="8"/>
      <c r="E77" s="136"/>
    </row>
    <row r="78" spans="1:5" x14ac:dyDescent="0.25">
      <c r="A78" s="124"/>
      <c r="B78" s="52"/>
      <c r="C78" s="14"/>
      <c r="D78" s="8"/>
      <c r="E78" s="136"/>
    </row>
    <row r="79" spans="1:5" x14ac:dyDescent="0.25">
      <c r="A79" s="124"/>
      <c r="B79" s="52"/>
      <c r="C79" s="34"/>
      <c r="D79" s="8"/>
      <c r="E79" s="136"/>
    </row>
    <row r="80" spans="1:5" x14ac:dyDescent="0.25">
      <c r="A80" s="124"/>
      <c r="B80" s="52"/>
      <c r="C80" s="14"/>
      <c r="D80" s="8"/>
      <c r="E80" s="136"/>
    </row>
    <row r="81" spans="1:5" x14ac:dyDescent="0.25">
      <c r="A81" s="124"/>
      <c r="B81" s="52"/>
      <c r="C81" s="14"/>
      <c r="D81" s="8"/>
      <c r="E81" s="136"/>
    </row>
    <row r="82" spans="1:5" x14ac:dyDescent="0.25">
      <c r="A82" s="34"/>
      <c r="B82" s="137"/>
      <c r="C82" s="137"/>
      <c r="D82" s="139"/>
      <c r="E82" s="171"/>
    </row>
    <row r="83" spans="1:5" x14ac:dyDescent="0.25">
      <c r="A83" s="34"/>
      <c r="B83" s="34"/>
      <c r="C83" s="34"/>
      <c r="D83" s="8"/>
      <c r="E83" s="26"/>
    </row>
    <row r="84" spans="1:5" x14ac:dyDescent="0.25">
      <c r="A84" s="34"/>
      <c r="B84" s="34"/>
      <c r="C84" s="34"/>
      <c r="D84" s="8"/>
      <c r="E84" s="26"/>
    </row>
    <row r="85" spans="1:5" x14ac:dyDescent="0.25">
      <c r="A85" s="34"/>
      <c r="B85" s="34"/>
      <c r="C85" s="34"/>
      <c r="D85" s="8"/>
      <c r="E85" s="26"/>
    </row>
    <row r="86" spans="1:5" x14ac:dyDescent="0.25">
      <c r="A86" s="34"/>
      <c r="B86" s="34"/>
      <c r="C86" s="34"/>
      <c r="D86" s="8"/>
      <c r="E86" s="26"/>
    </row>
    <row r="87" spans="1:5" x14ac:dyDescent="0.25">
      <c r="A87" s="34"/>
      <c r="B87" s="34"/>
      <c r="C87" s="34"/>
      <c r="D87" s="8"/>
      <c r="E87" s="26"/>
    </row>
    <row r="88" spans="1:5" x14ac:dyDescent="0.25">
      <c r="A88" s="34"/>
      <c r="B88" s="34"/>
      <c r="C88" s="34"/>
      <c r="D88" s="8"/>
      <c r="E88" s="26"/>
    </row>
    <row r="89" spans="1:5" x14ac:dyDescent="0.25">
      <c r="A89" s="34"/>
      <c r="B89" s="34"/>
      <c r="C89" s="34"/>
      <c r="D89" s="8"/>
      <c r="E89" s="26"/>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9"/>
  <sheetViews>
    <sheetView zoomScale="115" zoomScaleNormal="115" workbookViewId="0">
      <selection activeCell="E13" sqref="E13"/>
    </sheetView>
  </sheetViews>
  <sheetFormatPr defaultColWidth="8.85546875" defaultRowHeight="15" x14ac:dyDescent="0.25"/>
  <cols>
    <col min="1" max="1" width="12.42578125" style="5" customWidth="1"/>
    <col min="2" max="2" width="36.28515625" style="5" customWidth="1"/>
    <col min="3" max="3" width="11.5703125" style="5" bestFit="1" customWidth="1"/>
    <col min="4" max="4" width="12.42578125" style="10" bestFit="1" customWidth="1"/>
    <col min="5" max="5" width="11.28515625" style="6" customWidth="1"/>
    <col min="6" max="6" width="15.5703125" style="5" customWidth="1"/>
    <col min="7" max="7" width="11.140625" style="10" bestFit="1" customWidth="1"/>
    <col min="8" max="16384" width="8.85546875" style="5"/>
  </cols>
  <sheetData>
    <row r="1" spans="1:7" s="101" customFormat="1" ht="31.5" x14ac:dyDescent="0.25">
      <c r="A1" s="45" t="s">
        <v>1</v>
      </c>
      <c r="B1" s="45" t="s">
        <v>3</v>
      </c>
      <c r="C1" s="125" t="s">
        <v>4365</v>
      </c>
      <c r="D1" s="125" t="s">
        <v>4364</v>
      </c>
      <c r="E1" s="135" t="s">
        <v>4366</v>
      </c>
      <c r="G1" s="54"/>
    </row>
    <row r="2" spans="1:7" s="101" customFormat="1" ht="15.75" x14ac:dyDescent="0.25">
      <c r="A2" s="144"/>
      <c r="B2" s="127" t="s">
        <v>295</v>
      </c>
      <c r="C2" s="126"/>
      <c r="D2" s="126">
        <v>36500</v>
      </c>
      <c r="E2" s="136">
        <f>D2</f>
        <v>36500</v>
      </c>
      <c r="G2" s="54"/>
    </row>
    <row r="3" spans="1:7" s="101" customFormat="1" ht="15.75" x14ac:dyDescent="0.25">
      <c r="A3" s="204">
        <v>44268</v>
      </c>
      <c r="B3" s="127" t="s">
        <v>4390</v>
      </c>
      <c r="C3" s="126">
        <v>36100</v>
      </c>
      <c r="D3" s="126"/>
      <c r="E3" s="136">
        <f>E2+D3-C3</f>
        <v>400</v>
      </c>
      <c r="G3" s="54"/>
    </row>
    <row r="4" spans="1:7" s="101" customFormat="1" ht="15.75" x14ac:dyDescent="0.25">
      <c r="A4" s="204">
        <v>44274</v>
      </c>
      <c r="B4" s="127" t="s">
        <v>7842</v>
      </c>
      <c r="C4" s="126"/>
      <c r="D4" s="126">
        <v>3000</v>
      </c>
      <c r="E4" s="136">
        <f>E3+D4-C4</f>
        <v>3400</v>
      </c>
      <c r="G4" s="54"/>
    </row>
    <row r="5" spans="1:7" s="101" customFormat="1" ht="15.75" x14ac:dyDescent="0.25">
      <c r="A5" s="204">
        <v>44277</v>
      </c>
      <c r="B5" s="127" t="s">
        <v>3924</v>
      </c>
      <c r="C5" s="126">
        <v>2500</v>
      </c>
      <c r="D5" s="126"/>
      <c r="E5" s="136">
        <f>E4+D5-C5</f>
        <v>900</v>
      </c>
      <c r="G5" s="54"/>
    </row>
    <row r="6" spans="1:7" s="101" customFormat="1" ht="15.75" x14ac:dyDescent="0.25">
      <c r="A6" s="204">
        <v>44287</v>
      </c>
      <c r="B6" s="127" t="s">
        <v>295</v>
      </c>
      <c r="C6" s="126"/>
      <c r="D6" s="126">
        <v>2000</v>
      </c>
      <c r="E6" s="136">
        <f>E5+D6</f>
        <v>2900</v>
      </c>
      <c r="G6" s="54"/>
    </row>
    <row r="7" spans="1:7" s="101" customFormat="1" ht="15.75" x14ac:dyDescent="0.25">
      <c r="A7" s="204">
        <v>44291</v>
      </c>
      <c r="B7" s="127" t="s">
        <v>295</v>
      </c>
      <c r="C7" s="126"/>
      <c r="D7" s="126">
        <v>10000</v>
      </c>
      <c r="E7" s="136">
        <f>E6+D7</f>
        <v>12900</v>
      </c>
      <c r="G7" s="54"/>
    </row>
    <row r="8" spans="1:7" s="101" customFormat="1" ht="15.75" x14ac:dyDescent="0.25">
      <c r="A8" s="204">
        <v>44291</v>
      </c>
      <c r="B8" s="127" t="s">
        <v>4390</v>
      </c>
      <c r="C8" s="126">
        <f>1900+1150</f>
        <v>3050</v>
      </c>
      <c r="D8" s="126"/>
      <c r="E8" s="136">
        <f t="shared" ref="E8:E13" si="0">E7-C8+D8</f>
        <v>9850</v>
      </c>
      <c r="G8" s="54"/>
    </row>
    <row r="9" spans="1:7" s="101" customFormat="1" ht="15.75" x14ac:dyDescent="0.25">
      <c r="A9" s="204">
        <v>44299</v>
      </c>
      <c r="B9" s="127" t="s">
        <v>4390</v>
      </c>
      <c r="C9" s="126">
        <v>9370</v>
      </c>
      <c r="D9" s="126"/>
      <c r="E9" s="136">
        <f t="shared" si="0"/>
        <v>480</v>
      </c>
      <c r="G9" s="54"/>
    </row>
    <row r="10" spans="1:7" ht="15.75" x14ac:dyDescent="0.25">
      <c r="A10" s="204">
        <v>44337</v>
      </c>
      <c r="B10" s="127" t="s">
        <v>295</v>
      </c>
      <c r="C10" s="8"/>
      <c r="D10" s="8">
        <v>4000</v>
      </c>
      <c r="E10" s="136">
        <f t="shared" si="0"/>
        <v>4480</v>
      </c>
      <c r="F10" s="101"/>
      <c r="G10" s="47"/>
    </row>
    <row r="11" spans="1:7" ht="15.75" x14ac:dyDescent="0.25">
      <c r="A11" s="204">
        <v>44345</v>
      </c>
      <c r="B11" s="127" t="s">
        <v>4390</v>
      </c>
      <c r="C11" s="8">
        <v>3600</v>
      </c>
      <c r="D11" s="8"/>
      <c r="E11" s="136">
        <f t="shared" si="0"/>
        <v>880</v>
      </c>
      <c r="G11" s="47"/>
    </row>
    <row r="12" spans="1:7" ht="15.75" x14ac:dyDescent="0.25">
      <c r="A12" s="204">
        <v>44345</v>
      </c>
      <c r="B12" s="127" t="s">
        <v>295</v>
      </c>
      <c r="C12" s="8"/>
      <c r="D12" s="8">
        <v>1000</v>
      </c>
      <c r="E12" s="136">
        <f t="shared" si="0"/>
        <v>1880</v>
      </c>
      <c r="G12" s="5"/>
    </row>
    <row r="13" spans="1:7" ht="31.5" x14ac:dyDescent="0.25">
      <c r="A13" s="204">
        <v>44385</v>
      </c>
      <c r="B13" s="127" t="s">
        <v>8421</v>
      </c>
      <c r="C13" s="8"/>
      <c r="D13" s="8">
        <v>2000</v>
      </c>
      <c r="E13" s="136">
        <f t="shared" si="0"/>
        <v>3880</v>
      </c>
      <c r="G13" s="47"/>
    </row>
    <row r="14" spans="1:7" ht="15.75" x14ac:dyDescent="0.25">
      <c r="A14" s="144"/>
      <c r="B14" s="34"/>
      <c r="C14" s="8"/>
      <c r="D14" s="8"/>
      <c r="E14" s="136"/>
      <c r="G14" s="5"/>
    </row>
    <row r="15" spans="1:7" ht="15.75" x14ac:dyDescent="0.25">
      <c r="A15" s="144"/>
      <c r="B15" s="34"/>
      <c r="C15" s="8"/>
      <c r="D15" s="14"/>
      <c r="E15" s="136"/>
      <c r="G15" s="5"/>
    </row>
    <row r="16" spans="1:7" ht="15.75" x14ac:dyDescent="0.25">
      <c r="A16" s="144"/>
      <c r="B16" s="34"/>
      <c r="C16" s="8"/>
      <c r="D16" s="14"/>
      <c r="E16" s="136"/>
      <c r="G16" s="5"/>
    </row>
    <row r="17" spans="1:7" ht="15.75" x14ac:dyDescent="0.25">
      <c r="A17" s="144"/>
      <c r="B17" s="34"/>
      <c r="C17" s="8"/>
      <c r="D17" s="8"/>
      <c r="E17" s="136"/>
      <c r="G17" s="5"/>
    </row>
    <row r="18" spans="1:7" ht="15.75" x14ac:dyDescent="0.25">
      <c r="A18" s="144"/>
      <c r="B18" s="52"/>
      <c r="C18" s="8"/>
      <c r="D18" s="8"/>
      <c r="E18" s="136"/>
      <c r="F18" s="101"/>
    </row>
    <row r="19" spans="1:7" ht="15.75" x14ac:dyDescent="0.25">
      <c r="A19" s="144"/>
      <c r="B19" s="52"/>
      <c r="C19" s="8"/>
      <c r="D19" s="8"/>
      <c r="E19" s="136"/>
      <c r="F19" s="101"/>
    </row>
    <row r="20" spans="1:7" ht="15.75" x14ac:dyDescent="0.25">
      <c r="A20" s="144"/>
      <c r="B20" s="34"/>
      <c r="C20" s="34"/>
      <c r="D20" s="8"/>
      <c r="E20" s="136"/>
    </row>
    <row r="21" spans="1:7" ht="15.75" x14ac:dyDescent="0.25">
      <c r="A21" s="144"/>
      <c r="B21" s="34"/>
      <c r="C21" s="34"/>
      <c r="D21" s="8"/>
      <c r="E21" s="136"/>
    </row>
    <row r="22" spans="1:7" ht="15.75" x14ac:dyDescent="0.25">
      <c r="A22" s="144"/>
      <c r="B22" s="34"/>
      <c r="C22" s="34"/>
      <c r="D22" s="8"/>
      <c r="E22" s="136"/>
    </row>
    <row r="23" spans="1:7" ht="15.75" x14ac:dyDescent="0.25">
      <c r="A23" s="144"/>
      <c r="B23" s="34"/>
      <c r="C23" s="34"/>
      <c r="D23" s="8"/>
      <c r="E23" s="136"/>
    </row>
    <row r="24" spans="1:7" ht="15.75" x14ac:dyDescent="0.25">
      <c r="A24" s="144"/>
      <c r="B24" s="34"/>
      <c r="C24" s="34"/>
      <c r="D24" s="8"/>
      <c r="E24" s="136"/>
    </row>
    <row r="25" spans="1:7" ht="15.75" x14ac:dyDescent="0.25">
      <c r="A25" s="144"/>
      <c r="B25" s="34"/>
      <c r="C25" s="34"/>
      <c r="D25" s="8"/>
      <c r="E25" s="136"/>
    </row>
    <row r="26" spans="1:7" ht="15.75" x14ac:dyDescent="0.25">
      <c r="A26" s="144"/>
      <c r="B26" s="34"/>
      <c r="C26" s="34"/>
      <c r="D26" s="8"/>
      <c r="E26" s="136"/>
      <c r="F26" s="101"/>
    </row>
    <row r="27" spans="1:7" ht="15.75" x14ac:dyDescent="0.25">
      <c r="A27" s="144"/>
      <c r="B27" s="34"/>
      <c r="C27" s="34"/>
      <c r="D27" s="8"/>
      <c r="E27" s="136"/>
      <c r="F27" s="101"/>
    </row>
    <row r="28" spans="1:7" ht="15.75" x14ac:dyDescent="0.25">
      <c r="A28" s="144"/>
      <c r="B28" s="34"/>
      <c r="C28" s="34"/>
      <c r="D28" s="8"/>
      <c r="E28" s="136"/>
    </row>
    <row r="29" spans="1:7" ht="15.75" x14ac:dyDescent="0.25">
      <c r="A29" s="144"/>
      <c r="B29" s="34"/>
      <c r="C29" s="34"/>
      <c r="D29" s="8"/>
      <c r="E29" s="136"/>
    </row>
    <row r="30" spans="1:7" ht="15.75" x14ac:dyDescent="0.25">
      <c r="A30" s="144"/>
      <c r="B30" s="34"/>
      <c r="C30" s="34"/>
      <c r="D30" s="8"/>
      <c r="E30" s="136"/>
    </row>
    <row r="31" spans="1:7" ht="15.75" x14ac:dyDescent="0.25">
      <c r="A31" s="144"/>
      <c r="B31" s="34"/>
      <c r="C31" s="34"/>
      <c r="D31" s="8"/>
      <c r="E31" s="136"/>
    </row>
    <row r="32" spans="1:7" ht="15.75" x14ac:dyDescent="0.25">
      <c r="A32" s="144"/>
      <c r="B32" s="52"/>
      <c r="C32" s="34"/>
      <c r="D32" s="8"/>
      <c r="E32" s="136"/>
    </row>
    <row r="33" spans="1:5" ht="15.75" x14ac:dyDescent="0.25">
      <c r="A33" s="144"/>
      <c r="B33" s="34"/>
      <c r="C33" s="46"/>
      <c r="D33" s="8"/>
      <c r="E33" s="136"/>
    </row>
    <row r="34" spans="1:5" ht="15.75" x14ac:dyDescent="0.25">
      <c r="A34" s="144"/>
      <c r="B34" s="52"/>
      <c r="C34" s="52"/>
      <c r="D34" s="8"/>
      <c r="E34" s="136"/>
    </row>
    <row r="35" spans="1:5" x14ac:dyDescent="0.25">
      <c r="A35" s="34"/>
      <c r="B35" s="52"/>
      <c r="C35" s="52"/>
      <c r="D35" s="8"/>
      <c r="E35" s="136"/>
    </row>
    <row r="36" spans="1:5" x14ac:dyDescent="0.25">
      <c r="B36" s="48"/>
      <c r="E36" s="136"/>
    </row>
    <row r="37" spans="1:5" x14ac:dyDescent="0.25">
      <c r="B37" s="48"/>
      <c r="E37" s="136"/>
    </row>
    <row r="38" spans="1:5" x14ac:dyDescent="0.25">
      <c r="B38" s="48"/>
      <c r="E38" s="136"/>
    </row>
    <row r="39" spans="1:5" x14ac:dyDescent="0.25">
      <c r="B39" s="48"/>
      <c r="E39" s="150"/>
    </row>
    <row r="40" spans="1:5" x14ac:dyDescent="0.25">
      <c r="A40" s="124"/>
      <c r="B40" s="52"/>
      <c r="C40" s="34"/>
      <c r="D40" s="8"/>
      <c r="E40" s="136"/>
    </row>
    <row r="41" spans="1:5" x14ac:dyDescent="0.25">
      <c r="A41" s="124"/>
      <c r="B41" s="52"/>
      <c r="C41" s="34"/>
      <c r="D41" s="8"/>
      <c r="E41" s="136"/>
    </row>
    <row r="42" spans="1:5" x14ac:dyDescent="0.25">
      <c r="A42" s="124"/>
      <c r="B42" s="52"/>
      <c r="C42" s="34"/>
      <c r="D42" s="8"/>
      <c r="E42" s="136"/>
    </row>
    <row r="43" spans="1:5" x14ac:dyDescent="0.25">
      <c r="A43" s="124"/>
      <c r="B43" s="52"/>
      <c r="C43" s="8"/>
      <c r="D43" s="8"/>
      <c r="E43" s="136"/>
    </row>
    <row r="44" spans="1:5" x14ac:dyDescent="0.25">
      <c r="A44" s="124"/>
      <c r="B44" s="52"/>
      <c r="C44" s="8"/>
      <c r="D44" s="8"/>
      <c r="E44" s="136"/>
    </row>
    <row r="45" spans="1:5" x14ac:dyDescent="0.25">
      <c r="A45" s="124"/>
      <c r="B45" s="52"/>
      <c r="C45" s="8"/>
      <c r="D45" s="8"/>
      <c r="E45" s="136"/>
    </row>
    <row r="46" spans="1:5" x14ac:dyDescent="0.25">
      <c r="A46" s="124"/>
      <c r="B46" s="52"/>
      <c r="C46" s="8"/>
      <c r="D46" s="8"/>
      <c r="E46" s="136"/>
    </row>
    <row r="47" spans="1:5" x14ac:dyDescent="0.25">
      <c r="A47" s="124"/>
      <c r="B47" s="52"/>
      <c r="C47" s="8"/>
      <c r="D47" s="8"/>
      <c r="E47" s="136"/>
    </row>
    <row r="48" spans="1:5" x14ac:dyDescent="0.25">
      <c r="A48" s="124"/>
      <c r="B48" s="52"/>
      <c r="C48" s="8"/>
      <c r="D48" s="8"/>
      <c r="E48" s="136"/>
    </row>
    <row r="49" spans="1:5" x14ac:dyDescent="0.25">
      <c r="A49" s="124"/>
      <c r="B49" s="52"/>
      <c r="C49" s="8"/>
      <c r="D49" s="8"/>
      <c r="E49" s="136"/>
    </row>
    <row r="50" spans="1:5" x14ac:dyDescent="0.25">
      <c r="A50" s="124"/>
      <c r="B50" s="52"/>
      <c r="C50" s="8"/>
      <c r="D50" s="8"/>
      <c r="E50" s="136"/>
    </row>
    <row r="51" spans="1:5" x14ac:dyDescent="0.25">
      <c r="A51" s="124"/>
      <c r="B51" s="52"/>
      <c r="C51" s="8"/>
      <c r="D51" s="8"/>
      <c r="E51" s="136"/>
    </row>
    <row r="52" spans="1:5" x14ac:dyDescent="0.25">
      <c r="A52" s="124"/>
      <c r="B52" s="52"/>
      <c r="C52" s="8"/>
      <c r="D52" s="8"/>
      <c r="E52" s="136"/>
    </row>
    <row r="53" spans="1:5" x14ac:dyDescent="0.25">
      <c r="A53" s="124"/>
      <c r="B53" s="52"/>
      <c r="C53" s="8"/>
      <c r="D53" s="8"/>
      <c r="E53" s="136"/>
    </row>
    <row r="54" spans="1:5" x14ac:dyDescent="0.25">
      <c r="A54" s="124"/>
      <c r="B54" s="52"/>
      <c r="C54" s="8"/>
      <c r="D54" s="8"/>
      <c r="E54" s="136"/>
    </row>
    <row r="55" spans="1:5" x14ac:dyDescent="0.25">
      <c r="A55" s="124"/>
      <c r="B55" s="52"/>
      <c r="C55" s="8"/>
      <c r="D55" s="8"/>
      <c r="E55" s="136"/>
    </row>
    <row r="56" spans="1:5" x14ac:dyDescent="0.25">
      <c r="A56" s="124"/>
      <c r="B56" s="34"/>
      <c r="C56" s="8"/>
      <c r="D56" s="8"/>
      <c r="E56" s="136"/>
    </row>
    <row r="57" spans="1:5" x14ac:dyDescent="0.25">
      <c r="A57" s="124"/>
      <c r="B57" s="34"/>
      <c r="C57" s="8"/>
      <c r="D57" s="8"/>
      <c r="E57" s="136"/>
    </row>
    <row r="58" spans="1:5" x14ac:dyDescent="0.25">
      <c r="A58" s="124"/>
      <c r="B58" s="34"/>
      <c r="C58" s="8"/>
      <c r="D58" s="8"/>
      <c r="E58" s="136"/>
    </row>
    <row r="59" spans="1:5" x14ac:dyDescent="0.25">
      <c r="A59" s="124"/>
      <c r="B59" s="34"/>
      <c r="C59" s="8"/>
      <c r="D59" s="8"/>
      <c r="E59" s="136"/>
    </row>
    <row r="60" spans="1:5" x14ac:dyDescent="0.25">
      <c r="A60" s="124"/>
      <c r="B60" s="34"/>
      <c r="C60" s="8"/>
      <c r="D60" s="8"/>
      <c r="E60" s="136"/>
    </row>
    <row r="61" spans="1:5" x14ac:dyDescent="0.25">
      <c r="A61" s="124"/>
      <c r="B61" s="34"/>
      <c r="C61" s="8"/>
      <c r="D61" s="8"/>
      <c r="E61" s="136"/>
    </row>
    <row r="62" spans="1:5" x14ac:dyDescent="0.25">
      <c r="A62" s="124"/>
      <c r="B62" s="34"/>
      <c r="C62" s="8"/>
      <c r="D62" s="8"/>
      <c r="E62" s="136"/>
    </row>
    <row r="63" spans="1:5" x14ac:dyDescent="0.25">
      <c r="A63" s="124"/>
      <c r="B63" s="52"/>
      <c r="C63" s="8"/>
      <c r="D63" s="8"/>
      <c r="E63" s="136"/>
    </row>
    <row r="64" spans="1:5" x14ac:dyDescent="0.25">
      <c r="A64" s="124"/>
      <c r="B64" s="34"/>
      <c r="C64" s="8"/>
      <c r="D64" s="8"/>
      <c r="E64" s="136"/>
    </row>
    <row r="65" spans="1:5" x14ac:dyDescent="0.25">
      <c r="A65" s="124"/>
      <c r="B65" s="34"/>
      <c r="C65" s="8"/>
      <c r="D65" s="8"/>
      <c r="E65" s="136"/>
    </row>
    <row r="66" spans="1:5" x14ac:dyDescent="0.25">
      <c r="A66" s="124"/>
      <c r="B66" s="34"/>
      <c r="C66" s="8"/>
      <c r="D66" s="8"/>
      <c r="E66" s="136"/>
    </row>
    <row r="67" spans="1:5" x14ac:dyDescent="0.25">
      <c r="A67" s="124"/>
      <c r="B67" s="34"/>
      <c r="C67" s="8"/>
      <c r="D67" s="8"/>
      <c r="E67" s="136"/>
    </row>
    <row r="68" spans="1:5" x14ac:dyDescent="0.25">
      <c r="A68" s="124"/>
      <c r="B68" s="34"/>
      <c r="C68" s="8"/>
      <c r="D68" s="8"/>
      <c r="E68" s="136"/>
    </row>
    <row r="69" spans="1:5" x14ac:dyDescent="0.25">
      <c r="A69" s="124"/>
      <c r="B69" s="34"/>
      <c r="C69" s="8"/>
      <c r="D69" s="8"/>
      <c r="E69" s="136"/>
    </row>
    <row r="70" spans="1:5" x14ac:dyDescent="0.25">
      <c r="A70" s="124"/>
      <c r="B70" s="34"/>
      <c r="C70" s="8"/>
      <c r="D70" s="8"/>
      <c r="E70" s="136"/>
    </row>
    <row r="71" spans="1:5" x14ac:dyDescent="0.25">
      <c r="A71" s="124"/>
      <c r="B71" s="52"/>
      <c r="C71" s="8"/>
      <c r="D71" s="8"/>
      <c r="E71" s="136"/>
    </row>
    <row r="72" spans="1:5" x14ac:dyDescent="0.25">
      <c r="A72" s="124"/>
      <c r="B72" s="34"/>
      <c r="C72" s="8"/>
      <c r="D72" s="8"/>
      <c r="E72" s="136"/>
    </row>
    <row r="73" spans="1:5" x14ac:dyDescent="0.25">
      <c r="A73" s="124"/>
      <c r="B73" s="34"/>
      <c r="C73" s="8"/>
      <c r="D73" s="8"/>
      <c r="E73" s="136"/>
    </row>
    <row r="74" spans="1:5" x14ac:dyDescent="0.25">
      <c r="A74" s="124"/>
      <c r="B74" s="52"/>
      <c r="C74" s="34"/>
      <c r="D74" s="8"/>
      <c r="E74" s="136"/>
    </row>
    <row r="75" spans="1:5" x14ac:dyDescent="0.25">
      <c r="A75" s="124"/>
      <c r="B75" s="52"/>
      <c r="C75" s="34"/>
      <c r="D75" s="8"/>
      <c r="E75" s="136"/>
    </row>
    <row r="76" spans="1:5" x14ac:dyDescent="0.25">
      <c r="A76" s="124"/>
      <c r="B76" s="52"/>
      <c r="C76" s="14"/>
      <c r="D76" s="8"/>
      <c r="E76" s="136"/>
    </row>
    <row r="77" spans="1:5" x14ac:dyDescent="0.25">
      <c r="A77" s="124"/>
      <c r="B77" s="52"/>
      <c r="C77" s="14"/>
      <c r="D77" s="8"/>
      <c r="E77" s="136"/>
    </row>
    <row r="78" spans="1:5" x14ac:dyDescent="0.25">
      <c r="A78" s="124"/>
      <c r="B78" s="52"/>
      <c r="C78" s="14"/>
      <c r="D78" s="8"/>
      <c r="E78" s="136"/>
    </row>
    <row r="79" spans="1:5" x14ac:dyDescent="0.25">
      <c r="A79" s="124"/>
      <c r="B79" s="52"/>
      <c r="C79" s="34"/>
      <c r="D79" s="8"/>
      <c r="E79" s="136"/>
    </row>
    <row r="80" spans="1:5" x14ac:dyDescent="0.25">
      <c r="A80" s="124"/>
      <c r="B80" s="52"/>
      <c r="C80" s="14"/>
      <c r="D80" s="8"/>
      <c r="E80" s="136"/>
    </row>
    <row r="81" spans="1:5" x14ac:dyDescent="0.25">
      <c r="A81" s="124"/>
      <c r="B81" s="52"/>
      <c r="C81" s="14"/>
      <c r="D81" s="8"/>
      <c r="E81" s="136"/>
    </row>
    <row r="82" spans="1:5" x14ac:dyDescent="0.25">
      <c r="A82" s="34"/>
      <c r="B82" s="137"/>
      <c r="C82" s="137"/>
      <c r="D82" s="139"/>
      <c r="E82" s="171"/>
    </row>
    <row r="83" spans="1:5" x14ac:dyDescent="0.25">
      <c r="A83" s="34"/>
      <c r="B83" s="34"/>
      <c r="C83" s="34"/>
      <c r="D83" s="8"/>
      <c r="E83" s="26"/>
    </row>
    <row r="84" spans="1:5" x14ac:dyDescent="0.25">
      <c r="A84" s="34"/>
      <c r="B84" s="34"/>
      <c r="C84" s="34"/>
      <c r="D84" s="8"/>
      <c r="E84" s="26"/>
    </row>
    <row r="85" spans="1:5" x14ac:dyDescent="0.25">
      <c r="A85" s="34"/>
      <c r="B85" s="34"/>
      <c r="C85" s="34"/>
      <c r="D85" s="8"/>
      <c r="E85" s="26"/>
    </row>
    <row r="86" spans="1:5" x14ac:dyDescent="0.25">
      <c r="A86" s="34"/>
      <c r="B86" s="34"/>
      <c r="C86" s="34"/>
      <c r="D86" s="8"/>
      <c r="E86" s="26"/>
    </row>
    <row r="87" spans="1:5" x14ac:dyDescent="0.25">
      <c r="A87" s="34"/>
      <c r="B87" s="34"/>
      <c r="C87" s="34"/>
      <c r="D87" s="8"/>
      <c r="E87" s="26"/>
    </row>
    <row r="88" spans="1:5" x14ac:dyDescent="0.25">
      <c r="A88" s="34"/>
      <c r="B88" s="34"/>
      <c r="C88" s="34"/>
      <c r="D88" s="8"/>
      <c r="E88" s="26"/>
    </row>
    <row r="89" spans="1:5" x14ac:dyDescent="0.25">
      <c r="A89" s="34"/>
      <c r="B89" s="34"/>
      <c r="C89" s="34"/>
      <c r="D89" s="8"/>
      <c r="E89" s="26"/>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0"/>
  <sheetViews>
    <sheetView topLeftCell="A16" zoomScale="115" zoomScaleNormal="115" workbookViewId="0">
      <selection activeCell="E27" sqref="E27"/>
    </sheetView>
  </sheetViews>
  <sheetFormatPr defaultColWidth="8.85546875" defaultRowHeight="15" x14ac:dyDescent="0.25"/>
  <cols>
    <col min="1" max="1" width="12.42578125" style="5" customWidth="1"/>
    <col min="2" max="2" width="36.28515625" style="5" customWidth="1"/>
    <col min="3" max="3" width="11.5703125" style="5" bestFit="1" customWidth="1"/>
    <col min="4" max="4" width="12.42578125" style="10" bestFit="1" customWidth="1"/>
    <col min="5" max="5" width="11.28515625" style="6" customWidth="1"/>
    <col min="6" max="6" width="15.5703125" style="5" customWidth="1"/>
    <col min="7" max="7" width="11.140625" style="10" bestFit="1" customWidth="1"/>
    <col min="8" max="16384" width="8.85546875" style="5"/>
  </cols>
  <sheetData>
    <row r="1" spans="1:9" s="101" customFormat="1" ht="31.5" x14ac:dyDescent="0.25">
      <c r="A1" s="45" t="s">
        <v>1</v>
      </c>
      <c r="B1" s="45" t="s">
        <v>3</v>
      </c>
      <c r="C1" s="125" t="s">
        <v>4365</v>
      </c>
      <c r="D1" s="125" t="s">
        <v>4364</v>
      </c>
      <c r="E1" s="135" t="s">
        <v>4366</v>
      </c>
      <c r="G1" s="54"/>
    </row>
    <row r="2" spans="1:9" s="101" customFormat="1" ht="15.75" x14ac:dyDescent="0.25">
      <c r="A2" s="144"/>
      <c r="B2" s="40" t="s">
        <v>7464</v>
      </c>
      <c r="C2" s="126"/>
      <c r="D2" s="126">
        <v>4460</v>
      </c>
      <c r="E2" s="136">
        <f>D2</f>
        <v>4460</v>
      </c>
      <c r="G2" s="54"/>
    </row>
    <row r="3" spans="1:9" s="101" customFormat="1" ht="15.75" x14ac:dyDescent="0.25">
      <c r="A3" s="144"/>
      <c r="B3" s="127" t="s">
        <v>295</v>
      </c>
      <c r="C3" s="126"/>
      <c r="D3" s="126">
        <v>5000</v>
      </c>
      <c r="E3" s="136">
        <f t="shared" ref="E3" si="0">E2+D3-C3</f>
        <v>9460</v>
      </c>
      <c r="G3" s="54"/>
    </row>
    <row r="4" spans="1:9" s="101" customFormat="1" ht="15.75" x14ac:dyDescent="0.25">
      <c r="A4" s="204">
        <v>43855</v>
      </c>
      <c r="B4" s="127" t="s">
        <v>4390</v>
      </c>
      <c r="C4" s="126">
        <v>5437</v>
      </c>
      <c r="D4" s="126"/>
      <c r="E4" s="136">
        <f t="shared" ref="E4:E11" si="1">E3+D4-C4</f>
        <v>4023</v>
      </c>
      <c r="G4" s="54"/>
    </row>
    <row r="5" spans="1:9" s="101" customFormat="1" ht="15.75" x14ac:dyDescent="0.25">
      <c r="A5" s="204">
        <v>43857</v>
      </c>
      <c r="B5" s="127" t="s">
        <v>295</v>
      </c>
      <c r="C5" s="126"/>
      <c r="D5" s="126">
        <v>5000</v>
      </c>
      <c r="E5" s="136">
        <f t="shared" si="1"/>
        <v>9023</v>
      </c>
      <c r="G5" s="54"/>
    </row>
    <row r="6" spans="1:9" s="101" customFormat="1" ht="15.75" x14ac:dyDescent="0.25">
      <c r="A6" s="204">
        <v>44229</v>
      </c>
      <c r="B6" s="127" t="s">
        <v>7478</v>
      </c>
      <c r="C6" s="126">
        <v>6230</v>
      </c>
      <c r="D6" s="126"/>
      <c r="E6" s="136">
        <f t="shared" si="1"/>
        <v>2793</v>
      </c>
      <c r="G6" s="54"/>
    </row>
    <row r="7" spans="1:9" s="101" customFormat="1" ht="15.75" x14ac:dyDescent="0.25">
      <c r="A7" s="204">
        <v>44223</v>
      </c>
      <c r="B7" s="127" t="s">
        <v>295</v>
      </c>
      <c r="C7" s="126"/>
      <c r="D7" s="126">
        <v>5000</v>
      </c>
      <c r="E7" s="136">
        <f t="shared" si="1"/>
        <v>7793</v>
      </c>
      <c r="G7" s="54"/>
    </row>
    <row r="8" spans="1:9" s="101" customFormat="1" ht="15.75" x14ac:dyDescent="0.25">
      <c r="A8" s="204">
        <v>44235</v>
      </c>
      <c r="B8" s="127" t="s">
        <v>7501</v>
      </c>
      <c r="C8" s="126">
        <v>2400</v>
      </c>
      <c r="D8" s="126"/>
      <c r="E8" s="136">
        <f t="shared" si="1"/>
        <v>5393</v>
      </c>
      <c r="G8" s="54"/>
    </row>
    <row r="9" spans="1:9" s="101" customFormat="1" ht="15.75" x14ac:dyDescent="0.25">
      <c r="A9" s="204">
        <v>44235</v>
      </c>
      <c r="B9" s="127" t="s">
        <v>7502</v>
      </c>
      <c r="C9" s="126">
        <v>7350</v>
      </c>
      <c r="D9" s="126"/>
      <c r="E9" s="136">
        <f t="shared" si="1"/>
        <v>-1957</v>
      </c>
      <c r="G9" s="54"/>
    </row>
    <row r="10" spans="1:9" s="101" customFormat="1" ht="15.75" x14ac:dyDescent="0.25">
      <c r="A10" s="204">
        <v>44238</v>
      </c>
      <c r="B10" s="127" t="s">
        <v>7516</v>
      </c>
      <c r="C10" s="126"/>
      <c r="D10" s="126">
        <v>5000</v>
      </c>
      <c r="E10" s="136">
        <f t="shared" si="1"/>
        <v>3043</v>
      </c>
      <c r="G10" s="54"/>
    </row>
    <row r="11" spans="1:9" ht="18.75" x14ac:dyDescent="0.3">
      <c r="A11" s="204">
        <v>44239</v>
      </c>
      <c r="B11" s="36" t="s">
        <v>4390</v>
      </c>
      <c r="C11" s="8">
        <v>1000</v>
      </c>
      <c r="D11" s="8"/>
      <c r="E11" s="136">
        <f t="shared" si="1"/>
        <v>2043</v>
      </c>
      <c r="F11" s="101"/>
      <c r="G11" s="47"/>
    </row>
    <row r="12" spans="1:9" ht="18.75" x14ac:dyDescent="0.3">
      <c r="A12" s="204">
        <v>44247</v>
      </c>
      <c r="B12" s="36" t="s">
        <v>7603</v>
      </c>
      <c r="C12" s="8"/>
      <c r="D12" s="8">
        <v>5000</v>
      </c>
      <c r="E12" s="136">
        <v>8250</v>
      </c>
      <c r="G12" s="47"/>
    </row>
    <row r="13" spans="1:9" x14ac:dyDescent="0.25">
      <c r="A13" s="204">
        <v>44247</v>
      </c>
      <c r="B13" s="34" t="s">
        <v>5990</v>
      </c>
      <c r="C13" s="8">
        <v>10400</v>
      </c>
      <c r="D13" s="8"/>
      <c r="E13" s="136">
        <f t="shared" ref="E13:E27" si="2">E12+D13-C13</f>
        <v>-2150</v>
      </c>
      <c r="G13" s="5"/>
      <c r="I13" s="47"/>
    </row>
    <row r="14" spans="1:9" x14ac:dyDescent="0.25">
      <c r="A14" s="204">
        <v>44249</v>
      </c>
      <c r="B14" s="34" t="s">
        <v>295</v>
      </c>
      <c r="C14" s="8"/>
      <c r="D14" s="8">
        <v>5000</v>
      </c>
      <c r="E14" s="136">
        <f t="shared" si="2"/>
        <v>2850</v>
      </c>
      <c r="G14" s="47"/>
    </row>
    <row r="15" spans="1:9" x14ac:dyDescent="0.25">
      <c r="A15" s="204">
        <v>44266</v>
      </c>
      <c r="B15" s="34" t="s">
        <v>4658</v>
      </c>
      <c r="C15" s="8">
        <v>4800</v>
      </c>
      <c r="D15" s="8"/>
      <c r="E15" s="136">
        <f t="shared" si="2"/>
        <v>-1950</v>
      </c>
      <c r="G15" s="5"/>
    </row>
    <row r="16" spans="1:9" x14ac:dyDescent="0.25">
      <c r="A16" s="204">
        <v>44266</v>
      </c>
      <c r="B16" s="34" t="s">
        <v>295</v>
      </c>
      <c r="C16" s="8"/>
      <c r="D16" s="14">
        <v>5000</v>
      </c>
      <c r="E16" s="136">
        <f t="shared" si="2"/>
        <v>3050</v>
      </c>
      <c r="G16" s="5"/>
    </row>
    <row r="17" spans="1:7" x14ac:dyDescent="0.25">
      <c r="A17" s="204">
        <v>44284</v>
      </c>
      <c r="B17" s="34" t="s">
        <v>295</v>
      </c>
      <c r="C17" s="8"/>
      <c r="D17" s="14">
        <v>5000</v>
      </c>
      <c r="E17" s="136">
        <f t="shared" si="2"/>
        <v>8050</v>
      </c>
      <c r="G17" s="5"/>
    </row>
    <row r="18" spans="1:7" x14ac:dyDescent="0.25">
      <c r="A18" s="204">
        <v>44291</v>
      </c>
      <c r="B18" s="34" t="s">
        <v>295</v>
      </c>
      <c r="C18" s="8"/>
      <c r="D18" s="14">
        <v>5000</v>
      </c>
      <c r="E18" s="136">
        <f t="shared" si="2"/>
        <v>13050</v>
      </c>
      <c r="G18" s="5"/>
    </row>
    <row r="19" spans="1:7" ht="15.75" x14ac:dyDescent="0.25">
      <c r="A19" s="204">
        <v>44291</v>
      </c>
      <c r="B19" s="52" t="s">
        <v>4390</v>
      </c>
      <c r="C19" s="8">
        <v>9800</v>
      </c>
      <c r="D19" s="8"/>
      <c r="E19" s="136">
        <f t="shared" si="2"/>
        <v>3250</v>
      </c>
      <c r="F19" s="101"/>
    </row>
    <row r="20" spans="1:7" ht="15.75" x14ac:dyDescent="0.25">
      <c r="A20" s="204">
        <v>44357</v>
      </c>
      <c r="B20" s="34" t="s">
        <v>295</v>
      </c>
      <c r="C20" s="8"/>
      <c r="D20" s="8">
        <v>1000</v>
      </c>
      <c r="E20" s="136">
        <f t="shared" si="2"/>
        <v>4250</v>
      </c>
      <c r="F20" s="101"/>
    </row>
    <row r="21" spans="1:7" x14ac:dyDescent="0.25">
      <c r="A21" s="204">
        <v>44365</v>
      </c>
      <c r="B21" s="34" t="s">
        <v>295</v>
      </c>
      <c r="C21" s="34"/>
      <c r="D21" s="8">
        <v>7000</v>
      </c>
      <c r="E21" s="136">
        <f t="shared" si="2"/>
        <v>11250</v>
      </c>
    </row>
    <row r="22" spans="1:7" x14ac:dyDescent="0.25">
      <c r="A22" s="204">
        <v>44370</v>
      </c>
      <c r="B22" s="34" t="s">
        <v>8281</v>
      </c>
      <c r="C22" s="34">
        <v>5000</v>
      </c>
      <c r="D22" s="8"/>
      <c r="E22" s="136">
        <f t="shared" si="2"/>
        <v>6250</v>
      </c>
    </row>
    <row r="23" spans="1:7" x14ac:dyDescent="0.25">
      <c r="A23" s="204">
        <v>44370</v>
      </c>
      <c r="B23" s="34" t="s">
        <v>6895</v>
      </c>
      <c r="C23" s="34">
        <v>7110</v>
      </c>
      <c r="D23" s="8"/>
      <c r="E23" s="136">
        <f t="shared" si="2"/>
        <v>-860</v>
      </c>
    </row>
    <row r="24" spans="1:7" x14ac:dyDescent="0.25">
      <c r="A24" s="204">
        <v>44370</v>
      </c>
      <c r="B24" s="34" t="s">
        <v>295</v>
      </c>
      <c r="C24" s="34"/>
      <c r="D24" s="8">
        <v>5000</v>
      </c>
      <c r="E24" s="136">
        <f t="shared" si="2"/>
        <v>4140</v>
      </c>
    </row>
    <row r="25" spans="1:7" x14ac:dyDescent="0.25">
      <c r="A25" s="204">
        <v>44370</v>
      </c>
      <c r="B25" s="34" t="s">
        <v>5991</v>
      </c>
      <c r="C25" s="34"/>
      <c r="D25" s="8">
        <v>5000</v>
      </c>
      <c r="E25" s="136">
        <f t="shared" si="2"/>
        <v>9140</v>
      </c>
    </row>
    <row r="26" spans="1:7" x14ac:dyDescent="0.25">
      <c r="A26" s="204">
        <v>44379</v>
      </c>
      <c r="B26" s="34" t="s">
        <v>8358</v>
      </c>
      <c r="C26" s="34"/>
      <c r="D26" s="8">
        <v>10000</v>
      </c>
      <c r="E26" s="136">
        <f t="shared" si="2"/>
        <v>19140</v>
      </c>
    </row>
    <row r="27" spans="1:7" ht="15.75" x14ac:dyDescent="0.25">
      <c r="A27" s="204">
        <v>44380</v>
      </c>
      <c r="B27" s="34" t="s">
        <v>6895</v>
      </c>
      <c r="C27" s="34">
        <v>2900</v>
      </c>
      <c r="D27" s="8"/>
      <c r="E27" s="136">
        <f t="shared" si="2"/>
        <v>16240</v>
      </c>
      <c r="F27" s="101"/>
    </row>
    <row r="28" spans="1:7" ht="15.75" x14ac:dyDescent="0.25">
      <c r="A28" s="144"/>
      <c r="B28" s="34"/>
      <c r="C28" s="34"/>
      <c r="D28" s="8"/>
      <c r="E28" s="136"/>
      <c r="F28" s="101"/>
    </row>
    <row r="29" spans="1:7" ht="15.75" x14ac:dyDescent="0.25">
      <c r="A29" s="144"/>
      <c r="B29" s="34"/>
      <c r="C29" s="34"/>
      <c r="D29" s="8"/>
      <c r="E29" s="136"/>
    </row>
    <row r="30" spans="1:7" ht="15.75" x14ac:dyDescent="0.25">
      <c r="A30" s="144"/>
      <c r="B30" s="34"/>
      <c r="C30" s="34"/>
      <c r="D30" s="8"/>
      <c r="E30" s="136"/>
    </row>
    <row r="31" spans="1:7" ht="15.75" x14ac:dyDescent="0.25">
      <c r="A31" s="144"/>
      <c r="B31" s="34"/>
      <c r="C31" s="34"/>
      <c r="D31" s="8"/>
      <c r="E31" s="136"/>
    </row>
    <row r="32" spans="1:7" ht="15.75" x14ac:dyDescent="0.25">
      <c r="A32" s="144"/>
      <c r="B32" s="34"/>
      <c r="C32" s="34"/>
      <c r="D32" s="8"/>
      <c r="E32" s="136"/>
    </row>
    <row r="33" spans="1:5" ht="15.75" x14ac:dyDescent="0.25">
      <c r="A33" s="144"/>
      <c r="B33" s="52"/>
      <c r="C33" s="34"/>
      <c r="D33" s="8"/>
      <c r="E33" s="136"/>
    </row>
    <row r="34" spans="1:5" ht="15.75" x14ac:dyDescent="0.25">
      <c r="A34" s="144"/>
      <c r="B34" s="34"/>
      <c r="C34" s="46"/>
      <c r="D34" s="8"/>
      <c r="E34" s="136"/>
    </row>
    <row r="35" spans="1:5" ht="15.75" x14ac:dyDescent="0.25">
      <c r="A35" s="144"/>
      <c r="B35" s="52"/>
      <c r="C35" s="52"/>
      <c r="D35" s="8"/>
      <c r="E35" s="136"/>
    </row>
    <row r="36" spans="1:5" x14ac:dyDescent="0.25">
      <c r="A36" s="34"/>
      <c r="B36" s="52"/>
      <c r="C36" s="52"/>
      <c r="D36" s="8"/>
      <c r="E36" s="136"/>
    </row>
    <row r="37" spans="1:5" x14ac:dyDescent="0.25">
      <c r="B37" s="48"/>
      <c r="E37" s="136"/>
    </row>
    <row r="38" spans="1:5" x14ac:dyDescent="0.25">
      <c r="B38" s="48"/>
      <c r="E38" s="136"/>
    </row>
    <row r="39" spans="1:5" x14ac:dyDescent="0.25">
      <c r="B39" s="48"/>
      <c r="E39" s="136"/>
    </row>
    <row r="40" spans="1:5" x14ac:dyDescent="0.25">
      <c r="B40" s="48"/>
      <c r="E40" s="150"/>
    </row>
    <row r="41" spans="1:5" x14ac:dyDescent="0.25">
      <c r="A41" s="124"/>
      <c r="B41" s="52"/>
      <c r="C41" s="34"/>
      <c r="D41" s="8"/>
      <c r="E41" s="136"/>
    </row>
    <row r="42" spans="1:5" x14ac:dyDescent="0.25">
      <c r="A42" s="124"/>
      <c r="B42" s="52"/>
      <c r="C42" s="34"/>
      <c r="D42" s="8"/>
      <c r="E42" s="136"/>
    </row>
    <row r="43" spans="1:5" x14ac:dyDescent="0.25">
      <c r="A43" s="124"/>
      <c r="B43" s="52"/>
      <c r="C43" s="34"/>
      <c r="D43" s="8"/>
      <c r="E43" s="136"/>
    </row>
    <row r="44" spans="1:5" x14ac:dyDescent="0.25">
      <c r="A44" s="124"/>
      <c r="B44" s="52"/>
      <c r="C44" s="8"/>
      <c r="D44" s="8"/>
      <c r="E44" s="136"/>
    </row>
    <row r="45" spans="1:5" x14ac:dyDescent="0.25">
      <c r="A45" s="124"/>
      <c r="B45" s="52"/>
      <c r="C45" s="8"/>
      <c r="D45" s="8"/>
      <c r="E45" s="136"/>
    </row>
    <row r="46" spans="1:5" x14ac:dyDescent="0.25">
      <c r="A46" s="124"/>
      <c r="B46" s="52"/>
      <c r="C46" s="8"/>
      <c r="D46" s="8"/>
      <c r="E46" s="136"/>
    </row>
    <row r="47" spans="1:5" x14ac:dyDescent="0.25">
      <c r="A47" s="124"/>
      <c r="B47" s="52"/>
      <c r="C47" s="8"/>
      <c r="D47" s="8"/>
      <c r="E47" s="136"/>
    </row>
    <row r="48" spans="1:5" x14ac:dyDescent="0.25">
      <c r="A48" s="124"/>
      <c r="B48" s="52"/>
      <c r="C48" s="8"/>
      <c r="D48" s="8"/>
      <c r="E48" s="136"/>
    </row>
    <row r="49" spans="1:5" x14ac:dyDescent="0.25">
      <c r="A49" s="124"/>
      <c r="B49" s="52"/>
      <c r="C49" s="8"/>
      <c r="D49" s="8"/>
      <c r="E49" s="136"/>
    </row>
    <row r="50" spans="1:5" x14ac:dyDescent="0.25">
      <c r="A50" s="124"/>
      <c r="B50" s="52"/>
      <c r="C50" s="8"/>
      <c r="D50" s="8"/>
      <c r="E50" s="136"/>
    </row>
    <row r="51" spans="1:5" x14ac:dyDescent="0.25">
      <c r="A51" s="124"/>
      <c r="B51" s="52"/>
      <c r="C51" s="8"/>
      <c r="D51" s="8"/>
      <c r="E51" s="136"/>
    </row>
    <row r="52" spans="1:5" x14ac:dyDescent="0.25">
      <c r="A52" s="124"/>
      <c r="B52" s="52"/>
      <c r="C52" s="8"/>
      <c r="D52" s="8"/>
      <c r="E52" s="136"/>
    </row>
    <row r="53" spans="1:5" x14ac:dyDescent="0.25">
      <c r="A53" s="124"/>
      <c r="B53" s="52"/>
      <c r="C53" s="8"/>
      <c r="D53" s="8"/>
      <c r="E53" s="136"/>
    </row>
    <row r="54" spans="1:5" x14ac:dyDescent="0.25">
      <c r="A54" s="124"/>
      <c r="B54" s="52"/>
      <c r="C54" s="8"/>
      <c r="D54" s="8"/>
      <c r="E54" s="136"/>
    </row>
    <row r="55" spans="1:5" x14ac:dyDescent="0.25">
      <c r="A55" s="124"/>
      <c r="B55" s="52"/>
      <c r="C55" s="8"/>
      <c r="D55" s="8"/>
      <c r="E55" s="136"/>
    </row>
    <row r="56" spans="1:5" x14ac:dyDescent="0.25">
      <c r="A56" s="124"/>
      <c r="B56" s="52"/>
      <c r="C56" s="8"/>
      <c r="D56" s="8"/>
      <c r="E56" s="136"/>
    </row>
    <row r="57" spans="1:5" x14ac:dyDescent="0.25">
      <c r="A57" s="124"/>
      <c r="B57" s="34"/>
      <c r="C57" s="8"/>
      <c r="D57" s="8"/>
      <c r="E57" s="136"/>
    </row>
    <row r="58" spans="1:5" x14ac:dyDescent="0.25">
      <c r="A58" s="124"/>
      <c r="B58" s="34"/>
      <c r="C58" s="8"/>
      <c r="D58" s="8"/>
      <c r="E58" s="136"/>
    </row>
    <row r="59" spans="1:5" x14ac:dyDescent="0.25">
      <c r="A59" s="124"/>
      <c r="B59" s="34"/>
      <c r="C59" s="8"/>
      <c r="D59" s="8"/>
      <c r="E59" s="136"/>
    </row>
    <row r="60" spans="1:5" x14ac:dyDescent="0.25">
      <c r="A60" s="124"/>
      <c r="B60" s="34"/>
      <c r="C60" s="8"/>
      <c r="D60" s="8"/>
      <c r="E60" s="136"/>
    </row>
    <row r="61" spans="1:5" x14ac:dyDescent="0.25">
      <c r="A61" s="124"/>
      <c r="B61" s="34"/>
      <c r="C61" s="8"/>
      <c r="D61" s="8"/>
      <c r="E61" s="136"/>
    </row>
    <row r="62" spans="1:5" x14ac:dyDescent="0.25">
      <c r="A62" s="124"/>
      <c r="B62" s="34"/>
      <c r="C62" s="8"/>
      <c r="D62" s="8"/>
      <c r="E62" s="136"/>
    </row>
    <row r="63" spans="1:5" x14ac:dyDescent="0.25">
      <c r="A63" s="124"/>
      <c r="B63" s="34"/>
      <c r="C63" s="8"/>
      <c r="D63" s="8"/>
      <c r="E63" s="136"/>
    </row>
    <row r="64" spans="1:5" x14ac:dyDescent="0.25">
      <c r="A64" s="124"/>
      <c r="B64" s="52"/>
      <c r="C64" s="8"/>
      <c r="D64" s="8"/>
      <c r="E64" s="136"/>
    </row>
    <row r="65" spans="1:5" x14ac:dyDescent="0.25">
      <c r="A65" s="124"/>
      <c r="B65" s="34"/>
      <c r="C65" s="8"/>
      <c r="D65" s="8"/>
      <c r="E65" s="136"/>
    </row>
    <row r="66" spans="1:5" x14ac:dyDescent="0.25">
      <c r="A66" s="124"/>
      <c r="B66" s="34"/>
      <c r="C66" s="8"/>
      <c r="D66" s="8"/>
      <c r="E66" s="136"/>
    </row>
    <row r="67" spans="1:5" x14ac:dyDescent="0.25">
      <c r="A67" s="124"/>
      <c r="B67" s="34"/>
      <c r="C67" s="8"/>
      <c r="D67" s="8"/>
      <c r="E67" s="136"/>
    </row>
    <row r="68" spans="1:5" x14ac:dyDescent="0.25">
      <c r="A68" s="124"/>
      <c r="B68" s="34"/>
      <c r="C68" s="8"/>
      <c r="D68" s="8"/>
      <c r="E68" s="136"/>
    </row>
    <row r="69" spans="1:5" x14ac:dyDescent="0.25">
      <c r="A69" s="124"/>
      <c r="B69" s="34"/>
      <c r="C69" s="8"/>
      <c r="D69" s="8"/>
      <c r="E69" s="136"/>
    </row>
    <row r="70" spans="1:5" x14ac:dyDescent="0.25">
      <c r="A70" s="124"/>
      <c r="B70" s="34"/>
      <c r="C70" s="8"/>
      <c r="D70" s="8"/>
      <c r="E70" s="136"/>
    </row>
    <row r="71" spans="1:5" x14ac:dyDescent="0.25">
      <c r="A71" s="124"/>
      <c r="B71" s="34"/>
      <c r="C71" s="8"/>
      <c r="D71" s="8"/>
      <c r="E71" s="136"/>
    </row>
    <row r="72" spans="1:5" x14ac:dyDescent="0.25">
      <c r="A72" s="124"/>
      <c r="B72" s="52"/>
      <c r="C72" s="8"/>
      <c r="D72" s="8"/>
      <c r="E72" s="136"/>
    </row>
    <row r="73" spans="1:5" x14ac:dyDescent="0.25">
      <c r="A73" s="124"/>
      <c r="B73" s="34"/>
      <c r="C73" s="8"/>
      <c r="D73" s="8"/>
      <c r="E73" s="136"/>
    </row>
    <row r="74" spans="1:5" x14ac:dyDescent="0.25">
      <c r="A74" s="124"/>
      <c r="B74" s="34"/>
      <c r="C74" s="8"/>
      <c r="D74" s="8"/>
      <c r="E74" s="136"/>
    </row>
    <row r="75" spans="1:5" x14ac:dyDescent="0.25">
      <c r="A75" s="124"/>
      <c r="B75" s="52"/>
      <c r="C75" s="34"/>
      <c r="D75" s="8"/>
      <c r="E75" s="136"/>
    </row>
    <row r="76" spans="1:5" x14ac:dyDescent="0.25">
      <c r="A76" s="124"/>
      <c r="B76" s="52"/>
      <c r="C76" s="34"/>
      <c r="D76" s="8"/>
      <c r="E76" s="136"/>
    </row>
    <row r="77" spans="1:5" x14ac:dyDescent="0.25">
      <c r="A77" s="124"/>
      <c r="B77" s="52"/>
      <c r="C77" s="14"/>
      <c r="D77" s="8"/>
      <c r="E77" s="136"/>
    </row>
    <row r="78" spans="1:5" x14ac:dyDescent="0.25">
      <c r="A78" s="124"/>
      <c r="B78" s="52"/>
      <c r="C78" s="14"/>
      <c r="D78" s="8"/>
      <c r="E78" s="136"/>
    </row>
    <row r="79" spans="1:5" x14ac:dyDescent="0.25">
      <c r="A79" s="124"/>
      <c r="B79" s="52"/>
      <c r="C79" s="14"/>
      <c r="D79" s="8"/>
      <c r="E79" s="136"/>
    </row>
    <row r="80" spans="1:5" x14ac:dyDescent="0.25">
      <c r="A80" s="124"/>
      <c r="B80" s="52"/>
      <c r="C80" s="34"/>
      <c r="D80" s="8"/>
      <c r="E80" s="136"/>
    </row>
    <row r="81" spans="1:5" x14ac:dyDescent="0.25">
      <c r="A81" s="124"/>
      <c r="B81" s="52"/>
      <c r="C81" s="14"/>
      <c r="D81" s="8"/>
      <c r="E81" s="136"/>
    </row>
    <row r="82" spans="1:5" x14ac:dyDescent="0.25">
      <c r="A82" s="124"/>
      <c r="B82" s="52"/>
      <c r="C82" s="14"/>
      <c r="D82" s="8"/>
      <c r="E82" s="136"/>
    </row>
    <row r="83" spans="1:5" x14ac:dyDescent="0.25">
      <c r="A83" s="34"/>
      <c r="B83" s="137"/>
      <c r="C83" s="137"/>
      <c r="D83" s="139"/>
      <c r="E83" s="171"/>
    </row>
    <row r="84" spans="1:5" x14ac:dyDescent="0.25">
      <c r="A84" s="34"/>
      <c r="B84" s="34"/>
      <c r="C84" s="34"/>
      <c r="D84" s="8"/>
      <c r="E84" s="26"/>
    </row>
    <row r="85" spans="1:5" x14ac:dyDescent="0.25">
      <c r="A85" s="34"/>
      <c r="B85" s="34"/>
      <c r="C85" s="34"/>
      <c r="D85" s="8"/>
      <c r="E85" s="26"/>
    </row>
    <row r="86" spans="1:5" x14ac:dyDescent="0.25">
      <c r="A86" s="34"/>
      <c r="B86" s="34"/>
      <c r="C86" s="34"/>
      <c r="D86" s="8"/>
      <c r="E86" s="26"/>
    </row>
    <row r="87" spans="1:5" x14ac:dyDescent="0.25">
      <c r="A87" s="34"/>
      <c r="B87" s="34"/>
      <c r="C87" s="34"/>
      <c r="D87" s="8"/>
      <c r="E87" s="26"/>
    </row>
    <row r="88" spans="1:5" x14ac:dyDescent="0.25">
      <c r="A88" s="34"/>
      <c r="B88" s="34"/>
      <c r="C88" s="34"/>
      <c r="D88" s="8"/>
      <c r="E88" s="26"/>
    </row>
    <row r="89" spans="1:5" x14ac:dyDescent="0.25">
      <c r="A89" s="34"/>
      <c r="B89" s="34"/>
      <c r="C89" s="34"/>
      <c r="D89" s="8"/>
      <c r="E89" s="26"/>
    </row>
    <row r="90" spans="1:5" x14ac:dyDescent="0.25">
      <c r="A90" s="34"/>
      <c r="B90" s="34"/>
      <c r="C90" s="34"/>
      <c r="D90" s="8"/>
      <c r="E90" s="26"/>
    </row>
  </sheetData>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1"/>
  <sheetViews>
    <sheetView zoomScale="115" zoomScaleNormal="115" workbookViewId="0">
      <selection activeCell="C15" sqref="C15"/>
    </sheetView>
  </sheetViews>
  <sheetFormatPr defaultColWidth="8.85546875" defaultRowHeight="15" x14ac:dyDescent="0.25"/>
  <cols>
    <col min="1" max="1" width="12.42578125" style="5" customWidth="1"/>
    <col min="2" max="2" width="21" style="5" customWidth="1"/>
    <col min="3" max="3" width="11.5703125" style="5" bestFit="1" customWidth="1"/>
    <col min="4" max="4" width="12.42578125" style="10" bestFit="1" customWidth="1"/>
    <col min="5" max="5" width="11.28515625" style="6" customWidth="1"/>
    <col min="6" max="6" width="3.5703125" style="5" customWidth="1"/>
    <col min="7" max="7" width="12.42578125" style="5" customWidth="1"/>
    <col min="8" max="8" width="21" style="5" customWidth="1"/>
    <col min="9" max="9" width="11.5703125" style="5" bestFit="1" customWidth="1"/>
    <col min="10" max="10" width="12.42578125" style="10" bestFit="1" customWidth="1"/>
    <col min="11" max="11" width="11.28515625" style="6" customWidth="1"/>
    <col min="12" max="16384" width="8.85546875" style="5"/>
  </cols>
  <sheetData>
    <row r="1" spans="1:11" ht="21" x14ac:dyDescent="0.35">
      <c r="A1" s="530" t="s">
        <v>7485</v>
      </c>
      <c r="B1" s="530"/>
      <c r="C1" s="530"/>
      <c r="D1" s="530"/>
      <c r="E1" s="530"/>
      <c r="G1" s="530" t="s">
        <v>7609</v>
      </c>
      <c r="H1" s="530"/>
      <c r="I1" s="530"/>
      <c r="J1" s="530"/>
      <c r="K1" s="530"/>
    </row>
    <row r="2" spans="1:11" s="101" customFormat="1" ht="31.5" x14ac:dyDescent="0.25">
      <c r="A2" s="45" t="s">
        <v>1</v>
      </c>
      <c r="B2" s="45" t="s">
        <v>3</v>
      </c>
      <c r="C2" s="125" t="s">
        <v>4365</v>
      </c>
      <c r="D2" s="125" t="s">
        <v>4364</v>
      </c>
      <c r="E2" s="135" t="s">
        <v>4366</v>
      </c>
      <c r="G2" s="45" t="s">
        <v>1</v>
      </c>
      <c r="H2" s="45" t="s">
        <v>3</v>
      </c>
      <c r="I2" s="125" t="s">
        <v>4365</v>
      </c>
      <c r="J2" s="125" t="s">
        <v>4364</v>
      </c>
      <c r="K2" s="135" t="s">
        <v>4366</v>
      </c>
    </row>
    <row r="3" spans="1:11" s="101" customFormat="1" ht="15.75" x14ac:dyDescent="0.25">
      <c r="A3" s="144"/>
      <c r="B3" s="40" t="s">
        <v>5410</v>
      </c>
      <c r="C3" s="126"/>
      <c r="D3" s="126">
        <v>10000</v>
      </c>
      <c r="E3" s="136">
        <f>D3</f>
        <v>10000</v>
      </c>
      <c r="G3" s="204">
        <v>43881</v>
      </c>
      <c r="H3" s="34" t="s">
        <v>295</v>
      </c>
      <c r="I3" s="34"/>
      <c r="J3" s="8">
        <v>10000</v>
      </c>
      <c r="K3" s="136">
        <f>J3</f>
        <v>10000</v>
      </c>
    </row>
    <row r="4" spans="1:11" s="101" customFormat="1" ht="15.75" x14ac:dyDescent="0.25">
      <c r="A4" s="144"/>
      <c r="B4" s="127" t="s">
        <v>4367</v>
      </c>
      <c r="C4" s="126"/>
      <c r="D4" s="126">
        <v>40000</v>
      </c>
      <c r="E4" s="136">
        <f t="shared" ref="E4:E24" si="0">E3+D4-C4</f>
        <v>50000</v>
      </c>
      <c r="G4" s="204">
        <v>44258</v>
      </c>
      <c r="H4" s="34" t="s">
        <v>6065</v>
      </c>
      <c r="I4" s="126"/>
      <c r="J4" s="126">
        <v>20000</v>
      </c>
      <c r="K4" s="136">
        <f>K3+J4-I4</f>
        <v>30000</v>
      </c>
    </row>
    <row r="5" spans="1:11" s="101" customFormat="1" ht="15.75" x14ac:dyDescent="0.25">
      <c r="A5" s="144"/>
      <c r="B5" s="127" t="s">
        <v>4367</v>
      </c>
      <c r="C5" s="126"/>
      <c r="D5" s="126">
        <v>5000</v>
      </c>
      <c r="E5" s="136">
        <f t="shared" si="0"/>
        <v>55000</v>
      </c>
      <c r="G5" s="204">
        <v>44265</v>
      </c>
      <c r="H5" s="34" t="s">
        <v>6065</v>
      </c>
      <c r="I5" s="126"/>
      <c r="J5" s="126">
        <v>3000</v>
      </c>
      <c r="K5" s="136">
        <f>K4+J5-I5</f>
        <v>33000</v>
      </c>
    </row>
    <row r="6" spans="1:11" s="101" customFormat="1" ht="15.75" x14ac:dyDescent="0.25">
      <c r="A6" s="124"/>
      <c r="B6" s="127" t="s">
        <v>3924</v>
      </c>
      <c r="C6" s="126">
        <v>11700</v>
      </c>
      <c r="D6" s="126"/>
      <c r="E6" s="136">
        <f t="shared" si="0"/>
        <v>43300</v>
      </c>
      <c r="G6" s="204">
        <v>44267</v>
      </c>
      <c r="H6" s="127" t="s">
        <v>3924</v>
      </c>
      <c r="I6" s="126">
        <v>2578</v>
      </c>
      <c r="J6" s="126"/>
      <c r="K6" s="136">
        <f t="shared" ref="K6:K14" si="1">K5+J6-I6</f>
        <v>30422</v>
      </c>
    </row>
    <row r="7" spans="1:11" s="101" customFormat="1" ht="15.75" x14ac:dyDescent="0.25">
      <c r="A7" s="144"/>
      <c r="B7" s="127" t="s">
        <v>295</v>
      </c>
      <c r="C7" s="126"/>
      <c r="D7" s="126">
        <v>5000</v>
      </c>
      <c r="E7" s="136">
        <f t="shared" si="0"/>
        <v>48300</v>
      </c>
      <c r="G7" s="204">
        <v>44267</v>
      </c>
      <c r="H7" s="127" t="s">
        <v>295</v>
      </c>
      <c r="I7" s="126"/>
      <c r="J7" s="126">
        <v>15000</v>
      </c>
      <c r="K7" s="136">
        <f t="shared" si="1"/>
        <v>45422</v>
      </c>
    </row>
    <row r="8" spans="1:11" s="101" customFormat="1" ht="15.75" x14ac:dyDescent="0.25">
      <c r="A8" s="124"/>
      <c r="B8" s="127" t="s">
        <v>5410</v>
      </c>
      <c r="C8" s="126"/>
      <c r="D8" s="126">
        <v>2000</v>
      </c>
      <c r="E8" s="136">
        <f t="shared" si="0"/>
        <v>50300</v>
      </c>
      <c r="G8" s="124"/>
      <c r="H8" s="127"/>
      <c r="I8" s="126"/>
      <c r="J8" s="126"/>
      <c r="K8" s="136">
        <f t="shared" si="1"/>
        <v>45422</v>
      </c>
    </row>
    <row r="9" spans="1:11" s="101" customFormat="1" ht="15.75" x14ac:dyDescent="0.25">
      <c r="A9" s="144"/>
      <c r="B9" s="127" t="s">
        <v>3924</v>
      </c>
      <c r="C9" s="126">
        <v>5280</v>
      </c>
      <c r="D9" s="126"/>
      <c r="E9" s="136">
        <f t="shared" si="0"/>
        <v>45020</v>
      </c>
      <c r="G9" s="144"/>
      <c r="H9" s="127"/>
      <c r="I9" s="126"/>
      <c r="J9" s="126"/>
      <c r="K9" s="136">
        <f t="shared" si="1"/>
        <v>45422</v>
      </c>
    </row>
    <row r="10" spans="1:11" s="101" customFormat="1" ht="15.75" x14ac:dyDescent="0.25">
      <c r="A10" s="144"/>
      <c r="B10" s="127" t="s">
        <v>5410</v>
      </c>
      <c r="C10" s="126"/>
      <c r="D10" s="126">
        <v>10000</v>
      </c>
      <c r="E10" s="136">
        <f t="shared" si="0"/>
        <v>55020</v>
      </c>
      <c r="G10" s="144"/>
      <c r="H10" s="127"/>
      <c r="I10" s="126"/>
      <c r="J10" s="126"/>
      <c r="K10" s="136">
        <f t="shared" si="1"/>
        <v>45422</v>
      </c>
    </row>
    <row r="11" spans="1:11" s="101" customFormat="1" ht="15.75" x14ac:dyDescent="0.25">
      <c r="A11" s="144"/>
      <c r="B11" s="127" t="s">
        <v>7422</v>
      </c>
      <c r="C11" s="126"/>
      <c r="D11" s="126">
        <v>4000</v>
      </c>
      <c r="E11" s="136">
        <f t="shared" si="0"/>
        <v>59020</v>
      </c>
      <c r="G11" s="144"/>
      <c r="H11" s="127"/>
      <c r="I11" s="126"/>
      <c r="J11" s="126"/>
      <c r="K11" s="136">
        <f t="shared" si="1"/>
        <v>45422</v>
      </c>
    </row>
    <row r="12" spans="1:11" ht="18.75" x14ac:dyDescent="0.3">
      <c r="A12" s="144"/>
      <c r="B12" s="36" t="s">
        <v>5410</v>
      </c>
      <c r="C12" s="8"/>
      <c r="D12" s="8">
        <v>20000</v>
      </c>
      <c r="E12" s="136">
        <f t="shared" si="0"/>
        <v>79020</v>
      </c>
      <c r="F12" s="101"/>
      <c r="G12" s="144"/>
      <c r="H12" s="36"/>
      <c r="I12" s="8"/>
      <c r="J12" s="8"/>
      <c r="K12" s="136">
        <f t="shared" si="1"/>
        <v>45422</v>
      </c>
    </row>
    <row r="13" spans="1:11" ht="18.75" x14ac:dyDescent="0.3">
      <c r="A13" s="204">
        <v>43855</v>
      </c>
      <c r="B13" s="36" t="s">
        <v>5410</v>
      </c>
      <c r="C13" s="8"/>
      <c r="D13" s="8">
        <v>3000</v>
      </c>
      <c r="E13" s="136">
        <f t="shared" si="0"/>
        <v>82020</v>
      </c>
      <c r="G13" s="204"/>
      <c r="H13" s="36"/>
      <c r="I13" s="8"/>
      <c r="J13" s="8"/>
      <c r="K13" s="136">
        <f t="shared" si="1"/>
        <v>45422</v>
      </c>
    </row>
    <row r="14" spans="1:11" x14ac:dyDescent="0.25">
      <c r="A14" s="204">
        <v>43860</v>
      </c>
      <c r="B14" s="34" t="s">
        <v>3924</v>
      </c>
      <c r="C14" s="8">
        <v>4570</v>
      </c>
      <c r="D14" s="8"/>
      <c r="E14" s="136">
        <f t="shared" si="0"/>
        <v>77450</v>
      </c>
      <c r="G14" s="204"/>
      <c r="H14" s="34"/>
      <c r="I14" s="8"/>
      <c r="J14" s="8"/>
      <c r="K14" s="136">
        <f t="shared" si="1"/>
        <v>45422</v>
      </c>
    </row>
    <row r="15" spans="1:11" ht="15.75" x14ac:dyDescent="0.25">
      <c r="A15" s="204">
        <v>43865</v>
      </c>
      <c r="B15" s="34" t="s">
        <v>3924</v>
      </c>
      <c r="C15" s="8">
        <v>600</v>
      </c>
      <c r="D15" s="8"/>
      <c r="E15" s="136">
        <f t="shared" si="0"/>
        <v>76850</v>
      </c>
      <c r="G15" s="144"/>
      <c r="H15" s="34"/>
      <c r="I15" s="8"/>
      <c r="J15" s="8"/>
      <c r="K15" s="136"/>
    </row>
    <row r="16" spans="1:11" ht="15.75" x14ac:dyDescent="0.25">
      <c r="A16" s="204">
        <v>43864</v>
      </c>
      <c r="B16" s="34" t="s">
        <v>295</v>
      </c>
      <c r="C16" s="8"/>
      <c r="D16" s="8">
        <v>5000</v>
      </c>
      <c r="E16" s="136">
        <f t="shared" si="0"/>
        <v>81850</v>
      </c>
      <c r="G16" s="144"/>
      <c r="H16" s="34"/>
      <c r="I16" s="8"/>
      <c r="J16" s="8"/>
      <c r="K16" s="136"/>
    </row>
    <row r="17" spans="1:11" ht="15.75" x14ac:dyDescent="0.25">
      <c r="A17" s="204">
        <v>43865</v>
      </c>
      <c r="B17" s="34" t="s">
        <v>295</v>
      </c>
      <c r="C17" s="8"/>
      <c r="D17" s="8">
        <v>5000</v>
      </c>
      <c r="E17" s="136">
        <f t="shared" si="0"/>
        <v>86850</v>
      </c>
      <c r="G17" s="144"/>
      <c r="H17" s="34"/>
      <c r="I17" s="8"/>
      <c r="J17" s="14"/>
      <c r="K17" s="136"/>
    </row>
    <row r="18" spans="1:11" ht="15.75" x14ac:dyDescent="0.25">
      <c r="A18" s="204">
        <v>43869</v>
      </c>
      <c r="B18" s="34" t="s">
        <v>6065</v>
      </c>
      <c r="C18" s="8"/>
      <c r="D18" s="14">
        <v>6000</v>
      </c>
      <c r="E18" s="136">
        <f t="shared" si="0"/>
        <v>92850</v>
      </c>
      <c r="G18" s="144"/>
      <c r="H18" s="34"/>
      <c r="I18" s="8"/>
      <c r="J18" s="14"/>
      <c r="K18" s="136"/>
    </row>
    <row r="19" spans="1:11" ht="15.75" x14ac:dyDescent="0.25">
      <c r="A19" s="204">
        <v>43869</v>
      </c>
      <c r="B19" s="34" t="s">
        <v>295</v>
      </c>
      <c r="C19" s="8"/>
      <c r="D19" s="8">
        <v>10000</v>
      </c>
      <c r="E19" s="136">
        <f t="shared" si="0"/>
        <v>102850</v>
      </c>
      <c r="G19" s="144"/>
      <c r="H19" s="34"/>
      <c r="I19" s="8"/>
      <c r="J19" s="8"/>
      <c r="K19" s="136"/>
    </row>
    <row r="20" spans="1:11" ht="15.75" x14ac:dyDescent="0.25">
      <c r="A20" s="204">
        <v>43874</v>
      </c>
      <c r="B20" s="34" t="s">
        <v>295</v>
      </c>
      <c r="C20" s="8"/>
      <c r="D20" s="8">
        <v>2000</v>
      </c>
      <c r="E20" s="136">
        <f t="shared" si="0"/>
        <v>104850</v>
      </c>
      <c r="F20" s="101"/>
      <c r="G20" s="144"/>
      <c r="H20" s="52"/>
      <c r="I20" s="8"/>
      <c r="J20" s="8"/>
      <c r="K20" s="136"/>
    </row>
    <row r="21" spans="1:11" ht="15.75" x14ac:dyDescent="0.25">
      <c r="A21" s="204">
        <v>43877</v>
      </c>
      <c r="B21" s="52" t="s">
        <v>3924</v>
      </c>
      <c r="C21" s="8">
        <v>10144</v>
      </c>
      <c r="D21" s="8"/>
      <c r="E21" s="136">
        <f t="shared" si="0"/>
        <v>94706</v>
      </c>
      <c r="F21" s="101"/>
      <c r="G21" s="144"/>
      <c r="H21" s="52"/>
      <c r="I21" s="8"/>
      <c r="J21" s="8"/>
      <c r="K21" s="136"/>
    </row>
    <row r="22" spans="1:11" ht="15.75" x14ac:dyDescent="0.25">
      <c r="A22" s="204">
        <v>43878</v>
      </c>
      <c r="B22" s="34" t="s">
        <v>295</v>
      </c>
      <c r="C22" s="34"/>
      <c r="D22" s="8">
        <v>1500</v>
      </c>
      <c r="E22" s="136">
        <f t="shared" si="0"/>
        <v>96206</v>
      </c>
      <c r="G22" s="144"/>
      <c r="H22" s="34"/>
      <c r="I22" s="34"/>
      <c r="J22" s="8"/>
      <c r="K22" s="136"/>
    </row>
    <row r="23" spans="1:11" ht="15.75" x14ac:dyDescent="0.25">
      <c r="A23" s="204">
        <v>43879</v>
      </c>
      <c r="B23" s="34" t="s">
        <v>295</v>
      </c>
      <c r="C23" s="34"/>
      <c r="D23" s="8">
        <v>5000</v>
      </c>
      <c r="E23" s="136">
        <f t="shared" si="0"/>
        <v>101206</v>
      </c>
      <c r="G23" s="144"/>
      <c r="H23" s="34"/>
      <c r="I23" s="34"/>
      <c r="J23" s="8"/>
      <c r="K23" s="136"/>
    </row>
    <row r="24" spans="1:11" ht="15.75" x14ac:dyDescent="0.25">
      <c r="A24" s="204">
        <v>43887</v>
      </c>
      <c r="B24" s="34" t="s">
        <v>295</v>
      </c>
      <c r="C24" s="34"/>
      <c r="D24" s="8">
        <v>3000</v>
      </c>
      <c r="E24" s="136">
        <f t="shared" si="0"/>
        <v>104206</v>
      </c>
      <c r="G24" s="144"/>
      <c r="H24" s="34"/>
      <c r="I24" s="34"/>
      <c r="J24" s="8"/>
      <c r="K24" s="136"/>
    </row>
    <row r="25" spans="1:11" ht="15.75" x14ac:dyDescent="0.25">
      <c r="A25" s="144"/>
      <c r="B25" s="34"/>
      <c r="C25" s="8"/>
      <c r="D25" s="8"/>
      <c r="E25" s="136"/>
      <c r="G25" s="144"/>
      <c r="H25" s="34"/>
      <c r="I25" s="34"/>
      <c r="J25" s="8"/>
      <c r="K25" s="136"/>
    </row>
    <row r="26" spans="1:11" ht="15.75" x14ac:dyDescent="0.25">
      <c r="A26" s="144"/>
      <c r="B26" s="34"/>
      <c r="C26" s="34"/>
      <c r="D26" s="8"/>
      <c r="E26" s="136"/>
      <c r="G26" s="144"/>
      <c r="H26" s="34"/>
      <c r="I26" s="34"/>
      <c r="J26" s="8"/>
      <c r="K26" s="136"/>
    </row>
    <row r="27" spans="1:11" ht="15.75" x14ac:dyDescent="0.25">
      <c r="A27" s="144"/>
      <c r="B27" s="34"/>
      <c r="C27" s="34"/>
      <c r="D27" s="8"/>
      <c r="E27" s="136"/>
      <c r="G27" s="144"/>
      <c r="H27" s="34"/>
      <c r="I27" s="34"/>
      <c r="J27" s="8"/>
      <c r="K27" s="136"/>
    </row>
    <row r="28" spans="1:11" ht="15.75" x14ac:dyDescent="0.25">
      <c r="A28" s="144"/>
      <c r="B28" s="34"/>
      <c r="C28" s="34"/>
      <c r="D28" s="8"/>
      <c r="E28" s="136"/>
      <c r="F28" s="101"/>
      <c r="G28" s="144"/>
      <c r="H28" s="34"/>
      <c r="I28" s="34"/>
      <c r="J28" s="8"/>
      <c r="K28" s="136"/>
    </row>
    <row r="29" spans="1:11" ht="15.75" x14ac:dyDescent="0.25">
      <c r="A29" s="144"/>
      <c r="B29" s="34"/>
      <c r="C29" s="34"/>
      <c r="D29" s="8"/>
      <c r="E29" s="136"/>
      <c r="F29" s="101"/>
      <c r="G29" s="144"/>
      <c r="H29" s="34"/>
      <c r="I29" s="34"/>
      <c r="J29" s="8"/>
      <c r="K29" s="136"/>
    </row>
    <row r="30" spans="1:11" ht="15.75" x14ac:dyDescent="0.25">
      <c r="A30" s="144"/>
      <c r="B30" s="34"/>
      <c r="C30" s="34"/>
      <c r="D30" s="8"/>
      <c r="E30" s="136"/>
      <c r="G30" s="144"/>
      <c r="H30" s="34"/>
      <c r="I30" s="34"/>
      <c r="J30" s="8"/>
      <c r="K30" s="136"/>
    </row>
    <row r="31" spans="1:11" ht="15.75" x14ac:dyDescent="0.25">
      <c r="A31" s="144"/>
      <c r="B31" s="34"/>
      <c r="C31" s="34"/>
      <c r="D31" s="8"/>
      <c r="E31" s="136"/>
      <c r="G31" s="144"/>
      <c r="H31" s="34"/>
      <c r="I31" s="34"/>
      <c r="J31" s="8"/>
      <c r="K31" s="136"/>
    </row>
    <row r="32" spans="1:11" ht="15.75" x14ac:dyDescent="0.25">
      <c r="A32" s="144"/>
      <c r="B32" s="34"/>
      <c r="C32" s="34"/>
      <c r="D32" s="8"/>
      <c r="E32" s="136"/>
      <c r="G32" s="144"/>
      <c r="H32" s="34"/>
      <c r="I32" s="34"/>
      <c r="J32" s="8"/>
      <c r="K32" s="136"/>
    </row>
    <row r="33" spans="1:11" ht="15.75" x14ac:dyDescent="0.25">
      <c r="A33" s="144"/>
      <c r="B33" s="34"/>
      <c r="C33" s="34"/>
      <c r="D33" s="8"/>
      <c r="E33" s="136"/>
      <c r="G33" s="144"/>
      <c r="H33" s="34"/>
      <c r="I33" s="34"/>
      <c r="J33" s="8"/>
      <c r="K33" s="136"/>
    </row>
    <row r="34" spans="1:11" ht="15.75" x14ac:dyDescent="0.25">
      <c r="A34" s="144"/>
      <c r="B34" s="52"/>
      <c r="C34" s="34"/>
      <c r="D34" s="8"/>
      <c r="E34" s="136"/>
      <c r="G34" s="144"/>
      <c r="H34" s="52"/>
      <c r="I34" s="34"/>
      <c r="J34" s="8"/>
      <c r="K34" s="136"/>
    </row>
    <row r="35" spans="1:11" ht="15.75" x14ac:dyDescent="0.25">
      <c r="A35" s="144"/>
      <c r="B35" s="34"/>
      <c r="C35" s="46"/>
      <c r="D35" s="8"/>
      <c r="E35" s="136"/>
      <c r="G35" s="144"/>
      <c r="H35" s="34"/>
      <c r="I35" s="46"/>
      <c r="J35" s="8"/>
      <c r="K35" s="136"/>
    </row>
    <row r="36" spans="1:11" ht="15.75" x14ac:dyDescent="0.25">
      <c r="A36" s="144"/>
      <c r="B36" s="52"/>
      <c r="C36" s="52"/>
      <c r="D36" s="8"/>
      <c r="E36" s="136"/>
      <c r="G36" s="144"/>
      <c r="H36" s="52"/>
      <c r="I36" s="52"/>
      <c r="J36" s="8"/>
      <c r="K36" s="136"/>
    </row>
    <row r="37" spans="1:11" x14ac:dyDescent="0.25">
      <c r="A37" s="34"/>
      <c r="B37" s="52"/>
      <c r="C37" s="52"/>
      <c r="D37" s="8"/>
      <c r="E37" s="136"/>
      <c r="G37" s="34"/>
      <c r="H37" s="52"/>
      <c r="I37" s="52"/>
      <c r="J37" s="8"/>
      <c r="K37" s="136"/>
    </row>
    <row r="38" spans="1:11" x14ac:dyDescent="0.25">
      <c r="B38" s="48"/>
      <c r="E38" s="136"/>
      <c r="H38" s="48"/>
      <c r="K38" s="136"/>
    </row>
    <row r="39" spans="1:11" x14ac:dyDescent="0.25">
      <c r="B39" s="48"/>
      <c r="E39" s="136"/>
      <c r="H39" s="48"/>
      <c r="K39" s="136"/>
    </row>
    <row r="40" spans="1:11" x14ac:dyDescent="0.25">
      <c r="B40" s="48"/>
      <c r="E40" s="136"/>
      <c r="H40" s="48"/>
      <c r="K40" s="136"/>
    </row>
    <row r="41" spans="1:11" x14ac:dyDescent="0.25">
      <c r="B41" s="48"/>
      <c r="E41" s="150"/>
      <c r="H41" s="48"/>
      <c r="K41" s="150"/>
    </row>
    <row r="42" spans="1:11" x14ac:dyDescent="0.25">
      <c r="A42" s="124"/>
      <c r="B42" s="52"/>
      <c r="C42" s="34"/>
      <c r="D42" s="8"/>
      <c r="E42" s="136"/>
      <c r="G42" s="124"/>
      <c r="H42" s="52"/>
      <c r="I42" s="34"/>
      <c r="J42" s="8"/>
      <c r="K42" s="136"/>
    </row>
    <row r="43" spans="1:11" x14ac:dyDescent="0.25">
      <c r="A43" s="124"/>
      <c r="B43" s="52"/>
      <c r="C43" s="34"/>
      <c r="D43" s="8"/>
      <c r="E43" s="136"/>
      <c r="G43" s="124"/>
      <c r="H43" s="52"/>
      <c r="I43" s="34"/>
      <c r="J43" s="8"/>
      <c r="K43" s="136"/>
    </row>
    <row r="44" spans="1:11" x14ac:dyDescent="0.25">
      <c r="A44" s="124"/>
      <c r="B44" s="52"/>
      <c r="C44" s="34"/>
      <c r="D44" s="8"/>
      <c r="E44" s="136"/>
      <c r="G44" s="124"/>
      <c r="H44" s="52"/>
      <c r="I44" s="34"/>
      <c r="J44" s="8"/>
      <c r="K44" s="136"/>
    </row>
    <row r="45" spans="1:11" x14ac:dyDescent="0.25">
      <c r="A45" s="124"/>
      <c r="B45" s="52"/>
      <c r="C45" s="8"/>
      <c r="D45" s="8"/>
      <c r="E45" s="136"/>
      <c r="G45" s="124"/>
      <c r="H45" s="52"/>
      <c r="I45" s="8"/>
      <c r="J45" s="8"/>
      <c r="K45" s="136"/>
    </row>
    <row r="46" spans="1:11" x14ac:dyDescent="0.25">
      <c r="A46" s="124"/>
      <c r="B46" s="52"/>
      <c r="C46" s="8"/>
      <c r="D46" s="8"/>
      <c r="E46" s="136"/>
      <c r="G46" s="124"/>
      <c r="H46" s="52"/>
      <c r="I46" s="8"/>
      <c r="J46" s="8"/>
      <c r="K46" s="136"/>
    </row>
    <row r="47" spans="1:11" x14ac:dyDescent="0.25">
      <c r="A47" s="124"/>
      <c r="B47" s="52"/>
      <c r="C47" s="8"/>
      <c r="D47" s="8"/>
      <c r="E47" s="136"/>
      <c r="G47" s="124"/>
      <c r="H47" s="52"/>
      <c r="I47" s="8"/>
      <c r="J47" s="8"/>
      <c r="K47" s="136"/>
    </row>
    <row r="48" spans="1:11" x14ac:dyDescent="0.25">
      <c r="A48" s="124"/>
      <c r="B48" s="52"/>
      <c r="C48" s="8"/>
      <c r="D48" s="8"/>
      <c r="E48" s="136"/>
      <c r="G48" s="124"/>
      <c r="H48" s="52"/>
      <c r="I48" s="8"/>
      <c r="J48" s="8"/>
      <c r="K48" s="136"/>
    </row>
    <row r="49" spans="1:11" x14ac:dyDescent="0.25">
      <c r="A49" s="124"/>
      <c r="B49" s="52"/>
      <c r="C49" s="8"/>
      <c r="D49" s="8"/>
      <c r="E49" s="136"/>
      <c r="G49" s="124"/>
      <c r="H49" s="52"/>
      <c r="I49" s="8"/>
      <c r="J49" s="8"/>
      <c r="K49" s="136"/>
    </row>
    <row r="50" spans="1:11" x14ac:dyDescent="0.25">
      <c r="A50" s="124"/>
      <c r="B50" s="52"/>
      <c r="C50" s="8"/>
      <c r="D50" s="8"/>
      <c r="E50" s="136"/>
      <c r="G50" s="124"/>
      <c r="H50" s="52"/>
      <c r="I50" s="8"/>
      <c r="J50" s="8"/>
      <c r="K50" s="136"/>
    </row>
    <row r="51" spans="1:11" x14ac:dyDescent="0.25">
      <c r="A51" s="124"/>
      <c r="B51" s="52"/>
      <c r="C51" s="8"/>
      <c r="D51" s="8"/>
      <c r="E51" s="136"/>
      <c r="G51" s="124"/>
      <c r="H51" s="52"/>
      <c r="I51" s="8"/>
      <c r="J51" s="8"/>
      <c r="K51" s="136"/>
    </row>
    <row r="52" spans="1:11" x14ac:dyDescent="0.25">
      <c r="A52" s="124"/>
      <c r="B52" s="52"/>
      <c r="C52" s="8"/>
      <c r="D52" s="8"/>
      <c r="E52" s="136"/>
      <c r="G52" s="124"/>
      <c r="H52" s="52"/>
      <c r="I52" s="8"/>
      <c r="J52" s="8"/>
      <c r="K52" s="136"/>
    </row>
    <row r="53" spans="1:11" x14ac:dyDescent="0.25">
      <c r="A53" s="124"/>
      <c r="B53" s="52"/>
      <c r="C53" s="8"/>
      <c r="D53" s="8"/>
      <c r="E53" s="136"/>
      <c r="G53" s="124"/>
      <c r="H53" s="52"/>
      <c r="I53" s="8"/>
      <c r="J53" s="8"/>
      <c r="K53" s="136"/>
    </row>
    <row r="54" spans="1:11" x14ac:dyDescent="0.25">
      <c r="A54" s="124"/>
      <c r="B54" s="52"/>
      <c r="C54" s="8"/>
      <c r="D54" s="8"/>
      <c r="E54" s="136"/>
      <c r="G54" s="124"/>
      <c r="H54" s="52"/>
      <c r="I54" s="8"/>
      <c r="J54" s="8"/>
      <c r="K54" s="136"/>
    </row>
    <row r="55" spans="1:11" x14ac:dyDescent="0.25">
      <c r="A55" s="124"/>
      <c r="B55" s="52"/>
      <c r="C55" s="8"/>
      <c r="D55" s="8"/>
      <c r="E55" s="136"/>
      <c r="G55" s="124"/>
      <c r="H55" s="52"/>
      <c r="I55" s="8"/>
      <c r="J55" s="8"/>
      <c r="K55" s="136"/>
    </row>
    <row r="56" spans="1:11" x14ac:dyDescent="0.25">
      <c r="A56" s="124"/>
      <c r="B56" s="52"/>
      <c r="C56" s="8"/>
      <c r="D56" s="8"/>
      <c r="E56" s="136"/>
      <c r="G56" s="124"/>
      <c r="H56" s="52"/>
      <c r="I56" s="8"/>
      <c r="J56" s="8"/>
      <c r="K56" s="136"/>
    </row>
    <row r="57" spans="1:11" x14ac:dyDescent="0.25">
      <c r="A57" s="124"/>
      <c r="B57" s="52"/>
      <c r="C57" s="8"/>
      <c r="D57" s="8"/>
      <c r="E57" s="136"/>
      <c r="G57" s="124"/>
      <c r="H57" s="52"/>
      <c r="I57" s="8"/>
      <c r="J57" s="8"/>
      <c r="K57" s="136"/>
    </row>
    <row r="58" spans="1:11" x14ac:dyDescent="0.25">
      <c r="A58" s="124"/>
      <c r="B58" s="34"/>
      <c r="C58" s="8"/>
      <c r="D58" s="8"/>
      <c r="E58" s="136"/>
      <c r="G58" s="124"/>
      <c r="H58" s="34"/>
      <c r="I58" s="8"/>
      <c r="J58" s="8"/>
      <c r="K58" s="136"/>
    </row>
    <row r="59" spans="1:11" x14ac:dyDescent="0.25">
      <c r="A59" s="124"/>
      <c r="B59" s="34"/>
      <c r="C59" s="8"/>
      <c r="D59" s="8"/>
      <c r="E59" s="136"/>
      <c r="G59" s="124"/>
      <c r="H59" s="34"/>
      <c r="I59" s="8"/>
      <c r="J59" s="8"/>
      <c r="K59" s="136"/>
    </row>
    <row r="60" spans="1:11" x14ac:dyDescent="0.25">
      <c r="A60" s="124"/>
      <c r="B60" s="34"/>
      <c r="C60" s="8"/>
      <c r="D60" s="8"/>
      <c r="E60" s="136"/>
      <c r="G60" s="124"/>
      <c r="H60" s="34"/>
      <c r="I60" s="8"/>
      <c r="J60" s="8"/>
      <c r="K60" s="136"/>
    </row>
    <row r="61" spans="1:11" x14ac:dyDescent="0.25">
      <c r="A61" s="124"/>
      <c r="B61" s="34"/>
      <c r="C61" s="8"/>
      <c r="D61" s="8"/>
      <c r="E61" s="136"/>
      <c r="G61" s="124"/>
      <c r="H61" s="34"/>
      <c r="I61" s="8"/>
      <c r="J61" s="8"/>
      <c r="K61" s="136"/>
    </row>
    <row r="62" spans="1:11" x14ac:dyDescent="0.25">
      <c r="A62" s="124"/>
      <c r="B62" s="34"/>
      <c r="C62" s="8"/>
      <c r="D62" s="8"/>
      <c r="E62" s="136"/>
      <c r="G62" s="124"/>
      <c r="H62" s="34"/>
      <c r="I62" s="8"/>
      <c r="J62" s="8"/>
      <c r="K62" s="136"/>
    </row>
    <row r="63" spans="1:11" x14ac:dyDescent="0.25">
      <c r="A63" s="124"/>
      <c r="B63" s="34"/>
      <c r="C63" s="8"/>
      <c r="D63" s="8"/>
      <c r="E63" s="136"/>
      <c r="G63" s="124"/>
      <c r="H63" s="34"/>
      <c r="I63" s="8"/>
      <c r="J63" s="8"/>
      <c r="K63" s="136"/>
    </row>
    <row r="64" spans="1:11" x14ac:dyDescent="0.25">
      <c r="A64" s="124"/>
      <c r="B64" s="34"/>
      <c r="C64" s="8"/>
      <c r="D64" s="8"/>
      <c r="E64" s="136"/>
      <c r="G64" s="124"/>
      <c r="H64" s="34"/>
      <c r="I64" s="8"/>
      <c r="J64" s="8"/>
      <c r="K64" s="136"/>
    </row>
    <row r="65" spans="1:11" x14ac:dyDescent="0.25">
      <c r="A65" s="124"/>
      <c r="B65" s="52"/>
      <c r="C65" s="8"/>
      <c r="D65" s="8"/>
      <c r="E65" s="136"/>
      <c r="G65" s="124"/>
      <c r="H65" s="52"/>
      <c r="I65" s="8"/>
      <c r="J65" s="8"/>
      <c r="K65" s="136"/>
    </row>
    <row r="66" spans="1:11" x14ac:dyDescent="0.25">
      <c r="A66" s="124"/>
      <c r="B66" s="34"/>
      <c r="C66" s="8"/>
      <c r="D66" s="8"/>
      <c r="E66" s="136"/>
      <c r="G66" s="124"/>
      <c r="H66" s="34"/>
      <c r="I66" s="8"/>
      <c r="J66" s="8"/>
      <c r="K66" s="136"/>
    </row>
    <row r="67" spans="1:11" x14ac:dyDescent="0.25">
      <c r="A67" s="124"/>
      <c r="B67" s="34"/>
      <c r="C67" s="8"/>
      <c r="D67" s="8"/>
      <c r="E67" s="136"/>
      <c r="G67" s="124"/>
      <c r="H67" s="34"/>
      <c r="I67" s="8"/>
      <c r="J67" s="8"/>
      <c r="K67" s="136"/>
    </row>
    <row r="68" spans="1:11" x14ac:dyDescent="0.25">
      <c r="A68" s="124"/>
      <c r="B68" s="34"/>
      <c r="C68" s="8"/>
      <c r="D68" s="8"/>
      <c r="E68" s="136"/>
      <c r="G68" s="124"/>
      <c r="H68" s="34"/>
      <c r="I68" s="8"/>
      <c r="J68" s="8"/>
      <c r="K68" s="136"/>
    </row>
    <row r="69" spans="1:11" x14ac:dyDescent="0.25">
      <c r="A69" s="124"/>
      <c r="B69" s="34"/>
      <c r="C69" s="8"/>
      <c r="D69" s="8"/>
      <c r="E69" s="136"/>
      <c r="G69" s="124"/>
      <c r="H69" s="34"/>
      <c r="I69" s="8"/>
      <c r="J69" s="8"/>
      <c r="K69" s="136"/>
    </row>
    <row r="70" spans="1:11" x14ac:dyDescent="0.25">
      <c r="A70" s="124"/>
      <c r="B70" s="34"/>
      <c r="C70" s="8"/>
      <c r="D70" s="8"/>
      <c r="E70" s="136"/>
      <c r="G70" s="124"/>
      <c r="H70" s="34"/>
      <c r="I70" s="8"/>
      <c r="J70" s="8"/>
      <c r="K70" s="136"/>
    </row>
    <row r="71" spans="1:11" x14ac:dyDescent="0.25">
      <c r="A71" s="124"/>
      <c r="B71" s="34"/>
      <c r="C71" s="8"/>
      <c r="D71" s="8"/>
      <c r="E71" s="136"/>
      <c r="G71" s="124"/>
      <c r="H71" s="34"/>
      <c r="I71" s="8"/>
      <c r="J71" s="8"/>
      <c r="K71" s="136"/>
    </row>
    <row r="72" spans="1:11" x14ac:dyDescent="0.25">
      <c r="A72" s="124"/>
      <c r="B72" s="34"/>
      <c r="C72" s="8"/>
      <c r="D72" s="8"/>
      <c r="E72" s="136"/>
      <c r="G72" s="124"/>
      <c r="H72" s="34"/>
      <c r="I72" s="8"/>
      <c r="J72" s="8"/>
      <c r="K72" s="136"/>
    </row>
    <row r="73" spans="1:11" x14ac:dyDescent="0.25">
      <c r="A73" s="124"/>
      <c r="B73" s="52"/>
      <c r="C73" s="8"/>
      <c r="D73" s="8"/>
      <c r="E73" s="136"/>
      <c r="G73" s="124"/>
      <c r="H73" s="52"/>
      <c r="I73" s="8"/>
      <c r="J73" s="8"/>
      <c r="K73" s="136"/>
    </row>
    <row r="74" spans="1:11" x14ac:dyDescent="0.25">
      <c r="A74" s="124"/>
      <c r="B74" s="34"/>
      <c r="C74" s="8"/>
      <c r="D74" s="8"/>
      <c r="E74" s="136"/>
      <c r="G74" s="124"/>
      <c r="H74" s="34"/>
      <c r="I74" s="8"/>
      <c r="J74" s="8"/>
      <c r="K74" s="136"/>
    </row>
    <row r="75" spans="1:11" x14ac:dyDescent="0.25">
      <c r="A75" s="124"/>
      <c r="B75" s="34"/>
      <c r="C75" s="8"/>
      <c r="D75" s="8"/>
      <c r="E75" s="136"/>
      <c r="G75" s="124"/>
      <c r="H75" s="34"/>
      <c r="I75" s="8"/>
      <c r="J75" s="8"/>
      <c r="K75" s="136"/>
    </row>
    <row r="76" spans="1:11" x14ac:dyDescent="0.25">
      <c r="A76" s="124"/>
      <c r="B76" s="52"/>
      <c r="C76" s="34"/>
      <c r="D76" s="8"/>
      <c r="E76" s="136"/>
      <c r="G76" s="124"/>
      <c r="H76" s="52"/>
      <c r="I76" s="34"/>
      <c r="J76" s="8"/>
      <c r="K76" s="136"/>
    </row>
    <row r="77" spans="1:11" x14ac:dyDescent="0.25">
      <c r="A77" s="124"/>
      <c r="B77" s="52"/>
      <c r="C77" s="34"/>
      <c r="D77" s="8"/>
      <c r="E77" s="136"/>
      <c r="G77" s="124"/>
      <c r="H77" s="52"/>
      <c r="I77" s="34"/>
      <c r="J77" s="8"/>
      <c r="K77" s="136"/>
    </row>
    <row r="78" spans="1:11" x14ac:dyDescent="0.25">
      <c r="A78" s="124"/>
      <c r="B78" s="52"/>
      <c r="C78" s="14"/>
      <c r="D78" s="8"/>
      <c r="E78" s="136"/>
      <c r="G78" s="124"/>
      <c r="H78" s="52"/>
      <c r="I78" s="14"/>
      <c r="J78" s="8"/>
      <c r="K78" s="136"/>
    </row>
    <row r="79" spans="1:11" x14ac:dyDescent="0.25">
      <c r="A79" s="124"/>
      <c r="B79" s="52"/>
      <c r="C79" s="14"/>
      <c r="D79" s="8"/>
      <c r="E79" s="136"/>
      <c r="G79" s="124"/>
      <c r="H79" s="52"/>
      <c r="I79" s="14"/>
      <c r="J79" s="8"/>
      <c r="K79" s="136"/>
    </row>
    <row r="80" spans="1:11" x14ac:dyDescent="0.25">
      <c r="A80" s="124"/>
      <c r="B80" s="52"/>
      <c r="C80" s="14"/>
      <c r="D80" s="8"/>
      <c r="E80" s="136"/>
      <c r="G80" s="124"/>
      <c r="H80" s="52"/>
      <c r="I80" s="14"/>
      <c r="J80" s="8"/>
      <c r="K80" s="136"/>
    </row>
    <row r="81" spans="1:11" x14ac:dyDescent="0.25">
      <c r="A81" s="124"/>
      <c r="B81" s="52"/>
      <c r="C81" s="34"/>
      <c r="D81" s="8"/>
      <c r="E81" s="136"/>
      <c r="G81" s="124"/>
      <c r="H81" s="52"/>
      <c r="I81" s="34"/>
      <c r="J81" s="8"/>
      <c r="K81" s="136"/>
    </row>
    <row r="82" spans="1:11" x14ac:dyDescent="0.25">
      <c r="A82" s="124"/>
      <c r="B82" s="52"/>
      <c r="C82" s="14"/>
      <c r="D82" s="8"/>
      <c r="E82" s="136"/>
      <c r="G82" s="124"/>
      <c r="H82" s="52"/>
      <c r="I82" s="14"/>
      <c r="J82" s="8"/>
      <c r="K82" s="136"/>
    </row>
    <row r="83" spans="1:11" x14ac:dyDescent="0.25">
      <c r="A83" s="124"/>
      <c r="B83" s="52"/>
      <c r="C83" s="14"/>
      <c r="D83" s="8"/>
      <c r="E83" s="136"/>
      <c r="G83" s="124"/>
      <c r="H83" s="52"/>
      <c r="I83" s="14"/>
      <c r="J83" s="8"/>
      <c r="K83" s="136"/>
    </row>
    <row r="84" spans="1:11" x14ac:dyDescent="0.25">
      <c r="A84" s="34"/>
      <c r="B84" s="137"/>
      <c r="C84" s="137"/>
      <c r="D84" s="139"/>
      <c r="E84" s="171"/>
      <c r="G84" s="34"/>
      <c r="H84" s="137"/>
      <c r="I84" s="137"/>
      <c r="J84" s="139"/>
      <c r="K84" s="171"/>
    </row>
    <row r="85" spans="1:11" x14ac:dyDescent="0.25">
      <c r="A85" s="34"/>
      <c r="B85" s="34"/>
      <c r="C85" s="34"/>
      <c r="D85" s="8"/>
      <c r="E85" s="26"/>
      <c r="G85" s="34"/>
      <c r="H85" s="34"/>
      <c r="I85" s="34"/>
      <c r="J85" s="8"/>
      <c r="K85" s="26"/>
    </row>
    <row r="86" spans="1:11" x14ac:dyDescent="0.25">
      <c r="A86" s="34"/>
      <c r="B86" s="34"/>
      <c r="C86" s="34"/>
      <c r="D86" s="8"/>
      <c r="E86" s="26"/>
      <c r="G86" s="34"/>
      <c r="H86" s="34"/>
      <c r="I86" s="34"/>
      <c r="J86" s="8"/>
      <c r="K86" s="26"/>
    </row>
    <row r="87" spans="1:11" x14ac:dyDescent="0.25">
      <c r="A87" s="34"/>
      <c r="B87" s="34"/>
      <c r="C87" s="34"/>
      <c r="D87" s="8"/>
      <c r="E87" s="26"/>
      <c r="G87" s="34"/>
      <c r="H87" s="34"/>
      <c r="I87" s="34"/>
      <c r="J87" s="8"/>
      <c r="K87" s="26"/>
    </row>
    <row r="88" spans="1:11" x14ac:dyDescent="0.25">
      <c r="A88" s="34"/>
      <c r="B88" s="34"/>
      <c r="C88" s="34"/>
      <c r="D88" s="8"/>
      <c r="E88" s="26"/>
      <c r="G88" s="34"/>
      <c r="H88" s="34"/>
      <c r="I88" s="34"/>
      <c r="J88" s="8"/>
      <c r="K88" s="26"/>
    </row>
    <row r="89" spans="1:11" x14ac:dyDescent="0.25">
      <c r="A89" s="34"/>
      <c r="B89" s="34"/>
      <c r="C89" s="34"/>
      <c r="D89" s="8"/>
      <c r="E89" s="26"/>
      <c r="G89" s="34"/>
      <c r="H89" s="34"/>
      <c r="I89" s="34"/>
      <c r="J89" s="8"/>
      <c r="K89" s="26"/>
    </row>
    <row r="90" spans="1:11" x14ac:dyDescent="0.25">
      <c r="A90" s="34"/>
      <c r="B90" s="34"/>
      <c r="C90" s="34"/>
      <c r="D90" s="8"/>
      <c r="E90" s="26"/>
      <c r="G90" s="34"/>
      <c r="H90" s="34"/>
      <c r="I90" s="34"/>
      <c r="J90" s="8"/>
      <c r="K90" s="26"/>
    </row>
    <row r="91" spans="1:11" x14ac:dyDescent="0.25">
      <c r="A91" s="34"/>
      <c r="B91" s="34"/>
      <c r="C91" s="34"/>
      <c r="D91" s="8"/>
      <c r="E91" s="26"/>
      <c r="G91" s="34"/>
      <c r="H91" s="34"/>
      <c r="I91" s="34"/>
      <c r="J91" s="8"/>
      <c r="K91" s="26"/>
    </row>
  </sheetData>
  <mergeCells count="2">
    <mergeCell ref="A1:E1"/>
    <mergeCell ref="G1:K1"/>
  </mergeCell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G90"/>
  <sheetViews>
    <sheetView zoomScale="115" zoomScaleNormal="115" workbookViewId="0">
      <selection activeCell="B18" sqref="B18"/>
    </sheetView>
  </sheetViews>
  <sheetFormatPr defaultColWidth="8.85546875" defaultRowHeight="15" x14ac:dyDescent="0.25"/>
  <cols>
    <col min="1" max="1" width="12.42578125" style="5" customWidth="1"/>
    <col min="2" max="2" width="36.28515625" style="5" customWidth="1"/>
    <col min="3" max="3" width="11.5703125" style="5" bestFit="1" customWidth="1"/>
    <col min="4" max="4" width="12.42578125" style="10" bestFit="1" customWidth="1"/>
    <col min="5" max="5" width="11.28515625" style="6" customWidth="1"/>
    <col min="6" max="6" width="15.5703125" style="5" customWidth="1"/>
    <col min="7" max="7" width="11.140625" style="10" bestFit="1" customWidth="1"/>
    <col min="8" max="16384" width="8.85546875" style="5"/>
  </cols>
  <sheetData>
    <row r="1" spans="1:7" s="101" customFormat="1" ht="31.5" x14ac:dyDescent="0.25">
      <c r="A1" s="45" t="s">
        <v>1</v>
      </c>
      <c r="B1" s="45" t="s">
        <v>3</v>
      </c>
      <c r="C1" s="125" t="s">
        <v>4365</v>
      </c>
      <c r="D1" s="125" t="s">
        <v>4364</v>
      </c>
      <c r="E1" s="135" t="s">
        <v>4366</v>
      </c>
      <c r="G1" s="54"/>
    </row>
    <row r="2" spans="1:7" s="101" customFormat="1" ht="15.75" x14ac:dyDescent="0.25">
      <c r="A2" s="144">
        <v>44083</v>
      </c>
      <c r="B2" s="40" t="s">
        <v>6949</v>
      </c>
      <c r="C2" s="126"/>
      <c r="D2" s="126">
        <v>4500</v>
      </c>
      <c r="E2" s="136">
        <f>D2</f>
        <v>4500</v>
      </c>
      <c r="G2" s="54"/>
    </row>
    <row r="3" spans="1:7" s="101" customFormat="1" ht="15.75" x14ac:dyDescent="0.25">
      <c r="A3" s="144">
        <v>44089</v>
      </c>
      <c r="B3" s="127" t="s">
        <v>6950</v>
      </c>
      <c r="C3" s="126"/>
      <c r="D3" s="126">
        <v>2500</v>
      </c>
      <c r="E3" s="136">
        <f t="shared" ref="E3:E17" si="0">E2+D3-C3</f>
        <v>7000</v>
      </c>
      <c r="G3" s="54"/>
    </row>
    <row r="4" spans="1:7" s="101" customFormat="1" ht="15.75" x14ac:dyDescent="0.25">
      <c r="A4" s="144">
        <v>44097</v>
      </c>
      <c r="B4" s="127" t="s">
        <v>6951</v>
      </c>
      <c r="C4" s="126"/>
      <c r="D4" s="126">
        <v>500</v>
      </c>
      <c r="E4" s="136">
        <f t="shared" si="0"/>
        <v>7500</v>
      </c>
      <c r="G4" s="54"/>
    </row>
    <row r="5" spans="1:7" s="101" customFormat="1" ht="15.75" x14ac:dyDescent="0.25">
      <c r="A5" s="124"/>
      <c r="B5" s="127"/>
      <c r="C5" s="126">
        <v>9350</v>
      </c>
      <c r="D5" s="126"/>
      <c r="E5" s="136">
        <f t="shared" si="0"/>
        <v>-1850</v>
      </c>
      <c r="G5" s="54"/>
    </row>
    <row r="6" spans="1:7" s="101" customFormat="1" ht="15.75" x14ac:dyDescent="0.25">
      <c r="A6" s="144">
        <v>44121</v>
      </c>
      <c r="B6" s="127" t="s">
        <v>295</v>
      </c>
      <c r="C6" s="126"/>
      <c r="D6" s="126">
        <v>1850</v>
      </c>
      <c r="E6" s="136">
        <f t="shared" si="0"/>
        <v>0</v>
      </c>
      <c r="G6" s="54"/>
    </row>
    <row r="7" spans="1:7" s="101" customFormat="1" ht="15.75" x14ac:dyDescent="0.25">
      <c r="A7" s="144">
        <v>44254</v>
      </c>
      <c r="B7" s="127" t="s">
        <v>7631</v>
      </c>
      <c r="C7" s="126"/>
      <c r="D7" s="126">
        <v>2000</v>
      </c>
      <c r="E7" s="136">
        <f t="shared" si="0"/>
        <v>2000</v>
      </c>
      <c r="G7" s="54"/>
    </row>
    <row r="8" spans="1:7" s="101" customFormat="1" ht="15.75" x14ac:dyDescent="0.25">
      <c r="A8" s="144">
        <v>44256</v>
      </c>
      <c r="B8" s="127" t="s">
        <v>295</v>
      </c>
      <c r="C8" s="126"/>
      <c r="D8" s="126">
        <v>1500</v>
      </c>
      <c r="E8" s="136">
        <f t="shared" si="0"/>
        <v>3500</v>
      </c>
      <c r="G8" s="54"/>
    </row>
    <row r="9" spans="1:7" s="101" customFormat="1" ht="15.75" x14ac:dyDescent="0.25">
      <c r="A9" s="144">
        <v>44256</v>
      </c>
      <c r="B9" s="127" t="s">
        <v>7659</v>
      </c>
      <c r="C9" s="126">
        <v>3300</v>
      </c>
      <c r="D9" s="126"/>
      <c r="E9" s="136">
        <f t="shared" si="0"/>
        <v>200</v>
      </c>
      <c r="G9" s="54"/>
    </row>
    <row r="10" spans="1:7" s="101" customFormat="1" ht="15.75" x14ac:dyDescent="0.25">
      <c r="A10" s="144">
        <v>44260</v>
      </c>
      <c r="B10" s="127" t="s">
        <v>7712</v>
      </c>
      <c r="C10" s="126"/>
      <c r="D10" s="126">
        <v>2000</v>
      </c>
      <c r="E10" s="136">
        <f t="shared" si="0"/>
        <v>2200</v>
      </c>
      <c r="G10" s="54"/>
    </row>
    <row r="11" spans="1:7" ht="15.75" x14ac:dyDescent="0.25">
      <c r="A11" s="144">
        <v>44270</v>
      </c>
      <c r="B11" s="34" t="s">
        <v>78</v>
      </c>
      <c r="C11" s="8"/>
      <c r="D11" s="8">
        <v>1000</v>
      </c>
      <c r="E11" s="136">
        <f t="shared" si="0"/>
        <v>3200</v>
      </c>
      <c r="F11" s="101"/>
      <c r="G11" s="47"/>
    </row>
    <row r="12" spans="1:7" ht="15.75" x14ac:dyDescent="0.25">
      <c r="A12" s="144">
        <v>44273</v>
      </c>
      <c r="B12" s="34" t="s">
        <v>78</v>
      </c>
      <c r="C12" s="8"/>
      <c r="D12" s="8">
        <v>2000</v>
      </c>
      <c r="E12" s="136">
        <f t="shared" si="0"/>
        <v>5200</v>
      </c>
      <c r="G12" s="47"/>
    </row>
    <row r="13" spans="1:7" ht="15.75" x14ac:dyDescent="0.25">
      <c r="A13" s="144">
        <v>44274</v>
      </c>
      <c r="B13" s="34" t="s">
        <v>3924</v>
      </c>
      <c r="C13" s="8">
        <v>6200</v>
      </c>
      <c r="D13" s="8"/>
      <c r="E13" s="136">
        <f t="shared" si="0"/>
        <v>-1000</v>
      </c>
      <c r="G13" s="5"/>
    </row>
    <row r="14" spans="1:7" ht="15.75" x14ac:dyDescent="0.25">
      <c r="A14" s="144">
        <v>44274</v>
      </c>
      <c r="B14" s="34" t="s">
        <v>32</v>
      </c>
      <c r="C14" s="8"/>
      <c r="D14" s="8">
        <v>1000</v>
      </c>
      <c r="E14" s="136">
        <f t="shared" si="0"/>
        <v>0</v>
      </c>
      <c r="G14" s="47"/>
    </row>
    <row r="15" spans="1:7" ht="15.75" x14ac:dyDescent="0.25">
      <c r="A15" s="144">
        <v>44364</v>
      </c>
      <c r="B15" s="34" t="s">
        <v>32</v>
      </c>
      <c r="C15" s="8"/>
      <c r="D15" s="8">
        <v>10000</v>
      </c>
      <c r="E15" s="136">
        <f t="shared" si="0"/>
        <v>10000</v>
      </c>
      <c r="G15" s="5"/>
    </row>
    <row r="16" spans="1:7" ht="15.75" x14ac:dyDescent="0.25">
      <c r="A16" s="144">
        <v>44366</v>
      </c>
      <c r="B16" s="34" t="s">
        <v>3924</v>
      </c>
      <c r="C16" s="8">
        <v>12343</v>
      </c>
      <c r="D16" s="14"/>
      <c r="E16" s="136">
        <f t="shared" si="0"/>
        <v>-2343</v>
      </c>
      <c r="G16" s="5"/>
    </row>
    <row r="17" spans="1:7" ht="15.75" x14ac:dyDescent="0.25">
      <c r="A17" s="144">
        <v>44366</v>
      </c>
      <c r="B17" s="34" t="s">
        <v>32</v>
      </c>
      <c r="C17" s="8"/>
      <c r="D17" s="14">
        <v>7500</v>
      </c>
      <c r="E17" s="136">
        <f t="shared" si="0"/>
        <v>5157</v>
      </c>
      <c r="G17" s="5"/>
    </row>
    <row r="18" spans="1:7" ht="15.75" x14ac:dyDescent="0.25">
      <c r="A18" s="144"/>
      <c r="B18" s="34"/>
      <c r="C18" s="8"/>
      <c r="D18" s="8"/>
      <c r="E18" s="136"/>
      <c r="G18" s="5"/>
    </row>
    <row r="19" spans="1:7" ht="15.75" x14ac:dyDescent="0.25">
      <c r="A19" s="144"/>
      <c r="B19" s="52"/>
      <c r="C19" s="8"/>
      <c r="D19" s="8"/>
      <c r="E19" s="136"/>
      <c r="F19" s="101"/>
    </row>
    <row r="20" spans="1:7" ht="15.75" x14ac:dyDescent="0.25">
      <c r="A20" s="144"/>
      <c r="B20" s="52"/>
      <c r="C20" s="8"/>
      <c r="D20" s="8"/>
      <c r="E20" s="136"/>
      <c r="F20" s="101"/>
    </row>
    <row r="21" spans="1:7" ht="15.75" x14ac:dyDescent="0.25">
      <c r="A21" s="144"/>
      <c r="B21" s="34"/>
      <c r="C21" s="34"/>
      <c r="D21" s="8"/>
      <c r="E21" s="136"/>
    </row>
    <row r="22" spans="1:7" ht="15.75" x14ac:dyDescent="0.25">
      <c r="A22" s="144"/>
      <c r="B22" s="34"/>
      <c r="C22" s="34"/>
      <c r="D22" s="8"/>
      <c r="E22" s="136"/>
    </row>
    <row r="23" spans="1:7" ht="15.75" x14ac:dyDescent="0.25">
      <c r="A23" s="144"/>
      <c r="B23" s="34"/>
      <c r="C23" s="34"/>
      <c r="D23" s="8"/>
      <c r="E23" s="136"/>
    </row>
    <row r="24" spans="1:7" ht="15.75" x14ac:dyDescent="0.25">
      <c r="A24" s="144"/>
      <c r="B24" s="34"/>
      <c r="C24" s="34"/>
      <c r="D24" s="8"/>
      <c r="E24" s="136"/>
    </row>
    <row r="25" spans="1:7" ht="15.75" x14ac:dyDescent="0.25">
      <c r="A25" s="144"/>
      <c r="B25" s="34"/>
      <c r="C25" s="34"/>
      <c r="D25" s="8"/>
      <c r="E25" s="136"/>
    </row>
    <row r="26" spans="1:7" ht="15.75" x14ac:dyDescent="0.25">
      <c r="A26" s="144"/>
      <c r="B26" s="34"/>
      <c r="C26" s="34"/>
      <c r="D26" s="8"/>
      <c r="E26" s="136"/>
    </row>
    <row r="27" spans="1:7" ht="15.75" x14ac:dyDescent="0.25">
      <c r="A27" s="144"/>
      <c r="B27" s="34"/>
      <c r="C27" s="34"/>
      <c r="D27" s="8"/>
      <c r="E27" s="136"/>
      <c r="F27" s="101"/>
    </row>
    <row r="28" spans="1:7" ht="15.75" x14ac:dyDescent="0.25">
      <c r="A28" s="144"/>
      <c r="B28" s="34"/>
      <c r="C28" s="34"/>
      <c r="D28" s="8"/>
      <c r="E28" s="136"/>
      <c r="F28" s="101"/>
    </row>
    <row r="29" spans="1:7" ht="15.75" x14ac:dyDescent="0.25">
      <c r="A29" s="144"/>
      <c r="B29" s="34"/>
      <c r="C29" s="34"/>
      <c r="D29" s="8"/>
      <c r="E29" s="136"/>
    </row>
    <row r="30" spans="1:7" ht="15.75" x14ac:dyDescent="0.25">
      <c r="A30" s="144"/>
      <c r="B30" s="34"/>
      <c r="C30" s="34"/>
      <c r="D30" s="8"/>
      <c r="E30" s="136"/>
    </row>
    <row r="31" spans="1:7" ht="15.75" x14ac:dyDescent="0.25">
      <c r="A31" s="144"/>
      <c r="B31" s="34"/>
      <c r="C31" s="34"/>
      <c r="D31" s="8"/>
      <c r="E31" s="136"/>
    </row>
    <row r="32" spans="1:7" ht="15.75" x14ac:dyDescent="0.25">
      <c r="A32" s="144"/>
      <c r="B32" s="34"/>
      <c r="C32" s="34"/>
      <c r="D32" s="8"/>
      <c r="E32" s="136"/>
    </row>
    <row r="33" spans="1:5" ht="15.75" x14ac:dyDescent="0.25">
      <c r="A33" s="144"/>
      <c r="B33" s="52"/>
      <c r="C33" s="34"/>
      <c r="D33" s="8"/>
      <c r="E33" s="136"/>
    </row>
    <row r="34" spans="1:5" ht="15.75" x14ac:dyDescent="0.25">
      <c r="A34" s="144"/>
      <c r="B34" s="34"/>
      <c r="C34" s="46"/>
      <c r="D34" s="8"/>
      <c r="E34" s="136"/>
    </row>
    <row r="35" spans="1:5" ht="15.75" x14ac:dyDescent="0.25">
      <c r="A35" s="144"/>
      <c r="B35" s="52"/>
      <c r="C35" s="52"/>
      <c r="D35" s="8"/>
      <c r="E35" s="136"/>
    </row>
    <row r="36" spans="1:5" x14ac:dyDescent="0.25">
      <c r="A36" s="34"/>
      <c r="B36" s="52"/>
      <c r="C36" s="52"/>
      <c r="D36" s="8"/>
      <c r="E36" s="136"/>
    </row>
    <row r="37" spans="1:5" x14ac:dyDescent="0.25">
      <c r="B37" s="48"/>
      <c r="E37" s="136"/>
    </row>
    <row r="38" spans="1:5" x14ac:dyDescent="0.25">
      <c r="B38" s="48"/>
      <c r="E38" s="136"/>
    </row>
    <row r="39" spans="1:5" x14ac:dyDescent="0.25">
      <c r="B39" s="48"/>
      <c r="E39" s="136"/>
    </row>
    <row r="40" spans="1:5" x14ac:dyDescent="0.25">
      <c r="B40" s="48"/>
      <c r="E40" s="150"/>
    </row>
    <row r="41" spans="1:5" x14ac:dyDescent="0.25">
      <c r="A41" s="124"/>
      <c r="B41" s="52"/>
      <c r="C41" s="34"/>
      <c r="D41" s="8"/>
      <c r="E41" s="136"/>
    </row>
    <row r="42" spans="1:5" x14ac:dyDescent="0.25">
      <c r="A42" s="124"/>
      <c r="B42" s="52"/>
      <c r="C42" s="34"/>
      <c r="D42" s="8"/>
      <c r="E42" s="136"/>
    </row>
    <row r="43" spans="1:5" x14ac:dyDescent="0.25">
      <c r="A43" s="124"/>
      <c r="B43" s="52"/>
      <c r="C43" s="34"/>
      <c r="D43" s="8"/>
      <c r="E43" s="136"/>
    </row>
    <row r="44" spans="1:5" x14ac:dyDescent="0.25">
      <c r="A44" s="124"/>
      <c r="B44" s="52"/>
      <c r="C44" s="8"/>
      <c r="D44" s="8"/>
      <c r="E44" s="136"/>
    </row>
    <row r="45" spans="1:5" x14ac:dyDescent="0.25">
      <c r="A45" s="124"/>
      <c r="B45" s="52"/>
      <c r="C45" s="8"/>
      <c r="D45" s="8"/>
      <c r="E45" s="136"/>
    </row>
    <row r="46" spans="1:5" x14ac:dyDescent="0.25">
      <c r="A46" s="124"/>
      <c r="B46" s="52"/>
      <c r="C46" s="8"/>
      <c r="D46" s="8"/>
      <c r="E46" s="136"/>
    </row>
    <row r="47" spans="1:5" x14ac:dyDescent="0.25">
      <c r="A47" s="124"/>
      <c r="B47" s="52"/>
      <c r="C47" s="8"/>
      <c r="D47" s="8"/>
      <c r="E47" s="136"/>
    </row>
    <row r="48" spans="1:5" x14ac:dyDescent="0.25">
      <c r="A48" s="124"/>
      <c r="B48" s="52"/>
      <c r="C48" s="8"/>
      <c r="D48" s="8"/>
      <c r="E48" s="136"/>
    </row>
    <row r="49" spans="1:5" x14ac:dyDescent="0.25">
      <c r="A49" s="124"/>
      <c r="B49" s="52"/>
      <c r="C49" s="8"/>
      <c r="D49" s="8"/>
      <c r="E49" s="136"/>
    </row>
    <row r="50" spans="1:5" x14ac:dyDescent="0.25">
      <c r="A50" s="124"/>
      <c r="B50" s="52"/>
      <c r="C50" s="8"/>
      <c r="D50" s="8"/>
      <c r="E50" s="136"/>
    </row>
    <row r="51" spans="1:5" x14ac:dyDescent="0.25">
      <c r="A51" s="124"/>
      <c r="B51" s="52"/>
      <c r="C51" s="8"/>
      <c r="D51" s="8"/>
      <c r="E51" s="136"/>
    </row>
    <row r="52" spans="1:5" x14ac:dyDescent="0.25">
      <c r="A52" s="124"/>
      <c r="B52" s="52"/>
      <c r="C52" s="8"/>
      <c r="D52" s="8"/>
      <c r="E52" s="136"/>
    </row>
    <row r="53" spans="1:5" x14ac:dyDescent="0.25">
      <c r="A53" s="124"/>
      <c r="B53" s="52"/>
      <c r="C53" s="8"/>
      <c r="D53" s="8"/>
      <c r="E53" s="136"/>
    </row>
    <row r="54" spans="1:5" x14ac:dyDescent="0.25">
      <c r="A54" s="124"/>
      <c r="B54" s="52"/>
      <c r="C54" s="8"/>
      <c r="D54" s="8"/>
      <c r="E54" s="136"/>
    </row>
    <row r="55" spans="1:5" x14ac:dyDescent="0.25">
      <c r="A55" s="124"/>
      <c r="B55" s="52"/>
      <c r="C55" s="8"/>
      <c r="D55" s="8"/>
      <c r="E55" s="136"/>
    </row>
    <row r="56" spans="1:5" x14ac:dyDescent="0.25">
      <c r="A56" s="124"/>
      <c r="B56" s="52"/>
      <c r="C56" s="8"/>
      <c r="D56" s="8"/>
      <c r="E56" s="136"/>
    </row>
    <row r="57" spans="1:5" x14ac:dyDescent="0.25">
      <c r="A57" s="124"/>
      <c r="B57" s="34"/>
      <c r="C57" s="8"/>
      <c r="D57" s="8"/>
      <c r="E57" s="136"/>
    </row>
    <row r="58" spans="1:5" x14ac:dyDescent="0.25">
      <c r="A58" s="124"/>
      <c r="B58" s="34"/>
      <c r="C58" s="8"/>
      <c r="D58" s="8"/>
      <c r="E58" s="136"/>
    </row>
    <row r="59" spans="1:5" x14ac:dyDescent="0.25">
      <c r="A59" s="124"/>
      <c r="B59" s="34"/>
      <c r="C59" s="8"/>
      <c r="D59" s="8"/>
      <c r="E59" s="136"/>
    </row>
    <row r="60" spans="1:5" x14ac:dyDescent="0.25">
      <c r="A60" s="124"/>
      <c r="B60" s="34"/>
      <c r="C60" s="8"/>
      <c r="D60" s="8"/>
      <c r="E60" s="136"/>
    </row>
    <row r="61" spans="1:5" x14ac:dyDescent="0.25">
      <c r="A61" s="124"/>
      <c r="B61" s="34"/>
      <c r="C61" s="8"/>
      <c r="D61" s="8"/>
      <c r="E61" s="136"/>
    </row>
    <row r="62" spans="1:5" x14ac:dyDescent="0.25">
      <c r="A62" s="124"/>
      <c r="B62" s="34"/>
      <c r="C62" s="8"/>
      <c r="D62" s="8"/>
      <c r="E62" s="136"/>
    </row>
    <row r="63" spans="1:5" x14ac:dyDescent="0.25">
      <c r="A63" s="124"/>
      <c r="B63" s="34"/>
      <c r="C63" s="8"/>
      <c r="D63" s="8"/>
      <c r="E63" s="136"/>
    </row>
    <row r="64" spans="1:5" x14ac:dyDescent="0.25">
      <c r="A64" s="124"/>
      <c r="B64" s="52"/>
      <c r="C64" s="8"/>
      <c r="D64" s="8"/>
      <c r="E64" s="136"/>
    </row>
    <row r="65" spans="1:5" x14ac:dyDescent="0.25">
      <c r="A65" s="124"/>
      <c r="B65" s="34"/>
      <c r="C65" s="8"/>
      <c r="D65" s="8"/>
      <c r="E65" s="136"/>
    </row>
    <row r="66" spans="1:5" x14ac:dyDescent="0.25">
      <c r="A66" s="124"/>
      <c r="B66" s="34"/>
      <c r="C66" s="8"/>
      <c r="D66" s="8"/>
      <c r="E66" s="136"/>
    </row>
    <row r="67" spans="1:5" x14ac:dyDescent="0.25">
      <c r="A67" s="124"/>
      <c r="B67" s="34"/>
      <c r="C67" s="8"/>
      <c r="D67" s="8"/>
      <c r="E67" s="136"/>
    </row>
    <row r="68" spans="1:5" x14ac:dyDescent="0.25">
      <c r="A68" s="124"/>
      <c r="B68" s="34"/>
      <c r="C68" s="8"/>
      <c r="D68" s="8"/>
      <c r="E68" s="136"/>
    </row>
    <row r="69" spans="1:5" x14ac:dyDescent="0.25">
      <c r="A69" s="124"/>
      <c r="B69" s="34"/>
      <c r="C69" s="8"/>
      <c r="D69" s="8"/>
      <c r="E69" s="136"/>
    </row>
    <row r="70" spans="1:5" x14ac:dyDescent="0.25">
      <c r="A70" s="124"/>
      <c r="B70" s="34"/>
      <c r="C70" s="8"/>
      <c r="D70" s="8"/>
      <c r="E70" s="136"/>
    </row>
    <row r="71" spans="1:5" x14ac:dyDescent="0.25">
      <c r="A71" s="124"/>
      <c r="B71" s="34"/>
      <c r="C71" s="8"/>
      <c r="D71" s="8"/>
      <c r="E71" s="136"/>
    </row>
    <row r="72" spans="1:5" x14ac:dyDescent="0.25">
      <c r="A72" s="124"/>
      <c r="B72" s="52"/>
      <c r="C72" s="8"/>
      <c r="D72" s="8"/>
      <c r="E72" s="136"/>
    </row>
    <row r="73" spans="1:5" x14ac:dyDescent="0.25">
      <c r="A73" s="124"/>
      <c r="B73" s="34"/>
      <c r="C73" s="8"/>
      <c r="D73" s="8"/>
      <c r="E73" s="136"/>
    </row>
    <row r="74" spans="1:5" x14ac:dyDescent="0.25">
      <c r="A74" s="124"/>
      <c r="B74" s="34"/>
      <c r="C74" s="8"/>
      <c r="D74" s="8"/>
      <c r="E74" s="136"/>
    </row>
    <row r="75" spans="1:5" x14ac:dyDescent="0.25">
      <c r="A75" s="124"/>
      <c r="B75" s="52"/>
      <c r="C75" s="34"/>
      <c r="D75" s="8"/>
      <c r="E75" s="136"/>
    </row>
    <row r="76" spans="1:5" x14ac:dyDescent="0.25">
      <c r="A76" s="124"/>
      <c r="B76" s="52"/>
      <c r="C76" s="34"/>
      <c r="D76" s="8"/>
      <c r="E76" s="136"/>
    </row>
    <row r="77" spans="1:5" x14ac:dyDescent="0.25">
      <c r="A77" s="124"/>
      <c r="B77" s="52"/>
      <c r="C77" s="14"/>
      <c r="D77" s="8"/>
      <c r="E77" s="136"/>
    </row>
    <row r="78" spans="1:5" x14ac:dyDescent="0.25">
      <c r="A78" s="124"/>
      <c r="B78" s="52"/>
      <c r="C78" s="14"/>
      <c r="D78" s="8"/>
      <c r="E78" s="136"/>
    </row>
    <row r="79" spans="1:5" x14ac:dyDescent="0.25">
      <c r="A79" s="124"/>
      <c r="B79" s="52"/>
      <c r="C79" s="14"/>
      <c r="D79" s="8"/>
      <c r="E79" s="136"/>
    </row>
    <row r="80" spans="1:5" x14ac:dyDescent="0.25">
      <c r="A80" s="124"/>
      <c r="B80" s="52"/>
      <c r="C80" s="34"/>
      <c r="D80" s="8"/>
      <c r="E80" s="136"/>
    </row>
    <row r="81" spans="1:5" x14ac:dyDescent="0.25">
      <c r="A81" s="124"/>
      <c r="B81" s="52"/>
      <c r="C81" s="14"/>
      <c r="D81" s="8"/>
      <c r="E81" s="136"/>
    </row>
    <row r="82" spans="1:5" x14ac:dyDescent="0.25">
      <c r="A82" s="124"/>
      <c r="B82" s="52"/>
      <c r="C82" s="14"/>
      <c r="D82" s="8"/>
      <c r="E82" s="136"/>
    </row>
    <row r="83" spans="1:5" x14ac:dyDescent="0.25">
      <c r="A83" s="34"/>
      <c r="B83" s="137"/>
      <c r="C83" s="137"/>
      <c r="D83" s="139"/>
      <c r="E83" s="171"/>
    </row>
    <row r="84" spans="1:5" x14ac:dyDescent="0.25">
      <c r="A84" s="34"/>
      <c r="B84" s="34"/>
      <c r="C84" s="34"/>
      <c r="D84" s="8"/>
      <c r="E84" s="26"/>
    </row>
    <row r="85" spans="1:5" x14ac:dyDescent="0.25">
      <c r="A85" s="34"/>
      <c r="B85" s="34"/>
      <c r="C85" s="34"/>
      <c r="D85" s="8"/>
      <c r="E85" s="26"/>
    </row>
    <row r="86" spans="1:5" x14ac:dyDescent="0.25">
      <c r="A86" s="34"/>
      <c r="B86" s="34"/>
      <c r="C86" s="34"/>
      <c r="D86" s="8"/>
      <c r="E86" s="26"/>
    </row>
    <row r="87" spans="1:5" x14ac:dyDescent="0.25">
      <c r="A87" s="34"/>
      <c r="B87" s="34"/>
      <c r="C87" s="34"/>
      <c r="D87" s="8"/>
      <c r="E87" s="26"/>
    </row>
    <row r="88" spans="1:5" x14ac:dyDescent="0.25">
      <c r="A88" s="34"/>
      <c r="B88" s="34"/>
      <c r="C88" s="34"/>
      <c r="D88" s="8"/>
      <c r="E88" s="26"/>
    </row>
    <row r="89" spans="1:5" x14ac:dyDescent="0.25">
      <c r="A89" s="34"/>
      <c r="B89" s="34"/>
      <c r="C89" s="34"/>
      <c r="D89" s="8"/>
      <c r="E89" s="26"/>
    </row>
    <row r="90" spans="1:5" x14ac:dyDescent="0.25">
      <c r="A90" s="34"/>
      <c r="B90" s="34"/>
      <c r="C90" s="34"/>
      <c r="D90" s="8"/>
      <c r="E90" s="26"/>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tint="-0.499984740745262"/>
  </sheetPr>
  <dimension ref="A1:R296"/>
  <sheetViews>
    <sheetView showGridLines="0" topLeftCell="A251" zoomScale="90" zoomScaleNormal="90" zoomScaleSheetLayoutView="100" workbookViewId="0">
      <selection activeCell="D291" sqref="D291"/>
    </sheetView>
  </sheetViews>
  <sheetFormatPr defaultColWidth="8.85546875" defaultRowHeight="15" x14ac:dyDescent="0.25"/>
  <cols>
    <col min="1" max="1" width="12" style="6" customWidth="1"/>
    <col min="2" max="2" width="29.7109375" style="10" customWidth="1"/>
    <col min="3" max="3" width="17.5703125" style="10" customWidth="1"/>
    <col min="4" max="4" width="13" style="10" customWidth="1"/>
    <col min="5" max="5" width="1" style="10" customWidth="1"/>
    <col min="6" max="6" width="13.140625" style="10" customWidth="1"/>
    <col min="7" max="7" width="14.5703125" style="10" customWidth="1"/>
    <col min="8" max="8" width="11.28515625" style="10" customWidth="1"/>
    <col min="9" max="9" width="43.42578125" style="10" customWidth="1"/>
    <col min="10" max="10" width="19.140625" style="10" customWidth="1"/>
    <col min="11" max="11" width="8.85546875" style="6"/>
    <col min="12" max="12" width="12.42578125" style="6" bestFit="1" customWidth="1"/>
    <col min="13" max="13" width="10.5703125" style="6" bestFit="1" customWidth="1"/>
    <col min="14" max="17" width="8.85546875" style="6"/>
    <col min="18" max="18" width="13.7109375" style="6" bestFit="1" customWidth="1"/>
    <col min="19" max="16384" width="8.85546875" style="6"/>
  </cols>
  <sheetData>
    <row r="1" spans="1:10" ht="28.5" x14ac:dyDescent="0.45">
      <c r="A1" s="525" t="s">
        <v>7548</v>
      </c>
      <c r="B1" s="525"/>
      <c r="C1" s="525"/>
      <c r="D1" s="525"/>
      <c r="E1" s="525"/>
      <c r="F1" s="525"/>
      <c r="G1" s="525"/>
      <c r="H1" s="525"/>
      <c r="I1" s="525"/>
      <c r="J1" s="525"/>
    </row>
    <row r="2" spans="1:10" ht="28.5" x14ac:dyDescent="0.45">
      <c r="A2" s="525" t="s">
        <v>7578</v>
      </c>
      <c r="B2" s="525"/>
      <c r="C2" s="525"/>
      <c r="D2" s="525"/>
      <c r="E2" s="525"/>
      <c r="F2" s="525"/>
      <c r="G2" s="525"/>
      <c r="H2" s="525"/>
      <c r="I2" s="525"/>
      <c r="J2" s="525"/>
    </row>
    <row r="3" spans="1:10" ht="32.25" thickBot="1" x14ac:dyDescent="0.55000000000000004">
      <c r="A3" s="528" t="s">
        <v>865</v>
      </c>
      <c r="B3" s="528"/>
      <c r="C3" s="526"/>
      <c r="D3" s="526"/>
      <c r="E3" s="526"/>
      <c r="F3" s="526"/>
      <c r="G3" s="526"/>
      <c r="H3" s="526"/>
      <c r="I3" s="526"/>
      <c r="J3" s="526"/>
    </row>
    <row r="4" spans="1:10" ht="21" customHeight="1" x14ac:dyDescent="0.25">
      <c r="A4" s="527" t="s">
        <v>7643</v>
      </c>
      <c r="B4" s="527"/>
      <c r="C4" s="333" t="s">
        <v>7644</v>
      </c>
      <c r="D4" s="297"/>
      <c r="E4" s="12"/>
      <c r="F4" s="12"/>
      <c r="G4" s="12"/>
      <c r="H4" s="12"/>
      <c r="I4" s="334" t="s">
        <v>7637</v>
      </c>
      <c r="J4" s="335">
        <f ca="1">TODAY()</f>
        <v>44393</v>
      </c>
    </row>
    <row r="5" spans="1:10" ht="21" x14ac:dyDescent="0.3">
      <c r="A5" s="518" t="s">
        <v>4333</v>
      </c>
      <c r="B5" s="519"/>
      <c r="C5" s="331">
        <v>6872139</v>
      </c>
      <c r="D5" s="298"/>
      <c r="E5" s="12"/>
      <c r="F5" s="12"/>
      <c r="G5" s="12"/>
      <c r="H5" s="12"/>
      <c r="I5" s="329" t="s">
        <v>4333</v>
      </c>
      <c r="J5" s="337">
        <f>C5+D33-J33</f>
        <v>8928939</v>
      </c>
    </row>
    <row r="6" spans="1:10" ht="21" x14ac:dyDescent="0.25">
      <c r="A6" s="518" t="s">
        <v>864</v>
      </c>
      <c r="B6" s="519"/>
      <c r="C6" s="331">
        <v>3551000</v>
      </c>
      <c r="D6" s="298"/>
      <c r="E6" s="12"/>
      <c r="F6" s="12"/>
      <c r="G6" s="12"/>
      <c r="H6" s="12"/>
      <c r="I6" s="329" t="s">
        <v>864</v>
      </c>
      <c r="J6" s="328">
        <f>C6+D34-J34</f>
        <v>3410015</v>
      </c>
    </row>
    <row r="7" spans="1:10" ht="21" x14ac:dyDescent="0.25">
      <c r="A7" s="520" t="s">
        <v>7550</v>
      </c>
      <c r="B7" s="521"/>
      <c r="C7" s="331">
        <f>'[1]IPC 47'!$F$100</f>
        <v>1013474</v>
      </c>
      <c r="D7" s="298"/>
      <c r="E7" s="12"/>
      <c r="F7" s="12"/>
      <c r="G7" s="12"/>
      <c r="H7" s="12"/>
      <c r="I7" s="329" t="s">
        <v>7550</v>
      </c>
      <c r="J7" s="328">
        <f>C7</f>
        <v>1013474</v>
      </c>
    </row>
    <row r="8" spans="1:10" ht="21" customHeight="1" x14ac:dyDescent="0.25">
      <c r="A8" s="520" t="s">
        <v>7551</v>
      </c>
      <c r="B8" s="521"/>
      <c r="C8" s="331">
        <f>Nadeem!E997</f>
        <v>337764</v>
      </c>
      <c r="D8" s="298"/>
      <c r="E8" s="12"/>
      <c r="F8" s="12"/>
      <c r="G8" s="12"/>
      <c r="H8" s="12"/>
      <c r="I8" s="329" t="s">
        <v>7551</v>
      </c>
      <c r="J8" s="296">
        <f>C8</f>
        <v>337764</v>
      </c>
    </row>
    <row r="9" spans="1:10" ht="21" x14ac:dyDescent="0.25">
      <c r="A9" s="522" t="s">
        <v>7552</v>
      </c>
      <c r="B9" s="523"/>
      <c r="C9" s="332">
        <f>SUM(C5:C8)</f>
        <v>11774377</v>
      </c>
      <c r="D9" s="299"/>
      <c r="E9" s="12"/>
      <c r="F9" s="12"/>
      <c r="G9" s="12"/>
      <c r="H9" s="12"/>
      <c r="I9" s="336" t="s">
        <v>7552</v>
      </c>
      <c r="J9" s="332">
        <f>SUM(J5:J8)</f>
        <v>13690192</v>
      </c>
    </row>
    <row r="10" spans="1:10" ht="8.25" customHeight="1" thickBot="1" x14ac:dyDescent="0.3">
      <c r="A10" s="4"/>
      <c r="B10" s="12"/>
      <c r="C10" s="12"/>
      <c r="D10" s="12"/>
      <c r="E10" s="12"/>
      <c r="F10" s="12"/>
      <c r="G10" s="12"/>
      <c r="H10" s="12"/>
      <c r="I10" s="12"/>
      <c r="J10" s="12"/>
    </row>
    <row r="11" spans="1:10" ht="26.25" x14ac:dyDescent="0.4">
      <c r="A11" s="524" t="s">
        <v>5366</v>
      </c>
      <c r="B11" s="510"/>
      <c r="C11" s="510"/>
      <c r="D11" s="510"/>
      <c r="E11" s="315"/>
      <c r="F11" s="510" t="s">
        <v>7549</v>
      </c>
      <c r="G11" s="510"/>
      <c r="H11" s="510"/>
      <c r="I11" s="510"/>
      <c r="J11" s="511"/>
    </row>
    <row r="12" spans="1:10" s="35" customFormat="1" ht="19.5" thickBot="1" x14ac:dyDescent="0.35">
      <c r="A12" s="300" t="s">
        <v>1</v>
      </c>
      <c r="B12" s="301" t="s">
        <v>3</v>
      </c>
      <c r="C12" s="301" t="s">
        <v>39</v>
      </c>
      <c r="D12" s="302" t="s">
        <v>7553</v>
      </c>
      <c r="E12" s="316"/>
      <c r="F12" s="301" t="s">
        <v>1</v>
      </c>
      <c r="G12" s="301" t="s">
        <v>7554</v>
      </c>
      <c r="H12" s="301" t="s">
        <v>39</v>
      </c>
      <c r="I12" s="301" t="s">
        <v>3</v>
      </c>
      <c r="J12" s="303" t="s">
        <v>7549</v>
      </c>
    </row>
    <row r="13" spans="1:10" s="311" customFormat="1" ht="15.75" x14ac:dyDescent="0.25">
      <c r="A13" s="304">
        <v>44242</v>
      </c>
      <c r="B13" s="305" t="s">
        <v>7573</v>
      </c>
      <c r="C13" s="306" t="s">
        <v>4333</v>
      </c>
      <c r="D13" s="305">
        <v>1800000</v>
      </c>
      <c r="E13" s="317"/>
      <c r="F13" s="304">
        <v>44238</v>
      </c>
      <c r="G13" s="307" t="s">
        <v>7555</v>
      </c>
      <c r="H13" s="308" t="s">
        <v>4333</v>
      </c>
      <c r="I13" s="309" t="s">
        <v>7565</v>
      </c>
      <c r="J13" s="310">
        <v>100000</v>
      </c>
    </row>
    <row r="14" spans="1:10" s="311" customFormat="1" ht="15.75" x14ac:dyDescent="0.25">
      <c r="A14" s="304">
        <v>44242</v>
      </c>
      <c r="B14" s="305" t="s">
        <v>7573</v>
      </c>
      <c r="C14" s="306" t="s">
        <v>4333</v>
      </c>
      <c r="D14" s="296">
        <v>790000</v>
      </c>
      <c r="E14" s="318"/>
      <c r="F14" s="304">
        <v>44239</v>
      </c>
      <c r="G14" s="307" t="s">
        <v>7556</v>
      </c>
      <c r="H14" s="308" t="s">
        <v>4333</v>
      </c>
      <c r="I14" s="309" t="s">
        <v>7566</v>
      </c>
      <c r="J14" s="296">
        <v>250000</v>
      </c>
    </row>
    <row r="15" spans="1:10" s="311" customFormat="1" ht="15.75" x14ac:dyDescent="0.25">
      <c r="A15" s="304">
        <v>44237</v>
      </c>
      <c r="B15" s="296" t="s">
        <v>7575</v>
      </c>
      <c r="C15" s="312" t="s">
        <v>864</v>
      </c>
      <c r="D15" s="296">
        <v>107010</v>
      </c>
      <c r="E15" s="318"/>
      <c r="F15" s="304">
        <v>44239</v>
      </c>
      <c r="G15" s="307" t="s">
        <v>7557</v>
      </c>
      <c r="H15" s="308" t="s">
        <v>4333</v>
      </c>
      <c r="I15" s="309" t="s">
        <v>7566</v>
      </c>
      <c r="J15" s="296">
        <v>250000</v>
      </c>
    </row>
    <row r="16" spans="1:10" s="311" customFormat="1" ht="15.75" x14ac:dyDescent="0.25">
      <c r="A16" s="304">
        <v>44237</v>
      </c>
      <c r="B16" s="296" t="s">
        <v>7576</v>
      </c>
      <c r="C16" s="312" t="s">
        <v>864</v>
      </c>
      <c r="D16" s="296">
        <v>53505</v>
      </c>
      <c r="E16" s="318"/>
      <c r="F16" s="304">
        <v>44239</v>
      </c>
      <c r="G16" s="307" t="s">
        <v>7558</v>
      </c>
      <c r="H16" s="308" t="s">
        <v>4333</v>
      </c>
      <c r="I16" s="309" t="s">
        <v>7567</v>
      </c>
      <c r="J16" s="296">
        <v>28000</v>
      </c>
    </row>
    <row r="17" spans="1:10" s="311" customFormat="1" ht="15.75" x14ac:dyDescent="0.25">
      <c r="A17" s="304">
        <v>44250</v>
      </c>
      <c r="B17" s="310" t="s">
        <v>7574</v>
      </c>
      <c r="C17" s="330" t="s">
        <v>4333</v>
      </c>
      <c r="D17" s="313">
        <v>906500</v>
      </c>
      <c r="E17" s="319"/>
      <c r="F17" s="304">
        <v>44239</v>
      </c>
      <c r="G17" s="307" t="s">
        <v>7559</v>
      </c>
      <c r="H17" s="308" t="s">
        <v>4333</v>
      </c>
      <c r="I17" s="309" t="s">
        <v>7565</v>
      </c>
      <c r="J17" s="296">
        <v>50000</v>
      </c>
    </row>
    <row r="18" spans="1:10" s="311" customFormat="1" ht="15.75" x14ac:dyDescent="0.25">
      <c r="A18" s="1"/>
      <c r="B18" s="313"/>
      <c r="C18" s="313"/>
      <c r="D18" s="313"/>
      <c r="E18" s="319"/>
      <c r="F18" s="304">
        <v>44239</v>
      </c>
      <c r="G18" s="307" t="s">
        <v>7560</v>
      </c>
      <c r="H18" s="308" t="s">
        <v>4333</v>
      </c>
      <c r="I18" s="309" t="s">
        <v>7568</v>
      </c>
      <c r="J18" s="296">
        <v>100000</v>
      </c>
    </row>
    <row r="19" spans="1:10" s="311" customFormat="1" ht="15.75" x14ac:dyDescent="0.25">
      <c r="A19" s="1"/>
      <c r="B19" s="313"/>
      <c r="C19" s="313"/>
      <c r="D19" s="313"/>
      <c r="E19" s="319"/>
      <c r="F19" s="304">
        <v>44239</v>
      </c>
      <c r="G19" s="307" t="s">
        <v>7561</v>
      </c>
      <c r="H19" s="308" t="s">
        <v>4333</v>
      </c>
      <c r="I19" s="309" t="s">
        <v>7569</v>
      </c>
      <c r="J19" s="296">
        <v>50000</v>
      </c>
    </row>
    <row r="20" spans="1:10" s="311" customFormat="1" ht="15.75" x14ac:dyDescent="0.25">
      <c r="A20" s="1"/>
      <c r="B20" s="313"/>
      <c r="C20" s="313"/>
      <c r="D20" s="313"/>
      <c r="E20" s="319"/>
      <c r="F20" s="304">
        <v>44242</v>
      </c>
      <c r="G20" s="307" t="s">
        <v>7562</v>
      </c>
      <c r="H20" s="308" t="s">
        <v>4333</v>
      </c>
      <c r="I20" s="309" t="s">
        <v>7570</v>
      </c>
      <c r="J20" s="296">
        <v>44000</v>
      </c>
    </row>
    <row r="21" spans="1:10" s="311" customFormat="1" ht="15.75" x14ac:dyDescent="0.25">
      <c r="A21" s="1"/>
      <c r="B21" s="313"/>
      <c r="C21" s="313"/>
      <c r="D21" s="313"/>
      <c r="E21" s="319"/>
      <c r="F21" s="304">
        <v>44242</v>
      </c>
      <c r="G21" s="307" t="s">
        <v>7563</v>
      </c>
      <c r="H21" s="308" t="s">
        <v>4333</v>
      </c>
      <c r="I21" s="309" t="s">
        <v>7571</v>
      </c>
      <c r="J21" s="296">
        <v>80000</v>
      </c>
    </row>
    <row r="22" spans="1:10" s="311" customFormat="1" ht="15.75" x14ac:dyDescent="0.25">
      <c r="A22" s="1"/>
      <c r="B22" s="313"/>
      <c r="C22" s="313"/>
      <c r="D22" s="313"/>
      <c r="E22" s="319"/>
      <c r="F22" s="304">
        <v>44238</v>
      </c>
      <c r="G22" s="307" t="s">
        <v>7564</v>
      </c>
      <c r="H22" s="308" t="s">
        <v>864</v>
      </c>
      <c r="I22" s="309" t="s">
        <v>7572</v>
      </c>
      <c r="J22" s="296">
        <v>31500</v>
      </c>
    </row>
    <row r="23" spans="1:10" s="311" customFormat="1" ht="15.75" x14ac:dyDescent="0.25">
      <c r="A23" s="1"/>
      <c r="B23" s="313"/>
      <c r="C23" s="313"/>
      <c r="D23" s="313"/>
      <c r="E23" s="319"/>
      <c r="F23" s="304">
        <v>44244</v>
      </c>
      <c r="G23" s="307" t="s">
        <v>7582</v>
      </c>
      <c r="H23" s="308" t="s">
        <v>864</v>
      </c>
      <c r="I23" s="309" t="s">
        <v>7565</v>
      </c>
      <c r="J23" s="296">
        <v>50000</v>
      </c>
    </row>
    <row r="24" spans="1:10" s="311" customFormat="1" ht="15.75" x14ac:dyDescent="0.25">
      <c r="A24" s="1"/>
      <c r="B24" s="313"/>
      <c r="C24" s="313"/>
      <c r="D24" s="313"/>
      <c r="E24" s="319"/>
      <c r="F24" s="304">
        <v>44244</v>
      </c>
      <c r="G24" s="307" t="s">
        <v>7583</v>
      </c>
      <c r="H24" s="314" t="s">
        <v>4333</v>
      </c>
      <c r="I24" s="309" t="s">
        <v>7586</v>
      </c>
      <c r="J24" s="296">
        <v>150000</v>
      </c>
    </row>
    <row r="25" spans="1:10" s="311" customFormat="1" ht="15.75" x14ac:dyDescent="0.25">
      <c r="A25" s="1"/>
      <c r="B25" s="313"/>
      <c r="C25" s="313"/>
      <c r="D25" s="313"/>
      <c r="E25" s="319"/>
      <c r="F25" s="304">
        <v>44244</v>
      </c>
      <c r="G25" s="307" t="s">
        <v>7584</v>
      </c>
      <c r="H25" s="314" t="s">
        <v>4333</v>
      </c>
      <c r="I25" s="309" t="s">
        <v>7587</v>
      </c>
      <c r="J25" s="296">
        <v>38000</v>
      </c>
    </row>
    <row r="26" spans="1:10" s="311" customFormat="1" ht="15.75" x14ac:dyDescent="0.25">
      <c r="A26" s="1"/>
      <c r="B26" s="313"/>
      <c r="C26" s="313"/>
      <c r="D26" s="313"/>
      <c r="E26" s="319"/>
      <c r="F26" s="304">
        <v>44244</v>
      </c>
      <c r="G26" s="307" t="s">
        <v>7585</v>
      </c>
      <c r="H26" s="314" t="s">
        <v>4333</v>
      </c>
      <c r="I26" s="309" t="s">
        <v>7588</v>
      </c>
      <c r="J26" s="296">
        <v>257000</v>
      </c>
    </row>
    <row r="27" spans="1:10" s="311" customFormat="1" ht="15.75" x14ac:dyDescent="0.25">
      <c r="A27" s="1"/>
      <c r="B27" s="313"/>
      <c r="C27" s="313"/>
      <c r="D27" s="313"/>
      <c r="E27" s="319"/>
      <c r="F27" s="304">
        <v>44246</v>
      </c>
      <c r="G27" s="307" t="s">
        <v>7605</v>
      </c>
      <c r="H27" s="314" t="s">
        <v>4333</v>
      </c>
      <c r="I27" s="309" t="s">
        <v>7606</v>
      </c>
      <c r="J27" s="296">
        <v>42700</v>
      </c>
    </row>
    <row r="28" spans="1:10" s="311" customFormat="1" ht="15.75" x14ac:dyDescent="0.25">
      <c r="A28" s="1"/>
      <c r="B28" s="313"/>
      <c r="C28" s="313"/>
      <c r="D28" s="313"/>
      <c r="E28" s="319"/>
      <c r="F28" s="304">
        <v>44249</v>
      </c>
      <c r="G28" s="1">
        <v>1765307196</v>
      </c>
      <c r="H28" s="314" t="s">
        <v>864</v>
      </c>
      <c r="I28" s="309" t="s">
        <v>7565</v>
      </c>
      <c r="J28" s="296">
        <v>200000</v>
      </c>
    </row>
    <row r="29" spans="1:10" s="311" customFormat="1" ht="15.75" x14ac:dyDescent="0.25">
      <c r="A29" s="1"/>
      <c r="B29" s="313"/>
      <c r="C29" s="313"/>
      <c r="D29" s="313"/>
      <c r="E29" s="319"/>
      <c r="F29" s="304">
        <v>44252</v>
      </c>
      <c r="G29" s="1">
        <v>1765307197</v>
      </c>
      <c r="H29" s="314" t="s">
        <v>864</v>
      </c>
      <c r="I29" s="313" t="s">
        <v>7675</v>
      </c>
      <c r="J29" s="296">
        <v>20000</v>
      </c>
    </row>
    <row r="30" spans="1:10" s="311" customFormat="1" ht="18.75" x14ac:dyDescent="0.3">
      <c r="A30" s="512" t="s">
        <v>7577</v>
      </c>
      <c r="B30" s="513"/>
      <c r="C30" s="514"/>
      <c r="D30" s="322">
        <f>SUM(D13:D29)</f>
        <v>3657015</v>
      </c>
      <c r="E30" s="320"/>
      <c r="F30" s="515" t="s">
        <v>7577</v>
      </c>
      <c r="G30" s="516"/>
      <c r="H30" s="516"/>
      <c r="I30" s="517"/>
      <c r="J30" s="321">
        <f>SUM(J13:J29)</f>
        <v>1741200</v>
      </c>
    </row>
    <row r="31" spans="1:10" x14ac:dyDescent="0.25">
      <c r="J31" s="154"/>
    </row>
    <row r="32" spans="1:10" x14ac:dyDescent="0.25">
      <c r="J32" s="154"/>
    </row>
    <row r="33" spans="1:10" x14ac:dyDescent="0.25">
      <c r="C33" s="8" t="s">
        <v>4333</v>
      </c>
      <c r="D33" s="8">
        <f>SUMIF(C13:C29,C33,D13:D29)</f>
        <v>3496500</v>
      </c>
      <c r="I33" s="8" t="s">
        <v>4333</v>
      </c>
      <c r="J33" s="91">
        <f>SUMIF(H13:H29,I33,J13:J29)</f>
        <v>1439700</v>
      </c>
    </row>
    <row r="34" spans="1:10" x14ac:dyDescent="0.25">
      <c r="C34" s="8" t="s">
        <v>864</v>
      </c>
      <c r="D34" s="8">
        <f>SUMIF(C14:C30,C34,D14:D30)</f>
        <v>160515</v>
      </c>
      <c r="I34" s="8" t="s">
        <v>864</v>
      </c>
      <c r="J34" s="91">
        <f>SUMIF(H14:H30,I34,J14:J30)</f>
        <v>301500</v>
      </c>
    </row>
    <row r="35" spans="1:10" x14ac:dyDescent="0.25">
      <c r="C35" s="8" t="s">
        <v>7577</v>
      </c>
      <c r="D35" s="8">
        <f>SUM(D33:D34)</f>
        <v>3657015</v>
      </c>
      <c r="I35" s="8" t="s">
        <v>7579</v>
      </c>
      <c r="J35" s="8">
        <f>SUM(J33:J34)</f>
        <v>1741200</v>
      </c>
    </row>
    <row r="37" spans="1:10" ht="28.5" x14ac:dyDescent="0.45">
      <c r="A37" s="525" t="s">
        <v>7548</v>
      </c>
      <c r="B37" s="525"/>
      <c r="C37" s="525"/>
      <c r="D37" s="525"/>
      <c r="E37" s="525"/>
      <c r="F37" s="525"/>
      <c r="G37" s="525"/>
      <c r="H37" s="525"/>
      <c r="I37" s="525"/>
      <c r="J37" s="525"/>
    </row>
    <row r="38" spans="1:10" ht="28.5" x14ac:dyDescent="0.45">
      <c r="A38" s="525" t="s">
        <v>7687</v>
      </c>
      <c r="B38" s="525"/>
      <c r="C38" s="525"/>
      <c r="D38" s="525"/>
      <c r="E38" s="525"/>
      <c r="F38" s="525"/>
      <c r="G38" s="525"/>
      <c r="H38" s="525"/>
      <c r="I38" s="525"/>
      <c r="J38" s="525"/>
    </row>
    <row r="39" spans="1:10" ht="32.25" thickBot="1" x14ac:dyDescent="0.55000000000000004">
      <c r="A39" s="526" t="s">
        <v>865</v>
      </c>
      <c r="B39" s="526"/>
      <c r="C39" s="526"/>
      <c r="D39" s="526"/>
      <c r="E39" s="526"/>
      <c r="F39" s="526"/>
      <c r="G39" s="526"/>
      <c r="H39" s="526"/>
      <c r="I39" s="526"/>
      <c r="J39" s="526"/>
    </row>
    <row r="40" spans="1:10" ht="21" customHeight="1" x14ac:dyDescent="0.25">
      <c r="A40" s="527" t="s">
        <v>7643</v>
      </c>
      <c r="B40" s="527"/>
      <c r="C40" s="333" t="s">
        <v>7645</v>
      </c>
      <c r="D40" s="297"/>
      <c r="E40" s="12"/>
      <c r="F40" s="12"/>
      <c r="G40" s="12"/>
      <c r="H40" s="12"/>
      <c r="I40" s="334" t="s">
        <v>7637</v>
      </c>
      <c r="J40" s="335">
        <f ca="1">TODAY()</f>
        <v>44393</v>
      </c>
    </row>
    <row r="41" spans="1:10" ht="21" x14ac:dyDescent="0.3">
      <c r="A41" s="518" t="s">
        <v>4333</v>
      </c>
      <c r="B41" s="519"/>
      <c r="C41" s="331">
        <f>J5</f>
        <v>8928939</v>
      </c>
      <c r="D41" s="298"/>
      <c r="E41" s="12"/>
      <c r="F41" s="12"/>
      <c r="G41" s="12"/>
      <c r="H41" s="12"/>
      <c r="I41" s="329" t="s">
        <v>4333</v>
      </c>
      <c r="J41" s="337">
        <f>C41+D100-J100</f>
        <v>7331036</v>
      </c>
    </row>
    <row r="42" spans="1:10" ht="21" x14ac:dyDescent="0.25">
      <c r="A42" s="518" t="s">
        <v>864</v>
      </c>
      <c r="B42" s="519"/>
      <c r="C42" s="331">
        <f>J6</f>
        <v>3410015</v>
      </c>
      <c r="D42" s="298"/>
      <c r="E42" s="12"/>
      <c r="F42" s="12"/>
      <c r="G42" s="12"/>
      <c r="H42" s="12"/>
      <c r="I42" s="329" t="s">
        <v>864</v>
      </c>
      <c r="J42" s="338">
        <f>C42+D101-J101</f>
        <v>3897527</v>
      </c>
    </row>
    <row r="43" spans="1:10" ht="21" x14ac:dyDescent="0.25">
      <c r="A43" s="520" t="s">
        <v>7550</v>
      </c>
      <c r="B43" s="521"/>
      <c r="C43" s="331">
        <f>J7</f>
        <v>1013474</v>
      </c>
      <c r="D43" s="298"/>
      <c r="E43" s="12"/>
      <c r="F43" s="12"/>
      <c r="G43" s="12"/>
      <c r="H43" s="12"/>
      <c r="I43" s="329" t="s">
        <v>7550</v>
      </c>
      <c r="J43" s="338">
        <f>C43</f>
        <v>1013474</v>
      </c>
    </row>
    <row r="44" spans="1:10" ht="21" customHeight="1" x14ac:dyDescent="0.25">
      <c r="A44" s="520" t="s">
        <v>7551</v>
      </c>
      <c r="B44" s="521"/>
      <c r="C44" s="331">
        <f>J8</f>
        <v>337764</v>
      </c>
      <c r="D44" s="298"/>
      <c r="E44" s="12"/>
      <c r="F44" s="12"/>
      <c r="G44" s="12"/>
      <c r="H44" s="12"/>
      <c r="I44" s="329" t="s">
        <v>7551</v>
      </c>
      <c r="J44" s="331">
        <f>C44</f>
        <v>337764</v>
      </c>
    </row>
    <row r="45" spans="1:10" ht="21" x14ac:dyDescent="0.25">
      <c r="A45" s="522" t="s">
        <v>7552</v>
      </c>
      <c r="B45" s="523"/>
      <c r="C45" s="339">
        <f>SUM(C41:C44)</f>
        <v>13690192</v>
      </c>
      <c r="D45" s="299"/>
      <c r="E45" s="12"/>
      <c r="F45" s="12"/>
      <c r="G45" s="12"/>
      <c r="H45" s="12"/>
      <c r="I45" s="336" t="s">
        <v>7552</v>
      </c>
      <c r="J45" s="339">
        <f>SUM(J41:J44)</f>
        <v>12579801</v>
      </c>
    </row>
    <row r="46" spans="1:10" ht="8.25" customHeight="1" thickBot="1" x14ac:dyDescent="0.3">
      <c r="A46" s="4"/>
      <c r="B46" s="12"/>
      <c r="C46" s="12"/>
      <c r="D46" s="12"/>
      <c r="E46" s="12"/>
      <c r="F46" s="12"/>
      <c r="G46" s="12"/>
      <c r="H46" s="12"/>
      <c r="I46" s="12"/>
      <c r="J46" s="12"/>
    </row>
    <row r="47" spans="1:10" ht="26.25" x14ac:dyDescent="0.4">
      <c r="A47" s="524" t="s">
        <v>5366</v>
      </c>
      <c r="B47" s="510"/>
      <c r="C47" s="510"/>
      <c r="D47" s="510"/>
      <c r="E47" s="315"/>
      <c r="F47" s="510" t="s">
        <v>7549</v>
      </c>
      <c r="G47" s="510"/>
      <c r="H47" s="510"/>
      <c r="I47" s="510"/>
      <c r="J47" s="511"/>
    </row>
    <row r="48" spans="1:10" s="35" customFormat="1" ht="19.5" thickBot="1" x14ac:dyDescent="0.35">
      <c r="A48" s="300" t="s">
        <v>1</v>
      </c>
      <c r="B48" s="301" t="s">
        <v>3</v>
      </c>
      <c r="C48" s="301" t="s">
        <v>39</v>
      </c>
      <c r="D48" s="302" t="s">
        <v>7553</v>
      </c>
      <c r="E48" s="316"/>
      <c r="F48" s="301" t="s">
        <v>1</v>
      </c>
      <c r="G48" s="301" t="s">
        <v>7554</v>
      </c>
      <c r="H48" s="301" t="s">
        <v>39</v>
      </c>
      <c r="I48" s="301" t="s">
        <v>3</v>
      </c>
      <c r="J48" s="303" t="s">
        <v>7549</v>
      </c>
    </row>
    <row r="49" spans="1:13" s="311" customFormat="1" ht="15.75" x14ac:dyDescent="0.25">
      <c r="A49" s="304">
        <v>44258</v>
      </c>
      <c r="B49" s="1" t="s">
        <v>7698</v>
      </c>
      <c r="C49" s="306" t="s">
        <v>4333</v>
      </c>
      <c r="D49" s="305">
        <v>2312500</v>
      </c>
      <c r="E49" s="317"/>
      <c r="F49" s="304">
        <v>44256</v>
      </c>
      <c r="G49" s="307" t="s">
        <v>7641</v>
      </c>
      <c r="H49" s="308" t="s">
        <v>4333</v>
      </c>
      <c r="I49" s="309" t="s">
        <v>7565</v>
      </c>
      <c r="J49" s="310">
        <v>50000</v>
      </c>
    </row>
    <row r="50" spans="1:13" s="311" customFormat="1" ht="15.75" x14ac:dyDescent="0.25">
      <c r="A50" s="304">
        <v>44267</v>
      </c>
      <c r="B50" s="1" t="s">
        <v>7784</v>
      </c>
      <c r="C50" s="306" t="s">
        <v>4333</v>
      </c>
      <c r="D50" s="296">
        <v>1184000</v>
      </c>
      <c r="E50" s="318"/>
      <c r="F50" s="304">
        <v>44256</v>
      </c>
      <c r="G50" s="307" t="s">
        <v>7642</v>
      </c>
      <c r="H50" s="308" t="s">
        <v>4333</v>
      </c>
      <c r="I50" s="309" t="s">
        <v>7565</v>
      </c>
      <c r="J50" s="296">
        <v>100000</v>
      </c>
    </row>
    <row r="51" spans="1:13" s="311" customFormat="1" ht="15.75" x14ac:dyDescent="0.25">
      <c r="A51" s="304">
        <v>44272</v>
      </c>
      <c r="B51" s="296" t="s">
        <v>7904</v>
      </c>
      <c r="C51" s="312" t="s">
        <v>864</v>
      </c>
      <c r="D51" s="296">
        <v>139113</v>
      </c>
      <c r="E51" s="318"/>
      <c r="F51" s="304">
        <v>44257</v>
      </c>
      <c r="G51" s="307" t="s">
        <v>7663</v>
      </c>
      <c r="H51" s="308" t="s">
        <v>4333</v>
      </c>
      <c r="I51" s="309" t="s">
        <v>7664</v>
      </c>
      <c r="J51" s="296">
        <v>30000</v>
      </c>
    </row>
    <row r="52" spans="1:13" s="311" customFormat="1" ht="15.75" x14ac:dyDescent="0.25">
      <c r="A52" s="304">
        <v>44282</v>
      </c>
      <c r="B52" s="296" t="s">
        <v>7905</v>
      </c>
      <c r="C52" s="312" t="s">
        <v>864</v>
      </c>
      <c r="D52" s="296">
        <v>157140</v>
      </c>
      <c r="E52" s="318"/>
      <c r="F52" s="304">
        <v>44257</v>
      </c>
      <c r="G52" s="307" t="s">
        <v>7670</v>
      </c>
      <c r="H52" s="308" t="s">
        <v>4333</v>
      </c>
      <c r="I52" s="309" t="s">
        <v>7673</v>
      </c>
      <c r="J52" s="296">
        <v>40000</v>
      </c>
    </row>
    <row r="53" spans="1:13" s="311" customFormat="1" ht="31.5" x14ac:dyDescent="0.25">
      <c r="A53" s="304">
        <v>44282</v>
      </c>
      <c r="B53" s="296" t="s">
        <v>7906</v>
      </c>
      <c r="C53" s="312" t="s">
        <v>864</v>
      </c>
      <c r="D53" s="296">
        <v>157140</v>
      </c>
      <c r="E53" s="319"/>
      <c r="F53" s="304">
        <v>44257</v>
      </c>
      <c r="G53" s="307" t="s">
        <v>7671</v>
      </c>
      <c r="H53" s="308" t="s">
        <v>4333</v>
      </c>
      <c r="I53" s="309" t="s">
        <v>7674</v>
      </c>
      <c r="J53" s="296">
        <v>500000</v>
      </c>
      <c r="M53" s="340"/>
    </row>
    <row r="54" spans="1:13" s="311" customFormat="1" ht="31.5" x14ac:dyDescent="0.25">
      <c r="A54" s="304">
        <v>44284</v>
      </c>
      <c r="B54" s="377" t="s">
        <v>7907</v>
      </c>
      <c r="C54" s="312" t="s">
        <v>864</v>
      </c>
      <c r="D54" s="296">
        <v>625014</v>
      </c>
      <c r="E54" s="319"/>
      <c r="F54" s="304">
        <v>44257</v>
      </c>
      <c r="G54" s="307" t="s">
        <v>7672</v>
      </c>
      <c r="H54" s="308" t="s">
        <v>4333</v>
      </c>
      <c r="I54" s="309" t="s">
        <v>7674</v>
      </c>
      <c r="J54" s="296">
        <v>500000</v>
      </c>
    </row>
    <row r="55" spans="1:13" s="311" customFormat="1" ht="15.75" x14ac:dyDescent="0.25">
      <c r="A55" s="304">
        <v>44284</v>
      </c>
      <c r="B55" s="296" t="s">
        <v>7908</v>
      </c>
      <c r="C55" s="312" t="s">
        <v>864</v>
      </c>
      <c r="D55" s="313">
        <v>53505</v>
      </c>
      <c r="E55" s="319"/>
      <c r="F55" s="304">
        <v>44257</v>
      </c>
      <c r="G55" s="1">
        <v>1765307198</v>
      </c>
      <c r="H55" s="308" t="s">
        <v>864</v>
      </c>
      <c r="I55" s="309" t="s">
        <v>7676</v>
      </c>
      <c r="J55" s="296">
        <v>100000</v>
      </c>
    </row>
    <row r="56" spans="1:13" s="311" customFormat="1" ht="15.75" x14ac:dyDescent="0.25">
      <c r="A56" s="1"/>
      <c r="B56" s="313"/>
      <c r="C56" s="313"/>
      <c r="D56" s="313"/>
      <c r="E56" s="319"/>
      <c r="F56" s="304">
        <v>44257</v>
      </c>
      <c r="G56" s="1">
        <v>1765307199</v>
      </c>
      <c r="H56" s="308" t="s">
        <v>864</v>
      </c>
      <c r="I56" s="309" t="s">
        <v>7676</v>
      </c>
      <c r="J56" s="296">
        <v>50000</v>
      </c>
    </row>
    <row r="57" spans="1:13" s="311" customFormat="1" ht="15.75" x14ac:dyDescent="0.25">
      <c r="A57" s="1"/>
      <c r="B57" s="313"/>
      <c r="C57" s="313"/>
      <c r="D57" s="313"/>
      <c r="E57" s="319"/>
      <c r="F57" s="304">
        <v>44258</v>
      </c>
      <c r="G57" s="307" t="s">
        <v>7689</v>
      </c>
      <c r="H57" s="308" t="s">
        <v>4333</v>
      </c>
      <c r="I57" s="368" t="s">
        <v>7690</v>
      </c>
      <c r="J57" s="296"/>
    </row>
    <row r="58" spans="1:13" s="311" customFormat="1" ht="15.75" x14ac:dyDescent="0.25">
      <c r="A58" s="1"/>
      <c r="B58" s="313"/>
      <c r="C58" s="313"/>
      <c r="D58" s="313"/>
      <c r="E58" s="319"/>
      <c r="F58" s="304">
        <v>44258</v>
      </c>
      <c r="G58" s="307" t="s">
        <v>7691</v>
      </c>
      <c r="H58" s="308" t="s">
        <v>4333</v>
      </c>
      <c r="I58" s="309" t="s">
        <v>7692</v>
      </c>
      <c r="J58" s="296">
        <v>211000</v>
      </c>
    </row>
    <row r="59" spans="1:13" s="311" customFormat="1" ht="15.75" x14ac:dyDescent="0.25">
      <c r="A59" s="1"/>
      <c r="B59" s="313"/>
      <c r="C59" s="313"/>
      <c r="D59" s="313"/>
      <c r="E59" s="319"/>
      <c r="F59" s="304">
        <v>44258</v>
      </c>
      <c r="G59" s="307" t="s">
        <v>7695</v>
      </c>
      <c r="H59" s="308" t="s">
        <v>4333</v>
      </c>
      <c r="I59" s="309" t="s">
        <v>7697</v>
      </c>
      <c r="J59" s="296">
        <v>300000</v>
      </c>
    </row>
    <row r="60" spans="1:13" s="311" customFormat="1" ht="15.75" x14ac:dyDescent="0.25">
      <c r="A60" s="1"/>
      <c r="B60" s="313"/>
      <c r="C60" s="313"/>
      <c r="D60" s="313"/>
      <c r="E60" s="319"/>
      <c r="F60" s="304">
        <v>44258</v>
      </c>
      <c r="G60" s="307" t="s">
        <v>7696</v>
      </c>
      <c r="H60" s="308" t="s">
        <v>4333</v>
      </c>
      <c r="I60" s="309" t="s">
        <v>7697</v>
      </c>
      <c r="J60" s="296">
        <v>200000</v>
      </c>
    </row>
    <row r="61" spans="1:13" s="311" customFormat="1" ht="15.75" x14ac:dyDescent="0.25">
      <c r="A61" s="1"/>
      <c r="B61" s="313"/>
      <c r="C61" s="313"/>
      <c r="D61" s="313"/>
      <c r="E61" s="319"/>
      <c r="F61" s="304">
        <v>44259</v>
      </c>
      <c r="G61" s="307" t="s">
        <v>7714</v>
      </c>
      <c r="H61" s="308" t="s">
        <v>4333</v>
      </c>
      <c r="I61" s="309" t="s">
        <v>7715</v>
      </c>
      <c r="J61" s="296">
        <v>400000</v>
      </c>
    </row>
    <row r="62" spans="1:13" s="311" customFormat="1" ht="15.75" x14ac:dyDescent="0.25">
      <c r="A62" s="1"/>
      <c r="B62" s="313"/>
      <c r="C62" s="313"/>
      <c r="D62" s="313"/>
      <c r="E62" s="319"/>
      <c r="F62" s="304">
        <v>44263</v>
      </c>
      <c r="G62" s="307" t="s">
        <v>7741</v>
      </c>
      <c r="H62" s="308" t="s">
        <v>4333</v>
      </c>
      <c r="I62" s="309" t="s">
        <v>7742</v>
      </c>
      <c r="J62" s="296">
        <v>300000</v>
      </c>
    </row>
    <row r="63" spans="1:13" s="311" customFormat="1" ht="15.75" x14ac:dyDescent="0.25">
      <c r="A63" s="1"/>
      <c r="B63" s="313"/>
      <c r="C63" s="313"/>
      <c r="D63" s="313"/>
      <c r="E63" s="319"/>
      <c r="F63" s="304">
        <v>44263</v>
      </c>
      <c r="G63" s="307" t="s">
        <v>7743</v>
      </c>
      <c r="H63" s="308" t="s">
        <v>4333</v>
      </c>
      <c r="I63" s="309" t="s">
        <v>7187</v>
      </c>
      <c r="J63" s="296">
        <v>100000</v>
      </c>
    </row>
    <row r="64" spans="1:13" s="311" customFormat="1" ht="15.75" x14ac:dyDescent="0.25">
      <c r="A64" s="1"/>
      <c r="B64" s="313"/>
      <c r="C64" s="313"/>
      <c r="D64" s="313"/>
      <c r="E64" s="319"/>
      <c r="F64" s="304">
        <v>44263</v>
      </c>
      <c r="G64" s="307" t="s">
        <v>7744</v>
      </c>
      <c r="H64" s="308" t="s">
        <v>4333</v>
      </c>
      <c r="I64" s="368" t="s">
        <v>7690</v>
      </c>
      <c r="J64" s="296"/>
    </row>
    <row r="65" spans="1:10" s="311" customFormat="1" ht="31.5" x14ac:dyDescent="0.25">
      <c r="A65" s="1"/>
      <c r="B65" s="313"/>
      <c r="C65" s="313"/>
      <c r="D65" s="313"/>
      <c r="E65" s="319"/>
      <c r="F65" s="304">
        <v>44263</v>
      </c>
      <c r="G65" s="307" t="s">
        <v>7745</v>
      </c>
      <c r="H65" s="308" t="s">
        <v>4333</v>
      </c>
      <c r="I65" s="309" t="s">
        <v>7747</v>
      </c>
      <c r="J65" s="296">
        <v>255000</v>
      </c>
    </row>
    <row r="66" spans="1:10" s="311" customFormat="1" ht="31.5" x14ac:dyDescent="0.25">
      <c r="A66" s="1"/>
      <c r="B66" s="313"/>
      <c r="C66" s="313"/>
      <c r="D66" s="313"/>
      <c r="E66" s="319"/>
      <c r="F66" s="304">
        <v>44263</v>
      </c>
      <c r="G66" s="307" t="s">
        <v>7746</v>
      </c>
      <c r="H66" s="308" t="s">
        <v>4333</v>
      </c>
      <c r="I66" s="309" t="s">
        <v>7747</v>
      </c>
      <c r="J66" s="296">
        <v>255000</v>
      </c>
    </row>
    <row r="67" spans="1:10" s="311" customFormat="1" ht="15.75" x14ac:dyDescent="0.25">
      <c r="A67" s="1"/>
      <c r="B67" s="313"/>
      <c r="C67" s="313"/>
      <c r="D67" s="313"/>
      <c r="E67" s="319"/>
      <c r="F67" s="304">
        <v>44263</v>
      </c>
      <c r="G67" s="307" t="s">
        <v>7748</v>
      </c>
      <c r="H67" s="308" t="s">
        <v>4333</v>
      </c>
      <c r="I67" s="309" t="s">
        <v>7749</v>
      </c>
      <c r="J67" s="296">
        <v>98600</v>
      </c>
    </row>
    <row r="68" spans="1:10" s="311" customFormat="1" ht="15.75" x14ac:dyDescent="0.25">
      <c r="A68" s="1"/>
      <c r="B68" s="313"/>
      <c r="C68" s="313"/>
      <c r="D68" s="313"/>
      <c r="E68" s="319"/>
      <c r="F68" s="304">
        <v>44264</v>
      </c>
      <c r="G68" s="307" t="s">
        <v>7750</v>
      </c>
      <c r="H68" s="308" t="s">
        <v>4333</v>
      </c>
      <c r="I68" s="309" t="s">
        <v>7751</v>
      </c>
      <c r="J68" s="296">
        <v>140000</v>
      </c>
    </row>
    <row r="69" spans="1:10" s="311" customFormat="1" ht="15.75" x14ac:dyDescent="0.25">
      <c r="A69" s="1"/>
      <c r="B69" s="313"/>
      <c r="C69" s="313"/>
      <c r="D69" s="313"/>
      <c r="E69" s="319"/>
      <c r="F69" s="304">
        <v>44265</v>
      </c>
      <c r="G69" s="307" t="s">
        <v>7785</v>
      </c>
      <c r="H69" s="308" t="s">
        <v>4333</v>
      </c>
      <c r="I69" s="309" t="s">
        <v>5660</v>
      </c>
      <c r="J69" s="296">
        <v>35000</v>
      </c>
    </row>
    <row r="70" spans="1:10" s="311" customFormat="1" ht="15.75" x14ac:dyDescent="0.25">
      <c r="A70" s="1"/>
      <c r="B70" s="313"/>
      <c r="C70" s="313"/>
      <c r="D70" s="313"/>
      <c r="E70" s="319"/>
      <c r="F70" s="304">
        <v>44265</v>
      </c>
      <c r="G70" s="307" t="s">
        <v>7786</v>
      </c>
      <c r="H70" s="308" t="s">
        <v>4333</v>
      </c>
      <c r="I70" s="309" t="s">
        <v>7790</v>
      </c>
      <c r="J70" s="296">
        <v>141000</v>
      </c>
    </row>
    <row r="71" spans="1:10" s="311" customFormat="1" ht="15.75" x14ac:dyDescent="0.25">
      <c r="A71" s="1"/>
      <c r="B71" s="313"/>
      <c r="C71" s="313"/>
      <c r="D71" s="313"/>
      <c r="E71" s="319"/>
      <c r="F71" s="304">
        <v>44266</v>
      </c>
      <c r="G71" s="307" t="s">
        <v>7787</v>
      </c>
      <c r="H71" s="308" t="s">
        <v>4333</v>
      </c>
      <c r="I71" s="309" t="s">
        <v>5660</v>
      </c>
      <c r="J71" s="296">
        <v>50000</v>
      </c>
    </row>
    <row r="72" spans="1:10" s="311" customFormat="1" ht="15.75" x14ac:dyDescent="0.25">
      <c r="A72" s="1"/>
      <c r="B72" s="313"/>
      <c r="C72" s="313"/>
      <c r="D72" s="313"/>
      <c r="E72" s="319"/>
      <c r="F72" s="304">
        <v>44268</v>
      </c>
      <c r="G72" s="307" t="s">
        <v>7788</v>
      </c>
      <c r="H72" s="308" t="s">
        <v>4333</v>
      </c>
      <c r="I72" s="309" t="s">
        <v>7791</v>
      </c>
      <c r="J72" s="296">
        <v>25000</v>
      </c>
    </row>
    <row r="73" spans="1:10" s="311" customFormat="1" ht="31.5" x14ac:dyDescent="0.25">
      <c r="A73" s="1"/>
      <c r="B73" s="313"/>
      <c r="C73" s="313"/>
      <c r="D73" s="313"/>
      <c r="E73" s="319"/>
      <c r="F73" s="304">
        <v>44268</v>
      </c>
      <c r="G73" s="307" t="s">
        <v>7789</v>
      </c>
      <c r="H73" s="308" t="s">
        <v>4333</v>
      </c>
      <c r="I73" s="309" t="s">
        <v>7792</v>
      </c>
      <c r="J73" s="296">
        <v>11000</v>
      </c>
    </row>
    <row r="74" spans="1:10" s="311" customFormat="1" ht="15.75" x14ac:dyDescent="0.25">
      <c r="A74" s="1"/>
      <c r="B74" s="313"/>
      <c r="C74" s="313"/>
      <c r="D74" s="313"/>
      <c r="E74" s="319"/>
      <c r="F74" s="304">
        <v>44270</v>
      </c>
      <c r="G74" s="307" t="s">
        <v>7801</v>
      </c>
      <c r="H74" s="308" t="s">
        <v>4333</v>
      </c>
      <c r="I74" s="309" t="s">
        <v>7803</v>
      </c>
      <c r="J74" s="296">
        <v>70000</v>
      </c>
    </row>
    <row r="75" spans="1:10" s="311" customFormat="1" ht="15.75" x14ac:dyDescent="0.25">
      <c r="A75" s="1"/>
      <c r="B75" s="313"/>
      <c r="C75" s="313"/>
      <c r="D75" s="313"/>
      <c r="E75" s="319"/>
      <c r="F75" s="304">
        <v>44270</v>
      </c>
      <c r="G75" s="307" t="s">
        <v>7802</v>
      </c>
      <c r="H75" s="308" t="s">
        <v>4333</v>
      </c>
      <c r="I75" s="309" t="s">
        <v>7804</v>
      </c>
      <c r="J75" s="296">
        <v>50000</v>
      </c>
    </row>
    <row r="76" spans="1:10" s="311" customFormat="1" ht="15.75" x14ac:dyDescent="0.25">
      <c r="A76" s="1"/>
      <c r="B76" s="313"/>
      <c r="C76" s="313"/>
      <c r="D76" s="313"/>
      <c r="E76" s="319"/>
      <c r="F76" s="304">
        <v>44270</v>
      </c>
      <c r="G76" s="1">
        <v>1765307200</v>
      </c>
      <c r="H76" s="308" t="s">
        <v>864</v>
      </c>
      <c r="I76" s="309" t="s">
        <v>7805</v>
      </c>
      <c r="J76" s="296">
        <v>50000</v>
      </c>
    </row>
    <row r="77" spans="1:10" s="311" customFormat="1" ht="15.75" x14ac:dyDescent="0.25">
      <c r="A77" s="1"/>
      <c r="B77" s="313"/>
      <c r="C77" s="313"/>
      <c r="D77" s="313"/>
      <c r="E77" s="319"/>
      <c r="F77" s="304">
        <v>44270</v>
      </c>
      <c r="G77" s="370" t="s">
        <v>7815</v>
      </c>
      <c r="H77" s="314" t="s">
        <v>4333</v>
      </c>
      <c r="I77" s="313" t="s">
        <v>7806</v>
      </c>
      <c r="J77" s="296">
        <v>14050</v>
      </c>
    </row>
    <row r="78" spans="1:10" s="311" customFormat="1" ht="15.75" x14ac:dyDescent="0.25">
      <c r="A78" s="1"/>
      <c r="B78" s="313"/>
      <c r="C78" s="313"/>
      <c r="D78" s="313"/>
      <c r="E78" s="369"/>
      <c r="F78" s="304">
        <v>44272</v>
      </c>
      <c r="G78" s="370" t="s">
        <v>7816</v>
      </c>
      <c r="H78" s="314" t="s">
        <v>4333</v>
      </c>
      <c r="I78" s="313" t="s">
        <v>7817</v>
      </c>
      <c r="J78" s="296">
        <v>500000</v>
      </c>
    </row>
    <row r="79" spans="1:10" s="311" customFormat="1" ht="15.75" x14ac:dyDescent="0.25">
      <c r="A79" s="1"/>
      <c r="B79" s="313"/>
      <c r="C79" s="313"/>
      <c r="D79" s="313"/>
      <c r="E79" s="369"/>
      <c r="F79" s="304">
        <v>44272</v>
      </c>
      <c r="G79" s="370" t="s">
        <v>7818</v>
      </c>
      <c r="H79" s="314" t="s">
        <v>4333</v>
      </c>
      <c r="I79" s="309" t="s">
        <v>7805</v>
      </c>
      <c r="J79" s="296">
        <v>100000</v>
      </c>
    </row>
    <row r="80" spans="1:10" s="311" customFormat="1" ht="15.75" x14ac:dyDescent="0.25">
      <c r="A80" s="1"/>
      <c r="B80" s="313"/>
      <c r="C80" s="313"/>
      <c r="D80" s="313"/>
      <c r="E80" s="369"/>
      <c r="F80" s="304">
        <v>44272</v>
      </c>
      <c r="G80" s="1">
        <v>1765307201</v>
      </c>
      <c r="H80" s="314" t="s">
        <v>864</v>
      </c>
      <c r="I80" s="313" t="s">
        <v>7822</v>
      </c>
      <c r="J80" s="296">
        <v>20000</v>
      </c>
    </row>
    <row r="81" spans="1:10" s="311" customFormat="1" ht="15.75" x14ac:dyDescent="0.25">
      <c r="A81" s="1"/>
      <c r="B81" s="313"/>
      <c r="C81" s="313"/>
      <c r="D81" s="313"/>
      <c r="E81" s="369"/>
      <c r="F81" s="304">
        <v>44273</v>
      </c>
      <c r="G81" s="1">
        <v>1765307202</v>
      </c>
      <c r="H81" s="314" t="s">
        <v>864</v>
      </c>
      <c r="I81" s="313" t="s">
        <v>5660</v>
      </c>
      <c r="J81" s="296">
        <v>150000</v>
      </c>
    </row>
    <row r="82" spans="1:10" s="311" customFormat="1" ht="15.75" x14ac:dyDescent="0.25">
      <c r="A82" s="1"/>
      <c r="B82" s="313"/>
      <c r="C82" s="313"/>
      <c r="D82" s="313"/>
      <c r="E82" s="369"/>
      <c r="F82" s="304">
        <v>44274</v>
      </c>
      <c r="G82" s="370" t="s">
        <v>7844</v>
      </c>
      <c r="H82" s="314" t="s">
        <v>4333</v>
      </c>
      <c r="I82" s="313" t="s">
        <v>7845</v>
      </c>
      <c r="J82" s="296">
        <v>36700</v>
      </c>
    </row>
    <row r="83" spans="1:10" s="311" customFormat="1" ht="15.75" x14ac:dyDescent="0.25">
      <c r="A83" s="1"/>
      <c r="B83" s="313"/>
      <c r="C83" s="313"/>
      <c r="D83" s="313"/>
      <c r="E83" s="369"/>
      <c r="F83" s="304">
        <v>44277</v>
      </c>
      <c r="G83" s="370" t="s">
        <v>7846</v>
      </c>
      <c r="H83" s="314" t="s">
        <v>4333</v>
      </c>
      <c r="I83" s="313" t="s">
        <v>5660</v>
      </c>
      <c r="J83" s="296">
        <v>150000</v>
      </c>
    </row>
    <row r="84" spans="1:10" s="311" customFormat="1" ht="15.75" x14ac:dyDescent="0.25">
      <c r="A84" s="1"/>
      <c r="B84" s="313"/>
      <c r="C84" s="313"/>
      <c r="D84" s="313"/>
      <c r="E84" s="369"/>
      <c r="F84" s="304">
        <v>44279</v>
      </c>
      <c r="G84" s="370" t="s">
        <v>7864</v>
      </c>
      <c r="H84" s="314" t="s">
        <v>4333</v>
      </c>
      <c r="I84" s="313" t="s">
        <v>5660</v>
      </c>
      <c r="J84" s="296">
        <v>100000</v>
      </c>
    </row>
    <row r="85" spans="1:10" s="311" customFormat="1" ht="15.75" x14ac:dyDescent="0.25">
      <c r="A85" s="1"/>
      <c r="B85" s="313"/>
      <c r="C85" s="313"/>
      <c r="D85" s="313"/>
      <c r="E85" s="369"/>
      <c r="F85" s="304">
        <v>44277</v>
      </c>
      <c r="G85" s="1">
        <v>1765307203</v>
      </c>
      <c r="H85" s="314" t="s">
        <v>864</v>
      </c>
      <c r="I85" s="313" t="s">
        <v>7806</v>
      </c>
      <c r="J85" s="296">
        <v>15900</v>
      </c>
    </row>
    <row r="86" spans="1:10" s="311" customFormat="1" ht="15.75" x14ac:dyDescent="0.25">
      <c r="A86" s="1"/>
      <c r="B86" s="313"/>
      <c r="C86" s="313"/>
      <c r="D86" s="313"/>
      <c r="E86" s="369"/>
      <c r="F86" s="304">
        <v>44277</v>
      </c>
      <c r="G86" s="1">
        <v>1765307204</v>
      </c>
      <c r="H86" s="314" t="s">
        <v>864</v>
      </c>
      <c r="I86" s="313" t="s">
        <v>7865</v>
      </c>
      <c r="J86" s="296">
        <v>18000</v>
      </c>
    </row>
    <row r="87" spans="1:10" s="311" customFormat="1" ht="15.75" x14ac:dyDescent="0.25">
      <c r="A87" s="1"/>
      <c r="B87" s="313"/>
      <c r="C87" s="313"/>
      <c r="D87" s="313"/>
      <c r="E87" s="369"/>
      <c r="F87" s="304">
        <v>44277</v>
      </c>
      <c r="G87" s="1">
        <v>1765307205</v>
      </c>
      <c r="H87" s="314" t="s">
        <v>864</v>
      </c>
      <c r="I87" s="313" t="s">
        <v>7866</v>
      </c>
      <c r="J87" s="296">
        <v>40500</v>
      </c>
    </row>
    <row r="88" spans="1:10" s="311" customFormat="1" ht="15.75" x14ac:dyDescent="0.25">
      <c r="A88" s="1"/>
      <c r="B88" s="313"/>
      <c r="C88" s="313"/>
      <c r="D88" s="313"/>
      <c r="E88" s="369"/>
      <c r="F88" s="304">
        <v>44277</v>
      </c>
      <c r="G88" s="1">
        <v>1765307206</v>
      </c>
      <c r="H88" s="314" t="s">
        <v>864</v>
      </c>
      <c r="I88" s="313" t="s">
        <v>7867</v>
      </c>
      <c r="J88" s="296">
        <v>100000</v>
      </c>
    </row>
    <row r="89" spans="1:10" s="311" customFormat="1" ht="15.75" x14ac:dyDescent="0.25">
      <c r="A89" s="1"/>
      <c r="B89" s="313"/>
      <c r="C89" s="313"/>
      <c r="D89" s="313"/>
      <c r="E89" s="369"/>
      <c r="F89" s="304">
        <v>44277</v>
      </c>
      <c r="G89" s="1">
        <v>1765307207</v>
      </c>
      <c r="H89" s="314" t="s">
        <v>864</v>
      </c>
      <c r="I89" s="313" t="s">
        <v>7903</v>
      </c>
      <c r="J89" s="296">
        <v>100000</v>
      </c>
    </row>
    <row r="90" spans="1:10" s="311" customFormat="1" ht="15.75" x14ac:dyDescent="0.25">
      <c r="A90" s="1"/>
      <c r="B90" s="313"/>
      <c r="C90" s="313"/>
      <c r="D90" s="313"/>
      <c r="E90" s="369"/>
      <c r="F90" s="304">
        <v>44280</v>
      </c>
      <c r="G90" s="370" t="s">
        <v>7870</v>
      </c>
      <c r="H90" s="314" t="s">
        <v>4333</v>
      </c>
      <c r="I90" s="313" t="s">
        <v>7871</v>
      </c>
      <c r="J90" s="296">
        <v>74450</v>
      </c>
    </row>
    <row r="91" spans="1:10" s="311" customFormat="1" ht="15.75" x14ac:dyDescent="0.25">
      <c r="A91" s="1"/>
      <c r="B91" s="313"/>
      <c r="C91" s="313"/>
      <c r="D91" s="313"/>
      <c r="E91" s="369"/>
      <c r="F91" s="304">
        <v>44280</v>
      </c>
      <c r="G91" s="370" t="s">
        <v>7895</v>
      </c>
      <c r="H91" s="314" t="s">
        <v>4333</v>
      </c>
      <c r="I91" s="313" t="s">
        <v>7899</v>
      </c>
      <c r="J91" s="296">
        <v>50000</v>
      </c>
    </row>
    <row r="92" spans="1:10" s="311" customFormat="1" ht="15.75" x14ac:dyDescent="0.25">
      <c r="A92" s="1"/>
      <c r="B92" s="313"/>
      <c r="C92" s="313"/>
      <c r="D92" s="313"/>
      <c r="E92" s="369"/>
      <c r="F92" s="304">
        <v>44280</v>
      </c>
      <c r="G92" s="370" t="s">
        <v>7896</v>
      </c>
      <c r="H92" s="314" t="s">
        <v>4333</v>
      </c>
      <c r="I92" s="313" t="s">
        <v>7899</v>
      </c>
      <c r="J92" s="296">
        <v>64500</v>
      </c>
    </row>
    <row r="93" spans="1:10" s="311" customFormat="1" ht="15.75" x14ac:dyDescent="0.25">
      <c r="A93" s="1"/>
      <c r="B93" s="313"/>
      <c r="C93" s="313"/>
      <c r="D93" s="313"/>
      <c r="E93" s="369"/>
      <c r="F93" s="304">
        <v>44286</v>
      </c>
      <c r="G93" s="370" t="s">
        <v>7897</v>
      </c>
      <c r="H93" s="314" t="s">
        <v>4333</v>
      </c>
      <c r="I93" s="313" t="s">
        <v>7403</v>
      </c>
      <c r="J93" s="296">
        <v>98653</v>
      </c>
    </row>
    <row r="94" spans="1:10" s="311" customFormat="1" ht="15.75" x14ac:dyDescent="0.25">
      <c r="A94" s="1"/>
      <c r="B94" s="313"/>
      <c r="C94" s="313"/>
      <c r="D94" s="313"/>
      <c r="E94" s="369"/>
      <c r="F94" s="304">
        <v>44286</v>
      </c>
      <c r="G94" s="370" t="s">
        <v>7898</v>
      </c>
      <c r="H94" s="314" t="s">
        <v>4333</v>
      </c>
      <c r="I94" s="313" t="s">
        <v>7900</v>
      </c>
      <c r="J94" s="296">
        <v>44450</v>
      </c>
    </row>
    <row r="95" spans="1:10" s="311" customFormat="1" ht="15.75" x14ac:dyDescent="0.25">
      <c r="A95" s="1"/>
      <c r="B95" s="313"/>
      <c r="C95" s="313"/>
      <c r="D95" s="313"/>
      <c r="E95" s="369"/>
      <c r="F95" s="304"/>
      <c r="G95" s="370"/>
      <c r="H95" s="314"/>
      <c r="I95" s="313"/>
      <c r="J95" s="296"/>
    </row>
    <row r="96" spans="1:10" s="311" customFormat="1" ht="15.75" x14ac:dyDescent="0.25">
      <c r="A96" s="1"/>
      <c r="B96" s="313"/>
      <c r="C96" s="313"/>
      <c r="D96" s="313"/>
      <c r="E96" s="369"/>
      <c r="F96" s="304"/>
      <c r="G96" s="370"/>
      <c r="H96" s="314"/>
      <c r="I96" s="313"/>
      <c r="J96" s="296"/>
    </row>
    <row r="97" spans="1:10" s="311" customFormat="1" ht="18.75" x14ac:dyDescent="0.3">
      <c r="A97" s="512" t="s">
        <v>7577</v>
      </c>
      <c r="B97" s="513"/>
      <c r="C97" s="514"/>
      <c r="D97" s="322">
        <f>SUM(D49:D96)</f>
        <v>4628412</v>
      </c>
      <c r="E97" s="320"/>
      <c r="F97" s="515" t="s">
        <v>7577</v>
      </c>
      <c r="G97" s="516"/>
      <c r="H97" s="516"/>
      <c r="I97" s="517"/>
      <c r="J97" s="321">
        <f>SUM(J49:J96)</f>
        <v>5738803</v>
      </c>
    </row>
    <row r="98" spans="1:10" x14ac:dyDescent="0.25">
      <c r="J98" s="154"/>
    </row>
    <row r="99" spans="1:10" x14ac:dyDescent="0.25">
      <c r="J99" s="154"/>
    </row>
    <row r="100" spans="1:10" x14ac:dyDescent="0.25">
      <c r="C100" s="8" t="s">
        <v>4333</v>
      </c>
      <c r="D100" s="8">
        <f>SUMIF(C49:C96,C100,D49:D96)</f>
        <v>3496500</v>
      </c>
      <c r="I100" s="8" t="s">
        <v>4333</v>
      </c>
      <c r="J100" s="91">
        <f>SUMIF(H49:H96,I100,J49:J96)</f>
        <v>5094403</v>
      </c>
    </row>
    <row r="101" spans="1:10" x14ac:dyDescent="0.25">
      <c r="C101" s="8" t="s">
        <v>864</v>
      </c>
      <c r="D101" s="8">
        <f>SUMIF(C50:C97,C101,D50:D97)</f>
        <v>1131912</v>
      </c>
      <c r="I101" s="8" t="s">
        <v>864</v>
      </c>
      <c r="J101" s="91">
        <f>SUMIF(H50:H96,I101,J50:J96)</f>
        <v>644400</v>
      </c>
    </row>
    <row r="102" spans="1:10" x14ac:dyDescent="0.25">
      <c r="C102" s="8" t="s">
        <v>7577</v>
      </c>
      <c r="D102" s="8">
        <f>SUM(D100:D101)</f>
        <v>4628412</v>
      </c>
      <c r="I102" s="8" t="s">
        <v>7579</v>
      </c>
      <c r="J102" s="8">
        <f>SUM(J100:J101)</f>
        <v>5738803</v>
      </c>
    </row>
    <row r="104" spans="1:10" ht="28.5" x14ac:dyDescent="0.45">
      <c r="A104" s="525" t="s">
        <v>7548</v>
      </c>
      <c r="B104" s="525"/>
      <c r="C104" s="525"/>
      <c r="D104" s="525"/>
      <c r="E104" s="525"/>
      <c r="F104" s="525"/>
      <c r="G104" s="525"/>
      <c r="H104" s="525"/>
      <c r="I104" s="525"/>
      <c r="J104" s="525"/>
    </row>
    <row r="105" spans="1:10" ht="28.5" x14ac:dyDescent="0.45">
      <c r="A105" s="525" t="s">
        <v>7909</v>
      </c>
      <c r="B105" s="525"/>
      <c r="C105" s="525"/>
      <c r="D105" s="525"/>
      <c r="E105" s="525"/>
      <c r="F105" s="525"/>
      <c r="G105" s="525"/>
      <c r="H105" s="525"/>
      <c r="I105" s="525"/>
      <c r="J105" s="525"/>
    </row>
    <row r="106" spans="1:10" ht="32.25" thickBot="1" x14ac:dyDescent="0.55000000000000004">
      <c r="A106" s="526" t="s">
        <v>865</v>
      </c>
      <c r="B106" s="526"/>
      <c r="C106" s="526"/>
      <c r="D106" s="526"/>
      <c r="E106" s="526"/>
      <c r="F106" s="526"/>
      <c r="G106" s="526"/>
      <c r="H106" s="526"/>
      <c r="I106" s="526"/>
      <c r="J106" s="526"/>
    </row>
    <row r="107" spans="1:10" ht="21" customHeight="1" x14ac:dyDescent="0.25">
      <c r="A107" s="527" t="s">
        <v>7643</v>
      </c>
      <c r="B107" s="527"/>
      <c r="C107" s="333" t="s">
        <v>7910</v>
      </c>
      <c r="D107" s="297"/>
      <c r="E107" s="12"/>
      <c r="F107" s="12"/>
      <c r="G107" s="12"/>
      <c r="H107" s="12"/>
      <c r="I107" s="376" t="s">
        <v>7637</v>
      </c>
      <c r="J107" s="335">
        <f ca="1">TODAY()</f>
        <v>44393</v>
      </c>
    </row>
    <row r="108" spans="1:10" ht="21" x14ac:dyDescent="0.3">
      <c r="A108" s="518" t="s">
        <v>4333</v>
      </c>
      <c r="B108" s="519"/>
      <c r="C108" s="331">
        <f>J41</f>
        <v>7331036</v>
      </c>
      <c r="D108" s="298"/>
      <c r="E108" s="12"/>
      <c r="F108" s="12"/>
      <c r="G108" s="12"/>
      <c r="H108" s="12"/>
      <c r="I108" s="329" t="s">
        <v>4333</v>
      </c>
      <c r="J108" s="337">
        <f>C108+D143-J143</f>
        <v>6400739</v>
      </c>
    </row>
    <row r="109" spans="1:10" ht="21" x14ac:dyDescent="0.25">
      <c r="A109" s="518" t="s">
        <v>864</v>
      </c>
      <c r="B109" s="519"/>
      <c r="C109" s="331">
        <f>J42</f>
        <v>3897527</v>
      </c>
      <c r="D109" s="298"/>
      <c r="E109" s="12"/>
      <c r="F109" s="12"/>
      <c r="G109" s="12"/>
      <c r="H109" s="12"/>
      <c r="I109" s="329" t="s">
        <v>864</v>
      </c>
      <c r="J109" s="338">
        <f>C109+D144-J144</f>
        <v>3696923</v>
      </c>
    </row>
    <row r="110" spans="1:10" ht="21" x14ac:dyDescent="0.25">
      <c r="A110" s="520" t="s">
        <v>7550</v>
      </c>
      <c r="B110" s="521"/>
      <c r="C110" s="331">
        <f>'[1]IPC 47'!$F$100</f>
        <v>1013474</v>
      </c>
      <c r="D110" s="298"/>
      <c r="E110" s="12"/>
      <c r="F110" s="12"/>
      <c r="G110" s="12"/>
      <c r="H110" s="12"/>
      <c r="I110" s="329" t="s">
        <v>7550</v>
      </c>
      <c r="J110" s="338">
        <f>'[1]IPC 47'!$F$204</f>
        <v>8120369</v>
      </c>
    </row>
    <row r="111" spans="1:10" ht="21" customHeight="1" x14ac:dyDescent="0.25">
      <c r="A111" s="520" t="s">
        <v>7551</v>
      </c>
      <c r="B111" s="521"/>
      <c r="C111" s="331">
        <f>Nadeem!E997</f>
        <v>337764</v>
      </c>
      <c r="D111" s="298"/>
      <c r="E111" s="12"/>
      <c r="F111" s="12"/>
      <c r="G111" s="12"/>
      <c r="H111" s="12"/>
      <c r="I111" s="329" t="s">
        <v>7551</v>
      </c>
      <c r="J111" s="331">
        <f>C111</f>
        <v>337764</v>
      </c>
    </row>
    <row r="112" spans="1:10" ht="21" x14ac:dyDescent="0.25">
      <c r="A112" s="522" t="s">
        <v>7552</v>
      </c>
      <c r="B112" s="523"/>
      <c r="C112" s="339">
        <f>SUM(C108:C111)</f>
        <v>12579801</v>
      </c>
      <c r="D112" s="299"/>
      <c r="E112" s="12"/>
      <c r="F112" s="12"/>
      <c r="G112" s="12"/>
      <c r="H112" s="12"/>
      <c r="I112" s="336" t="s">
        <v>7552</v>
      </c>
      <c r="J112" s="339">
        <f>SUM(J108:J111)</f>
        <v>18555795</v>
      </c>
    </row>
    <row r="113" spans="1:18" ht="8.25" customHeight="1" thickBot="1" x14ac:dyDescent="0.3">
      <c r="A113" s="4"/>
      <c r="B113" s="12"/>
      <c r="C113" s="12"/>
      <c r="D113" s="12"/>
      <c r="E113" s="12"/>
      <c r="F113" s="12"/>
      <c r="G113" s="12"/>
      <c r="H113" s="12"/>
      <c r="I113" s="12"/>
      <c r="J113" s="12"/>
    </row>
    <row r="114" spans="1:18" ht="26.25" x14ac:dyDescent="0.4">
      <c r="A114" s="524" t="s">
        <v>5366</v>
      </c>
      <c r="B114" s="510"/>
      <c r="C114" s="510"/>
      <c r="D114" s="510"/>
      <c r="E114" s="315"/>
      <c r="F114" s="510" t="s">
        <v>7549</v>
      </c>
      <c r="G114" s="510"/>
      <c r="H114" s="510"/>
      <c r="I114" s="510"/>
      <c r="J114" s="511"/>
    </row>
    <row r="115" spans="1:18" s="35" customFormat="1" ht="19.5" thickBot="1" x14ac:dyDescent="0.35">
      <c r="A115" s="300" t="s">
        <v>1</v>
      </c>
      <c r="B115" s="301" t="s">
        <v>3</v>
      </c>
      <c r="C115" s="301" t="s">
        <v>39</v>
      </c>
      <c r="D115" s="302" t="s">
        <v>7553</v>
      </c>
      <c r="E115" s="316"/>
      <c r="F115" s="301" t="s">
        <v>1</v>
      </c>
      <c r="G115" s="301" t="s">
        <v>7554</v>
      </c>
      <c r="H115" s="301" t="s">
        <v>39</v>
      </c>
      <c r="I115" s="301" t="s">
        <v>3</v>
      </c>
      <c r="J115" s="303" t="s">
        <v>7549</v>
      </c>
    </row>
    <row r="116" spans="1:18" s="311" customFormat="1" ht="47.25" x14ac:dyDescent="0.25">
      <c r="A116" s="304">
        <v>44293</v>
      </c>
      <c r="B116" s="382" t="s">
        <v>7937</v>
      </c>
      <c r="C116" s="306" t="s">
        <v>864</v>
      </c>
      <c r="D116" s="310">
        <v>138189</v>
      </c>
      <c r="E116" s="317"/>
      <c r="F116" s="304">
        <v>44287</v>
      </c>
      <c r="G116" s="370" t="s">
        <v>7901</v>
      </c>
      <c r="H116" s="314" t="s">
        <v>4333</v>
      </c>
      <c r="I116" s="313" t="s">
        <v>7902</v>
      </c>
      <c r="J116" s="296">
        <v>49900</v>
      </c>
    </row>
    <row r="117" spans="1:18" s="311" customFormat="1" ht="15.75" x14ac:dyDescent="0.25">
      <c r="A117" s="304">
        <v>44313</v>
      </c>
      <c r="B117" s="1" t="s">
        <v>8022</v>
      </c>
      <c r="C117" s="306" t="s">
        <v>864</v>
      </c>
      <c r="D117" s="296">
        <v>53505</v>
      </c>
      <c r="E117" s="318"/>
      <c r="F117" s="304">
        <v>44291</v>
      </c>
      <c r="G117" s="370" t="s">
        <v>7913</v>
      </c>
      <c r="H117" s="314" t="s">
        <v>4333</v>
      </c>
      <c r="I117" s="309" t="s">
        <v>7914</v>
      </c>
      <c r="J117" s="296">
        <v>170000</v>
      </c>
    </row>
    <row r="118" spans="1:18" s="311" customFormat="1" ht="15.75" x14ac:dyDescent="0.25">
      <c r="A118" s="304">
        <v>44314</v>
      </c>
      <c r="B118" s="388" t="s">
        <v>8023</v>
      </c>
      <c r="C118" s="312" t="s">
        <v>4333</v>
      </c>
      <c r="D118" s="296">
        <v>550220</v>
      </c>
      <c r="E118" s="318"/>
      <c r="F118" s="304">
        <v>44291</v>
      </c>
      <c r="G118" s="1">
        <v>1765307208</v>
      </c>
      <c r="H118" s="308" t="s">
        <v>864</v>
      </c>
      <c r="I118" s="309" t="s">
        <v>7920</v>
      </c>
      <c r="J118" s="296">
        <v>50000</v>
      </c>
    </row>
    <row r="119" spans="1:18" s="311" customFormat="1" ht="15.75" x14ac:dyDescent="0.25">
      <c r="A119" s="304">
        <v>44315</v>
      </c>
      <c r="B119" s="1" t="s">
        <v>8030</v>
      </c>
      <c r="C119" s="306" t="s">
        <v>864</v>
      </c>
      <c r="D119" s="296">
        <v>139113</v>
      </c>
      <c r="E119" s="318"/>
      <c r="F119" s="304">
        <v>44292</v>
      </c>
      <c r="G119" s="370" t="s">
        <v>7924</v>
      </c>
      <c r="H119" s="308" t="s">
        <v>4333</v>
      </c>
      <c r="I119" s="309" t="s">
        <v>7923</v>
      </c>
      <c r="J119" s="296">
        <v>28000</v>
      </c>
    </row>
    <row r="120" spans="1:18" s="311" customFormat="1" ht="15.75" x14ac:dyDescent="0.25">
      <c r="A120" s="304"/>
      <c r="B120" s="296"/>
      <c r="C120" s="312"/>
      <c r="D120" s="296"/>
      <c r="E120" s="319"/>
      <c r="F120" s="304">
        <v>44298</v>
      </c>
      <c r="G120" s="1">
        <v>1765307209</v>
      </c>
      <c r="H120" s="308" t="s">
        <v>864</v>
      </c>
      <c r="I120" s="309" t="s">
        <v>7947</v>
      </c>
      <c r="J120" s="296">
        <v>181411</v>
      </c>
      <c r="M120" s="340"/>
      <c r="R120" s="340"/>
    </row>
    <row r="121" spans="1:18" s="311" customFormat="1" ht="15.75" x14ac:dyDescent="0.25">
      <c r="A121" s="304"/>
      <c r="B121" s="377"/>
      <c r="C121" s="312"/>
      <c r="D121" s="296"/>
      <c r="E121" s="319"/>
      <c r="F121" s="304">
        <v>44298</v>
      </c>
      <c r="G121" s="370" t="s">
        <v>7948</v>
      </c>
      <c r="H121" s="308" t="s">
        <v>4333</v>
      </c>
      <c r="I121" s="309" t="s">
        <v>7957</v>
      </c>
      <c r="J121" s="296">
        <v>500000</v>
      </c>
    </row>
    <row r="122" spans="1:18" s="311" customFormat="1" ht="31.5" x14ac:dyDescent="0.25">
      <c r="A122" s="304"/>
      <c r="B122" s="296"/>
      <c r="C122" s="312"/>
      <c r="D122" s="313"/>
      <c r="E122" s="319"/>
      <c r="F122" s="304">
        <v>44298</v>
      </c>
      <c r="G122" s="370" t="s">
        <v>7956</v>
      </c>
      <c r="H122" s="308" t="s">
        <v>4333</v>
      </c>
      <c r="I122" s="309" t="s">
        <v>7949</v>
      </c>
      <c r="J122" s="296">
        <v>34800</v>
      </c>
    </row>
    <row r="123" spans="1:18" s="311" customFormat="1" ht="15.75" x14ac:dyDescent="0.25">
      <c r="A123" s="1"/>
      <c r="B123" s="313"/>
      <c r="C123" s="313"/>
      <c r="D123" s="313"/>
      <c r="E123" s="319"/>
      <c r="F123" s="304">
        <v>44299</v>
      </c>
      <c r="G123" s="370" t="s">
        <v>7958</v>
      </c>
      <c r="H123" s="308" t="s">
        <v>4333</v>
      </c>
      <c r="I123" s="309" t="s">
        <v>7959</v>
      </c>
      <c r="J123" s="296">
        <v>22000</v>
      </c>
    </row>
    <row r="124" spans="1:18" s="311" customFormat="1" ht="15.75" x14ac:dyDescent="0.25">
      <c r="A124" s="1"/>
      <c r="B124" s="313"/>
      <c r="C124" s="313"/>
      <c r="D124" s="313"/>
      <c r="E124" s="319"/>
      <c r="F124" s="304">
        <v>44299</v>
      </c>
      <c r="G124" s="370" t="s">
        <v>7965</v>
      </c>
      <c r="H124" s="308" t="s">
        <v>4333</v>
      </c>
      <c r="I124" s="309" t="s">
        <v>7966</v>
      </c>
      <c r="J124" s="296">
        <v>50000</v>
      </c>
    </row>
    <row r="125" spans="1:18" s="311" customFormat="1" ht="15.75" x14ac:dyDescent="0.25">
      <c r="A125" s="1"/>
      <c r="B125" s="313"/>
      <c r="C125" s="313"/>
      <c r="D125" s="313"/>
      <c r="E125" s="319"/>
      <c r="F125" s="304">
        <v>44299</v>
      </c>
      <c r="G125" s="370" t="s">
        <v>7970</v>
      </c>
      <c r="H125" s="308" t="s">
        <v>4333</v>
      </c>
      <c r="I125" s="309" t="s">
        <v>7957</v>
      </c>
      <c r="J125" s="296">
        <v>100000</v>
      </c>
      <c r="L125" s="340"/>
    </row>
    <row r="126" spans="1:18" s="311" customFormat="1" ht="15.75" x14ac:dyDescent="0.25">
      <c r="A126" s="1"/>
      <c r="B126" s="313"/>
      <c r="C126" s="313"/>
      <c r="D126" s="313"/>
      <c r="E126" s="319"/>
      <c r="F126" s="304">
        <v>44301</v>
      </c>
      <c r="G126" s="370" t="s">
        <v>7974</v>
      </c>
      <c r="H126" s="308" t="s">
        <v>4333</v>
      </c>
      <c r="I126" s="309" t="s">
        <v>7975</v>
      </c>
      <c r="J126" s="296">
        <v>78000</v>
      </c>
    </row>
    <row r="127" spans="1:18" s="311" customFormat="1" ht="15.75" x14ac:dyDescent="0.25">
      <c r="A127" s="1"/>
      <c r="B127" s="313"/>
      <c r="C127" s="313"/>
      <c r="D127" s="313"/>
      <c r="E127" s="319"/>
      <c r="F127" s="304">
        <v>44301</v>
      </c>
      <c r="G127" s="370" t="s">
        <v>8002</v>
      </c>
      <c r="H127" s="308" t="s">
        <v>4333</v>
      </c>
      <c r="I127" s="309" t="s">
        <v>8003</v>
      </c>
      <c r="J127" s="296">
        <v>50000</v>
      </c>
    </row>
    <row r="128" spans="1:18" s="311" customFormat="1" ht="15.75" x14ac:dyDescent="0.25">
      <c r="A128" s="1"/>
      <c r="B128" s="313"/>
      <c r="C128" s="313"/>
      <c r="D128" s="313"/>
      <c r="E128" s="319"/>
      <c r="F128" s="304">
        <v>44310</v>
      </c>
      <c r="G128" s="370" t="s">
        <v>8007</v>
      </c>
      <c r="H128" s="308" t="s">
        <v>4333</v>
      </c>
      <c r="I128" s="309" t="s">
        <v>6965</v>
      </c>
      <c r="J128" s="296">
        <v>41300</v>
      </c>
    </row>
    <row r="129" spans="1:10" s="311" customFormat="1" ht="15.75" x14ac:dyDescent="0.25">
      <c r="A129" s="1"/>
      <c r="B129" s="313"/>
      <c r="C129" s="313"/>
      <c r="D129" s="313"/>
      <c r="E129" s="319"/>
      <c r="F129" s="304">
        <v>44310</v>
      </c>
      <c r="G129" s="370" t="s">
        <v>8008</v>
      </c>
      <c r="H129" s="308" t="s">
        <v>4333</v>
      </c>
      <c r="I129" s="309" t="s">
        <v>8009</v>
      </c>
      <c r="J129" s="296">
        <v>26517</v>
      </c>
    </row>
    <row r="130" spans="1:10" s="311" customFormat="1" ht="15.75" x14ac:dyDescent="0.25">
      <c r="A130" s="1"/>
      <c r="B130" s="313"/>
      <c r="C130" s="313"/>
      <c r="D130" s="313"/>
      <c r="E130" s="319"/>
      <c r="F130" s="304">
        <v>44312</v>
      </c>
      <c r="G130" s="1">
        <v>1765307210</v>
      </c>
      <c r="H130" s="308" t="s">
        <v>864</v>
      </c>
      <c r="I130" s="309" t="s">
        <v>8014</v>
      </c>
      <c r="J130" s="296">
        <v>300000</v>
      </c>
    </row>
    <row r="131" spans="1:10" s="311" customFormat="1" ht="15.75" x14ac:dyDescent="0.25">
      <c r="A131" s="1"/>
      <c r="B131" s="313"/>
      <c r="C131" s="313"/>
      <c r="D131" s="313"/>
      <c r="E131" s="319"/>
      <c r="F131" s="304">
        <v>44316</v>
      </c>
      <c r="G131" s="370" t="s">
        <v>8043</v>
      </c>
      <c r="H131" s="308" t="s">
        <v>4333</v>
      </c>
      <c r="I131" s="368" t="s">
        <v>7845</v>
      </c>
      <c r="J131" s="296">
        <v>5000</v>
      </c>
    </row>
    <row r="132" spans="1:10" s="311" customFormat="1" ht="15.75" x14ac:dyDescent="0.25">
      <c r="A132" s="1"/>
      <c r="B132" s="313"/>
      <c r="C132" s="313"/>
      <c r="D132" s="313"/>
      <c r="E132" s="319"/>
      <c r="F132" s="304">
        <v>44316</v>
      </c>
      <c r="G132" s="370" t="s">
        <v>8044</v>
      </c>
      <c r="H132" s="308" t="s">
        <v>4333</v>
      </c>
      <c r="I132" s="368" t="s">
        <v>7845</v>
      </c>
      <c r="J132" s="296">
        <v>5000</v>
      </c>
    </row>
    <row r="133" spans="1:10" s="311" customFormat="1" ht="15.75" x14ac:dyDescent="0.25">
      <c r="A133" s="1"/>
      <c r="B133" s="313"/>
      <c r="C133" s="313"/>
      <c r="D133" s="313"/>
      <c r="E133" s="319"/>
      <c r="F133" s="304">
        <v>44316</v>
      </c>
      <c r="G133" s="370" t="s">
        <v>8045</v>
      </c>
      <c r="H133" s="308" t="s">
        <v>4333</v>
      </c>
      <c r="I133" s="368" t="s">
        <v>7845</v>
      </c>
      <c r="J133" s="296">
        <v>5000</v>
      </c>
    </row>
    <row r="134" spans="1:10" s="311" customFormat="1" ht="15.75" x14ac:dyDescent="0.25">
      <c r="A134" s="1"/>
      <c r="B134" s="313"/>
      <c r="C134" s="313"/>
      <c r="D134" s="313"/>
      <c r="E134" s="319"/>
      <c r="F134" s="304">
        <v>44316</v>
      </c>
      <c r="G134" s="370" t="s">
        <v>8046</v>
      </c>
      <c r="H134" s="308" t="s">
        <v>4333</v>
      </c>
      <c r="I134" s="368" t="s">
        <v>7845</v>
      </c>
      <c r="J134" s="296">
        <v>5000</v>
      </c>
    </row>
    <row r="135" spans="1:10" s="311" customFormat="1" ht="15.75" x14ac:dyDescent="0.25">
      <c r="A135" s="1"/>
      <c r="B135" s="313"/>
      <c r="C135" s="313"/>
      <c r="D135" s="313"/>
      <c r="E135" s="319"/>
      <c r="F135" s="304">
        <v>44316</v>
      </c>
      <c r="G135" s="370" t="s">
        <v>8047</v>
      </c>
      <c r="H135" s="308" t="s">
        <v>4333</v>
      </c>
      <c r="I135" s="368" t="s">
        <v>7845</v>
      </c>
      <c r="J135" s="296">
        <v>5000</v>
      </c>
    </row>
    <row r="136" spans="1:10" s="311" customFormat="1" ht="15.75" x14ac:dyDescent="0.25">
      <c r="A136" s="1"/>
      <c r="B136" s="313"/>
      <c r="C136" s="313"/>
      <c r="D136" s="313"/>
      <c r="E136" s="319"/>
      <c r="F136" s="304">
        <v>44316</v>
      </c>
      <c r="G136" s="370" t="s">
        <v>8048</v>
      </c>
      <c r="H136" s="308" t="s">
        <v>4333</v>
      </c>
      <c r="I136" s="309" t="s">
        <v>8053</v>
      </c>
      <c r="J136" s="296">
        <v>70000</v>
      </c>
    </row>
    <row r="137" spans="1:10" s="311" customFormat="1" ht="15.75" x14ac:dyDescent="0.25">
      <c r="A137" s="1"/>
      <c r="B137" s="313"/>
      <c r="C137" s="313"/>
      <c r="D137" s="313"/>
      <c r="E137" s="319"/>
      <c r="F137" s="304">
        <v>44316</v>
      </c>
      <c r="G137" s="370" t="s">
        <v>8049</v>
      </c>
      <c r="H137" s="308" t="s">
        <v>4333</v>
      </c>
      <c r="I137" s="309" t="s">
        <v>8054</v>
      </c>
      <c r="J137" s="296">
        <v>77000</v>
      </c>
    </row>
    <row r="138" spans="1:10" s="311" customFormat="1" ht="15.75" x14ac:dyDescent="0.25">
      <c r="A138" s="1"/>
      <c r="B138" s="313"/>
      <c r="C138" s="313"/>
      <c r="D138" s="313"/>
      <c r="E138" s="319"/>
      <c r="F138" s="304">
        <v>44316</v>
      </c>
      <c r="G138" s="370" t="s">
        <v>8050</v>
      </c>
      <c r="H138" s="308" t="s">
        <v>4333</v>
      </c>
      <c r="I138" s="309" t="s">
        <v>8055</v>
      </c>
      <c r="J138" s="296">
        <v>100000</v>
      </c>
    </row>
    <row r="139" spans="1:10" s="311" customFormat="1" ht="15.75" x14ac:dyDescent="0.25">
      <c r="A139" s="1"/>
      <c r="B139" s="313"/>
      <c r="C139" s="313"/>
      <c r="D139" s="313"/>
      <c r="E139" s="319"/>
      <c r="F139" s="304">
        <v>44316</v>
      </c>
      <c r="G139" s="370" t="s">
        <v>8051</v>
      </c>
      <c r="H139" s="308" t="s">
        <v>4333</v>
      </c>
      <c r="I139" s="309" t="s">
        <v>8056</v>
      </c>
      <c r="J139" s="296">
        <v>58000</v>
      </c>
    </row>
    <row r="140" spans="1:10" s="311" customFormat="1" ht="18.75" x14ac:dyDescent="0.3">
      <c r="A140" s="512" t="s">
        <v>7577</v>
      </c>
      <c r="B140" s="513"/>
      <c r="C140" s="514"/>
      <c r="D140" s="322">
        <f>SUM(D116:D139)</f>
        <v>881027</v>
      </c>
      <c r="E140" s="320"/>
      <c r="F140" s="515" t="s">
        <v>7577</v>
      </c>
      <c r="G140" s="516"/>
      <c r="H140" s="516"/>
      <c r="I140" s="517"/>
      <c r="J140" s="321">
        <f>SUM(J116:J139)</f>
        <v>2011928</v>
      </c>
    </row>
    <row r="141" spans="1:10" x14ac:dyDescent="0.25">
      <c r="J141" s="154"/>
    </row>
    <row r="142" spans="1:10" x14ac:dyDescent="0.25">
      <c r="J142" s="154"/>
    </row>
    <row r="143" spans="1:10" x14ac:dyDescent="0.25">
      <c r="C143" s="8" t="s">
        <v>4333</v>
      </c>
      <c r="D143" s="8">
        <f>SUMIF(C116:C139,C143,D116:D139)</f>
        <v>550220</v>
      </c>
      <c r="I143" s="8" t="s">
        <v>4333</v>
      </c>
      <c r="J143" s="91">
        <f>SUMIF(H116:H139,I143,J116:J139)</f>
        <v>1480517</v>
      </c>
    </row>
    <row r="144" spans="1:10" x14ac:dyDescent="0.25">
      <c r="C144" s="8" t="s">
        <v>864</v>
      </c>
      <c r="D144" s="8">
        <f>SUMIF(C116:C139,C144,D116:D139)</f>
        <v>330807</v>
      </c>
      <c r="I144" s="8" t="s">
        <v>864</v>
      </c>
      <c r="J144" s="91">
        <f>SUMIF(H117:H139,I144,J117:J139)</f>
        <v>531411</v>
      </c>
    </row>
    <row r="145" spans="1:10" x14ac:dyDescent="0.25">
      <c r="C145" s="8" t="s">
        <v>7577</v>
      </c>
      <c r="D145" s="8">
        <f>SUM(D143:D144)</f>
        <v>881027</v>
      </c>
      <c r="I145" s="8" t="s">
        <v>7579</v>
      </c>
      <c r="J145" s="8">
        <f>SUM(J143:J144)</f>
        <v>2011928</v>
      </c>
    </row>
    <row r="147" spans="1:10" ht="15.75" thickBot="1" x14ac:dyDescent="0.3"/>
    <row r="148" spans="1:10" ht="28.5" x14ac:dyDescent="0.45">
      <c r="A148" s="499" t="s">
        <v>7548</v>
      </c>
      <c r="B148" s="500"/>
      <c r="C148" s="500"/>
      <c r="D148" s="500"/>
      <c r="E148" s="500"/>
      <c r="F148" s="500"/>
      <c r="G148" s="500"/>
      <c r="H148" s="500"/>
      <c r="I148" s="500"/>
      <c r="J148" s="501"/>
    </row>
    <row r="149" spans="1:10" ht="28.5" x14ac:dyDescent="0.45">
      <c r="A149" s="502" t="s">
        <v>8057</v>
      </c>
      <c r="B149" s="503"/>
      <c r="C149" s="503"/>
      <c r="D149" s="503"/>
      <c r="E149" s="503"/>
      <c r="F149" s="503"/>
      <c r="G149" s="503"/>
      <c r="H149" s="503"/>
      <c r="I149" s="503"/>
      <c r="J149" s="504"/>
    </row>
    <row r="150" spans="1:10" ht="32.25" thickBot="1" x14ac:dyDescent="0.55000000000000004">
      <c r="A150" s="505" t="s">
        <v>865</v>
      </c>
      <c r="B150" s="506"/>
      <c r="C150" s="506"/>
      <c r="D150" s="506"/>
      <c r="E150" s="506"/>
      <c r="F150" s="506"/>
      <c r="G150" s="506"/>
      <c r="H150" s="506"/>
      <c r="I150" s="506"/>
      <c r="J150" s="507"/>
    </row>
    <row r="151" spans="1:10" ht="21" customHeight="1" x14ac:dyDescent="0.25">
      <c r="A151" s="508" t="s">
        <v>7643</v>
      </c>
      <c r="B151" s="509"/>
      <c r="C151" s="389" t="s">
        <v>8058</v>
      </c>
      <c r="D151" s="390"/>
      <c r="E151" s="391"/>
      <c r="F151" s="391"/>
      <c r="G151" s="391"/>
      <c r="H151" s="391"/>
      <c r="I151" s="392" t="s">
        <v>7637</v>
      </c>
      <c r="J151" s="396">
        <f ca="1">TODAY()</f>
        <v>44393</v>
      </c>
    </row>
    <row r="152" spans="1:10" ht="21" x14ac:dyDescent="0.3">
      <c r="A152" s="492" t="s">
        <v>4333</v>
      </c>
      <c r="B152" s="493"/>
      <c r="C152" s="393">
        <f>J108</f>
        <v>6400739</v>
      </c>
      <c r="D152" s="394"/>
      <c r="E152" s="391"/>
      <c r="F152" s="391"/>
      <c r="G152" s="391"/>
      <c r="H152" s="391"/>
      <c r="I152" s="395" t="s">
        <v>4333</v>
      </c>
      <c r="J152" s="397">
        <f>C152+D187-J187</f>
        <v>3326295</v>
      </c>
    </row>
    <row r="153" spans="1:10" ht="21" x14ac:dyDescent="0.25">
      <c r="A153" s="492" t="s">
        <v>864</v>
      </c>
      <c r="B153" s="493"/>
      <c r="C153" s="393">
        <f>J109</f>
        <v>3696923</v>
      </c>
      <c r="D153" s="394"/>
      <c r="E153" s="391"/>
      <c r="F153" s="391"/>
      <c r="G153" s="391"/>
      <c r="H153" s="391"/>
      <c r="I153" s="395" t="s">
        <v>864</v>
      </c>
      <c r="J153" s="398">
        <f>C153+D188-J188</f>
        <v>5166673</v>
      </c>
    </row>
    <row r="154" spans="1:10" ht="21" x14ac:dyDescent="0.25">
      <c r="A154" s="494" t="s">
        <v>7550</v>
      </c>
      <c r="B154" s="495"/>
      <c r="C154" s="393">
        <f>J110</f>
        <v>8120369</v>
      </c>
      <c r="D154" s="394"/>
      <c r="E154" s="391"/>
      <c r="F154" s="391"/>
      <c r="G154" s="391"/>
      <c r="H154" s="391"/>
      <c r="I154" s="395" t="s">
        <v>7550</v>
      </c>
      <c r="J154" s="398">
        <f>'[1]IPC 47'!$F$204</f>
        <v>8120369</v>
      </c>
    </row>
    <row r="155" spans="1:10" ht="21" customHeight="1" x14ac:dyDescent="0.25">
      <c r="A155" s="494" t="s">
        <v>7551</v>
      </c>
      <c r="B155" s="495"/>
      <c r="C155" s="393">
        <f>J111</f>
        <v>337764</v>
      </c>
      <c r="D155" s="394"/>
      <c r="E155" s="391"/>
      <c r="F155" s="391"/>
      <c r="G155" s="391"/>
      <c r="H155" s="391"/>
      <c r="I155" s="395" t="s">
        <v>7551</v>
      </c>
      <c r="J155" s="399">
        <f>C155</f>
        <v>337764</v>
      </c>
    </row>
    <row r="156" spans="1:10" ht="21.75" thickBot="1" x14ac:dyDescent="0.3">
      <c r="A156" s="496" t="s">
        <v>7552</v>
      </c>
      <c r="B156" s="497"/>
      <c r="C156" s="400">
        <f>SUM(C152:C155)</f>
        <v>18555795</v>
      </c>
      <c r="D156" s="401"/>
      <c r="E156" s="402"/>
      <c r="F156" s="402"/>
      <c r="G156" s="402"/>
      <c r="H156" s="402"/>
      <c r="I156" s="403" t="s">
        <v>7552</v>
      </c>
      <c r="J156" s="404">
        <f>SUM(J152:J155)</f>
        <v>16951101</v>
      </c>
    </row>
    <row r="157" spans="1:10" ht="8.25" customHeight="1" thickBot="1" x14ac:dyDescent="0.3">
      <c r="A157" s="4"/>
      <c r="B157" s="12"/>
      <c r="C157" s="12"/>
      <c r="D157" s="12"/>
      <c r="E157" s="12"/>
      <c r="F157" s="12"/>
      <c r="G157" s="12"/>
      <c r="H157" s="12"/>
      <c r="I157" s="12"/>
      <c r="J157" s="12"/>
    </row>
    <row r="158" spans="1:10" ht="26.25" x14ac:dyDescent="0.4">
      <c r="A158" s="498" t="s">
        <v>5366</v>
      </c>
      <c r="B158" s="484"/>
      <c r="C158" s="484"/>
      <c r="D158" s="484"/>
      <c r="E158" s="405"/>
      <c r="F158" s="484" t="s">
        <v>7549</v>
      </c>
      <c r="G158" s="484"/>
      <c r="H158" s="484"/>
      <c r="I158" s="484"/>
      <c r="J158" s="485"/>
    </row>
    <row r="159" spans="1:10" s="35" customFormat="1" ht="19.5" thickBot="1" x14ac:dyDescent="0.35">
      <c r="A159" s="406" t="s">
        <v>1</v>
      </c>
      <c r="B159" s="407" t="s">
        <v>3</v>
      </c>
      <c r="C159" s="407" t="s">
        <v>39</v>
      </c>
      <c r="D159" s="408" t="s">
        <v>7553</v>
      </c>
      <c r="E159" s="408"/>
      <c r="F159" s="407" t="s">
        <v>1</v>
      </c>
      <c r="G159" s="407" t="s">
        <v>7554</v>
      </c>
      <c r="H159" s="407" t="s">
        <v>39</v>
      </c>
      <c r="I159" s="407" t="s">
        <v>3</v>
      </c>
      <c r="J159" s="409" t="s">
        <v>7549</v>
      </c>
    </row>
    <row r="160" spans="1:10" s="311" customFormat="1" ht="15.75" x14ac:dyDescent="0.25">
      <c r="A160" s="410">
        <v>44321</v>
      </c>
      <c r="B160" s="411" t="s">
        <v>8066</v>
      </c>
      <c r="C160" s="412" t="s">
        <v>864</v>
      </c>
      <c r="D160" s="413">
        <v>1581625</v>
      </c>
      <c r="E160" s="414"/>
      <c r="F160" s="410">
        <v>44321</v>
      </c>
      <c r="G160" s="415" t="s">
        <v>8052</v>
      </c>
      <c r="H160" s="416" t="s">
        <v>4333</v>
      </c>
      <c r="I160" s="417" t="s">
        <v>8059</v>
      </c>
      <c r="J160" s="418">
        <v>500000</v>
      </c>
    </row>
    <row r="161" spans="1:18" s="311" customFormat="1" ht="15.75" x14ac:dyDescent="0.25">
      <c r="A161" s="410">
        <v>44321</v>
      </c>
      <c r="B161" s="419" t="s">
        <v>8067</v>
      </c>
      <c r="C161" s="412" t="s">
        <v>864</v>
      </c>
      <c r="D161" s="418">
        <v>157140</v>
      </c>
      <c r="E161" s="418"/>
      <c r="F161" s="410">
        <v>44321</v>
      </c>
      <c r="G161" s="419">
        <v>1765307211</v>
      </c>
      <c r="H161" s="416" t="s">
        <v>864</v>
      </c>
      <c r="I161" s="417" t="s">
        <v>8059</v>
      </c>
      <c r="J161" s="418">
        <v>500000</v>
      </c>
    </row>
    <row r="162" spans="1:18" s="311" customFormat="1" ht="31.5" x14ac:dyDescent="0.25">
      <c r="A162" s="410">
        <v>44333</v>
      </c>
      <c r="B162" s="420" t="s">
        <v>8094</v>
      </c>
      <c r="C162" s="421" t="s">
        <v>4333</v>
      </c>
      <c r="D162" s="418">
        <v>1350000</v>
      </c>
      <c r="E162" s="418"/>
      <c r="F162" s="410">
        <v>44333</v>
      </c>
      <c r="G162" s="419">
        <v>1765307212</v>
      </c>
      <c r="H162" s="416" t="s">
        <v>864</v>
      </c>
      <c r="I162" s="423" t="s">
        <v>8096</v>
      </c>
      <c r="J162" s="418">
        <v>100000</v>
      </c>
    </row>
    <row r="163" spans="1:18" s="311" customFormat="1" ht="31.5" x14ac:dyDescent="0.25">
      <c r="A163" s="410">
        <v>44342</v>
      </c>
      <c r="B163" s="419" t="s">
        <v>8161</v>
      </c>
      <c r="C163" s="412" t="s">
        <v>864</v>
      </c>
      <c r="D163" s="418">
        <v>79280</v>
      </c>
      <c r="E163" s="418"/>
      <c r="F163" s="410">
        <v>44335</v>
      </c>
      <c r="G163" s="415" t="s">
        <v>8134</v>
      </c>
      <c r="H163" s="422" t="s">
        <v>4333</v>
      </c>
      <c r="I163" s="423" t="s">
        <v>8109</v>
      </c>
      <c r="J163" s="418">
        <v>600000</v>
      </c>
    </row>
    <row r="164" spans="1:18" s="311" customFormat="1" ht="31.5" x14ac:dyDescent="0.25">
      <c r="A164" s="410">
        <v>44342</v>
      </c>
      <c r="B164" s="419" t="s">
        <v>8162</v>
      </c>
      <c r="C164" s="412" t="s">
        <v>864</v>
      </c>
      <c r="D164" s="418">
        <v>198200</v>
      </c>
      <c r="E164" s="417"/>
      <c r="F164" s="410">
        <v>44335</v>
      </c>
      <c r="G164" s="415" t="s">
        <v>8135</v>
      </c>
      <c r="H164" s="422" t="s">
        <v>4333</v>
      </c>
      <c r="I164" s="423" t="s">
        <v>8109</v>
      </c>
      <c r="J164" s="418">
        <v>661044</v>
      </c>
      <c r="M164" s="340"/>
      <c r="R164" s="340"/>
    </row>
    <row r="165" spans="1:18" s="311" customFormat="1" ht="15.75" x14ac:dyDescent="0.25">
      <c r="A165" s="410">
        <v>44345</v>
      </c>
      <c r="B165" s="424" t="s">
        <v>8184</v>
      </c>
      <c r="C165" s="412" t="s">
        <v>864</v>
      </c>
      <c r="D165" s="418">
        <v>53505</v>
      </c>
      <c r="E165" s="417"/>
      <c r="F165" s="410">
        <v>44337</v>
      </c>
      <c r="G165" s="415" t="s">
        <v>8136</v>
      </c>
      <c r="H165" s="422" t="s">
        <v>4333</v>
      </c>
      <c r="I165" s="423" t="s">
        <v>8137</v>
      </c>
      <c r="J165" s="418">
        <v>22400</v>
      </c>
    </row>
    <row r="166" spans="1:18" s="311" customFormat="1" ht="15.75" x14ac:dyDescent="0.25">
      <c r="A166" s="410"/>
      <c r="B166" s="418"/>
      <c r="C166" s="421"/>
      <c r="D166" s="417"/>
      <c r="E166" s="417"/>
      <c r="F166" s="410">
        <v>44340</v>
      </c>
      <c r="G166" s="415" t="s">
        <v>8147</v>
      </c>
      <c r="H166" s="422" t="s">
        <v>4333</v>
      </c>
      <c r="I166" s="423" t="s">
        <v>8152</v>
      </c>
      <c r="J166" s="418">
        <v>500000</v>
      </c>
    </row>
    <row r="167" spans="1:18" s="311" customFormat="1" ht="15.75" x14ac:dyDescent="0.25">
      <c r="A167" s="419"/>
      <c r="B167" s="417"/>
      <c r="C167" s="417"/>
      <c r="D167" s="417"/>
      <c r="E167" s="417"/>
      <c r="F167" s="410">
        <v>44340</v>
      </c>
      <c r="G167" s="415" t="s">
        <v>8148</v>
      </c>
      <c r="H167" s="422" t="s">
        <v>4333</v>
      </c>
      <c r="I167" s="423" t="s">
        <v>8152</v>
      </c>
      <c r="J167" s="418">
        <v>500000</v>
      </c>
    </row>
    <row r="168" spans="1:18" s="311" customFormat="1" ht="15.75" x14ac:dyDescent="0.25">
      <c r="A168" s="419"/>
      <c r="B168" s="417"/>
      <c r="C168" s="417"/>
      <c r="D168" s="417"/>
      <c r="E168" s="417"/>
      <c r="F168" s="410">
        <v>44341</v>
      </c>
      <c r="G168" s="415" t="s">
        <v>8149</v>
      </c>
      <c r="H168" s="422" t="s">
        <v>4333</v>
      </c>
      <c r="I168" s="423" t="s">
        <v>8153</v>
      </c>
      <c r="J168" s="418">
        <v>100000</v>
      </c>
    </row>
    <row r="169" spans="1:18" s="311" customFormat="1" ht="15.75" x14ac:dyDescent="0.25">
      <c r="A169" s="419"/>
      <c r="B169" s="417"/>
      <c r="C169" s="417"/>
      <c r="D169" s="417"/>
      <c r="E169" s="417"/>
      <c r="F169" s="410">
        <v>44341</v>
      </c>
      <c r="G169" s="415" t="s">
        <v>8150</v>
      </c>
      <c r="H169" s="422" t="s">
        <v>4333</v>
      </c>
      <c r="I169" s="423" t="s">
        <v>8155</v>
      </c>
      <c r="J169" s="418">
        <v>141000</v>
      </c>
      <c r="L169" s="340"/>
    </row>
    <row r="170" spans="1:18" s="311" customFormat="1" ht="15.75" x14ac:dyDescent="0.25">
      <c r="A170" s="419"/>
      <c r="B170" s="417"/>
      <c r="C170" s="417"/>
      <c r="D170" s="417"/>
      <c r="E170" s="417"/>
      <c r="F170" s="410">
        <v>44341</v>
      </c>
      <c r="G170" s="415" t="s">
        <v>8151</v>
      </c>
      <c r="H170" s="422" t="s">
        <v>4333</v>
      </c>
      <c r="I170" s="423" t="s">
        <v>8156</v>
      </c>
      <c r="J170" s="418">
        <v>100000</v>
      </c>
    </row>
    <row r="171" spans="1:18" s="311" customFormat="1" ht="15.75" x14ac:dyDescent="0.25">
      <c r="A171" s="419"/>
      <c r="B171" s="417"/>
      <c r="C171" s="417"/>
      <c r="D171" s="417"/>
      <c r="E171" s="417"/>
      <c r="F171" s="410">
        <v>44341</v>
      </c>
      <c r="G171" s="415" t="s">
        <v>8154</v>
      </c>
      <c r="H171" s="422" t="s">
        <v>4333</v>
      </c>
      <c r="I171" s="423" t="s">
        <v>8157</v>
      </c>
      <c r="J171" s="418">
        <v>300000</v>
      </c>
    </row>
    <row r="172" spans="1:18" s="311" customFormat="1" ht="15.75" x14ac:dyDescent="0.25">
      <c r="A172" s="419"/>
      <c r="B172" s="417"/>
      <c r="C172" s="417"/>
      <c r="D172" s="417"/>
      <c r="E172" s="417"/>
      <c r="F172" s="410">
        <v>44342</v>
      </c>
      <c r="G172" s="415" t="s">
        <v>8163</v>
      </c>
      <c r="H172" s="422" t="s">
        <v>4333</v>
      </c>
      <c r="I172" s="423" t="s">
        <v>8152</v>
      </c>
      <c r="J172" s="418">
        <v>500000</v>
      </c>
    </row>
    <row r="173" spans="1:18" s="311" customFormat="1" ht="15.75" x14ac:dyDescent="0.25">
      <c r="A173" s="419"/>
      <c r="B173" s="417"/>
      <c r="C173" s="417"/>
      <c r="D173" s="417"/>
      <c r="E173" s="417"/>
      <c r="F173" s="410">
        <v>44342</v>
      </c>
      <c r="G173" s="415" t="s">
        <v>8164</v>
      </c>
      <c r="H173" s="422" t="s">
        <v>4333</v>
      </c>
      <c r="I173" s="423" t="s">
        <v>8152</v>
      </c>
      <c r="J173" s="418">
        <v>500000</v>
      </c>
    </row>
    <row r="174" spans="1:18" s="311" customFormat="1" ht="15.75" x14ac:dyDescent="0.25">
      <c r="A174" s="419"/>
      <c r="B174" s="417"/>
      <c r="C174" s="417"/>
      <c r="D174" s="417"/>
      <c r="E174" s="417"/>
      <c r="F174" s="410"/>
      <c r="G174" s="419"/>
      <c r="H174" s="422"/>
      <c r="I174" s="423"/>
      <c r="J174" s="418"/>
    </row>
    <row r="175" spans="1:18" s="311" customFormat="1" ht="15.75" x14ac:dyDescent="0.25">
      <c r="A175" s="419"/>
      <c r="B175" s="417"/>
      <c r="C175" s="417"/>
      <c r="D175" s="417"/>
      <c r="E175" s="417"/>
      <c r="F175" s="410"/>
      <c r="G175" s="415"/>
      <c r="H175" s="422"/>
      <c r="I175" s="425"/>
      <c r="J175" s="418"/>
    </row>
    <row r="176" spans="1:18" s="311" customFormat="1" ht="15.75" x14ac:dyDescent="0.25">
      <c r="A176" s="419"/>
      <c r="B176" s="417"/>
      <c r="C176" s="417"/>
      <c r="D176" s="417"/>
      <c r="E176" s="417"/>
      <c r="F176" s="410"/>
      <c r="G176" s="415"/>
      <c r="H176" s="422"/>
      <c r="I176" s="425"/>
      <c r="J176" s="418"/>
    </row>
    <row r="177" spans="1:10" s="311" customFormat="1" ht="15.75" x14ac:dyDescent="0.25">
      <c r="A177" s="419"/>
      <c r="B177" s="417"/>
      <c r="C177" s="417"/>
      <c r="D177" s="417"/>
      <c r="E177" s="417"/>
      <c r="F177" s="410"/>
      <c r="G177" s="415"/>
      <c r="H177" s="422"/>
      <c r="I177" s="425"/>
      <c r="J177" s="418"/>
    </row>
    <row r="178" spans="1:10" s="311" customFormat="1" ht="15.75" x14ac:dyDescent="0.25">
      <c r="A178" s="419"/>
      <c r="B178" s="417"/>
      <c r="C178" s="417"/>
      <c r="D178" s="417"/>
      <c r="E178" s="417"/>
      <c r="F178" s="410"/>
      <c r="G178" s="415"/>
      <c r="H178" s="422"/>
      <c r="I178" s="425"/>
      <c r="J178" s="418"/>
    </row>
    <row r="179" spans="1:10" s="311" customFormat="1" ht="15.75" x14ac:dyDescent="0.25">
      <c r="A179" s="419"/>
      <c r="B179" s="417"/>
      <c r="C179" s="417"/>
      <c r="D179" s="417"/>
      <c r="E179" s="417"/>
      <c r="F179" s="410"/>
      <c r="G179" s="415"/>
      <c r="H179" s="422"/>
      <c r="I179" s="425"/>
      <c r="J179" s="418"/>
    </row>
    <row r="180" spans="1:10" s="311" customFormat="1" ht="15.75" x14ac:dyDescent="0.25">
      <c r="A180" s="419"/>
      <c r="B180" s="417"/>
      <c r="C180" s="417"/>
      <c r="D180" s="417"/>
      <c r="E180" s="417"/>
      <c r="F180" s="410"/>
      <c r="G180" s="415"/>
      <c r="H180" s="422"/>
      <c r="I180" s="423"/>
      <c r="J180" s="418"/>
    </row>
    <row r="181" spans="1:10" s="311" customFormat="1" ht="15.75" x14ac:dyDescent="0.25">
      <c r="A181" s="419"/>
      <c r="B181" s="417"/>
      <c r="C181" s="417"/>
      <c r="D181" s="417"/>
      <c r="E181" s="417"/>
      <c r="F181" s="410"/>
      <c r="G181" s="415"/>
      <c r="H181" s="422"/>
      <c r="I181" s="423"/>
      <c r="J181" s="418"/>
    </row>
    <row r="182" spans="1:10" s="311" customFormat="1" ht="15.75" x14ac:dyDescent="0.25">
      <c r="A182" s="419"/>
      <c r="B182" s="417"/>
      <c r="C182" s="417"/>
      <c r="D182" s="417"/>
      <c r="E182" s="417"/>
      <c r="F182" s="410"/>
      <c r="G182" s="415"/>
      <c r="H182" s="422"/>
      <c r="I182" s="423"/>
      <c r="J182" s="418"/>
    </row>
    <row r="183" spans="1:10" s="311" customFormat="1" ht="15.75" x14ac:dyDescent="0.25">
      <c r="A183" s="419"/>
      <c r="B183" s="417"/>
      <c r="C183" s="417"/>
      <c r="D183" s="417"/>
      <c r="E183" s="417"/>
      <c r="F183" s="410"/>
      <c r="G183" s="415"/>
      <c r="H183" s="422"/>
      <c r="I183" s="423"/>
      <c r="J183" s="418"/>
    </row>
    <row r="184" spans="1:10" s="311" customFormat="1" ht="18.75" x14ac:dyDescent="0.3">
      <c r="A184" s="486" t="s">
        <v>7577</v>
      </c>
      <c r="B184" s="487"/>
      <c r="C184" s="488"/>
      <c r="D184" s="426">
        <f>SUM(D160:D183)</f>
        <v>3419750</v>
      </c>
      <c r="E184" s="427"/>
      <c r="F184" s="489" t="s">
        <v>7577</v>
      </c>
      <c r="G184" s="490"/>
      <c r="H184" s="490"/>
      <c r="I184" s="491"/>
      <c r="J184" s="428">
        <f>SUM(J160:J183)</f>
        <v>5024444</v>
      </c>
    </row>
    <row r="185" spans="1:10" x14ac:dyDescent="0.25">
      <c r="J185" s="154"/>
    </row>
    <row r="186" spans="1:10" x14ac:dyDescent="0.25">
      <c r="J186" s="154"/>
    </row>
    <row r="187" spans="1:10" x14ac:dyDescent="0.25">
      <c r="C187" s="8" t="s">
        <v>4333</v>
      </c>
      <c r="D187" s="8">
        <f>SUMIF(C160:C183,C187,D160:D183)</f>
        <v>1350000</v>
      </c>
      <c r="I187" s="8" t="s">
        <v>4333</v>
      </c>
      <c r="J187" s="91">
        <f>SUMIF(H160:H183,I187,J160:J183)</f>
        <v>4424444</v>
      </c>
    </row>
    <row r="188" spans="1:10" x14ac:dyDescent="0.25">
      <c r="C188" s="8" t="s">
        <v>864</v>
      </c>
      <c r="D188" s="8">
        <f>SUMIF(C160:C183,C188,D160:D183)</f>
        <v>2069750</v>
      </c>
      <c r="I188" s="8" t="s">
        <v>864</v>
      </c>
      <c r="J188" s="91">
        <f>SUMIF(H161:H183,I188,J161:J183)</f>
        <v>600000</v>
      </c>
    </row>
    <row r="189" spans="1:10" x14ac:dyDescent="0.25">
      <c r="C189" s="8" t="s">
        <v>7577</v>
      </c>
      <c r="D189" s="8">
        <f>SUM(D187:D188)</f>
        <v>3419750</v>
      </c>
      <c r="I189" s="8" t="s">
        <v>7579</v>
      </c>
      <c r="J189" s="8">
        <f>SUM(J187:J188)</f>
        <v>5024444</v>
      </c>
    </row>
    <row r="191" spans="1:10" ht="15.75" thickBot="1" x14ac:dyDescent="0.3"/>
    <row r="192" spans="1:10" ht="28.5" x14ac:dyDescent="0.45">
      <c r="A192" s="499" t="s">
        <v>7548</v>
      </c>
      <c r="B192" s="500"/>
      <c r="C192" s="500"/>
      <c r="D192" s="500"/>
      <c r="E192" s="500"/>
      <c r="F192" s="500"/>
      <c r="G192" s="500"/>
      <c r="H192" s="500"/>
      <c r="I192" s="500"/>
      <c r="J192" s="501"/>
    </row>
    <row r="193" spans="1:18" ht="28.5" x14ac:dyDescent="0.45">
      <c r="A193" s="502" t="s">
        <v>8185</v>
      </c>
      <c r="B193" s="503"/>
      <c r="C193" s="503"/>
      <c r="D193" s="503"/>
      <c r="E193" s="503"/>
      <c r="F193" s="503"/>
      <c r="G193" s="503"/>
      <c r="H193" s="503"/>
      <c r="I193" s="503"/>
      <c r="J193" s="504"/>
    </row>
    <row r="194" spans="1:18" ht="32.25" thickBot="1" x14ac:dyDescent="0.55000000000000004">
      <c r="A194" s="505" t="s">
        <v>865</v>
      </c>
      <c r="B194" s="506"/>
      <c r="C194" s="506"/>
      <c r="D194" s="506"/>
      <c r="E194" s="506"/>
      <c r="F194" s="506"/>
      <c r="G194" s="506"/>
      <c r="H194" s="506"/>
      <c r="I194" s="506"/>
      <c r="J194" s="507"/>
    </row>
    <row r="195" spans="1:18" ht="21" customHeight="1" x14ac:dyDescent="0.25">
      <c r="A195" s="508" t="s">
        <v>7643</v>
      </c>
      <c r="B195" s="509"/>
      <c r="C195" s="389" t="s">
        <v>8186</v>
      </c>
      <c r="D195" s="390"/>
      <c r="E195" s="391"/>
      <c r="F195" s="391"/>
      <c r="G195" s="391"/>
      <c r="H195" s="391"/>
      <c r="I195" s="432" t="s">
        <v>7637</v>
      </c>
      <c r="J195" s="396">
        <f ca="1">TODAY()</f>
        <v>44393</v>
      </c>
    </row>
    <row r="196" spans="1:18" ht="21" x14ac:dyDescent="0.3">
      <c r="A196" s="492" t="s">
        <v>4333</v>
      </c>
      <c r="B196" s="493"/>
      <c r="C196" s="393">
        <f>J152</f>
        <v>3326295</v>
      </c>
      <c r="D196" s="394"/>
      <c r="E196" s="391"/>
      <c r="F196" s="391"/>
      <c r="G196" s="391"/>
      <c r="H196" s="391"/>
      <c r="I196" s="395" t="s">
        <v>4333</v>
      </c>
      <c r="J196" s="397">
        <f>C196+D241-J241</f>
        <v>1125458</v>
      </c>
    </row>
    <row r="197" spans="1:18" ht="21" x14ac:dyDescent="0.25">
      <c r="A197" s="492" t="s">
        <v>864</v>
      </c>
      <c r="B197" s="493"/>
      <c r="C197" s="393">
        <f t="shared" ref="C197:C199" si="0">J153</f>
        <v>5166673</v>
      </c>
      <c r="D197" s="394"/>
      <c r="E197" s="391"/>
      <c r="F197" s="391"/>
      <c r="G197" s="391"/>
      <c r="H197" s="391"/>
      <c r="I197" s="395" t="s">
        <v>864</v>
      </c>
      <c r="J197" s="398">
        <f>C197+D242-J242</f>
        <v>3606584</v>
      </c>
    </row>
    <row r="198" spans="1:18" ht="21" x14ac:dyDescent="0.25">
      <c r="A198" s="494" t="s">
        <v>7550</v>
      </c>
      <c r="B198" s="495"/>
      <c r="C198" s="393">
        <f t="shared" si="0"/>
        <v>8120369</v>
      </c>
      <c r="D198" s="394"/>
      <c r="E198" s="391"/>
      <c r="F198" s="391"/>
      <c r="G198" s="391"/>
      <c r="H198" s="391"/>
      <c r="I198" s="395" t="s">
        <v>7550</v>
      </c>
      <c r="J198" s="398">
        <f>'[1]IPC 47'!$F$204</f>
        <v>8120369</v>
      </c>
    </row>
    <row r="199" spans="1:18" ht="21" customHeight="1" x14ac:dyDescent="0.25">
      <c r="A199" s="494" t="s">
        <v>7551</v>
      </c>
      <c r="B199" s="495"/>
      <c r="C199" s="393">
        <f t="shared" si="0"/>
        <v>337764</v>
      </c>
      <c r="D199" s="394"/>
      <c r="E199" s="391"/>
      <c r="F199" s="391"/>
      <c r="G199" s="391"/>
      <c r="H199" s="391"/>
      <c r="I199" s="395" t="s">
        <v>7551</v>
      </c>
      <c r="J199" s="399">
        <f>C199</f>
        <v>337764</v>
      </c>
    </row>
    <row r="200" spans="1:18" ht="21.75" thickBot="1" x14ac:dyDescent="0.3">
      <c r="A200" s="496" t="s">
        <v>7552</v>
      </c>
      <c r="B200" s="497"/>
      <c r="C200" s="400">
        <f>SUM(C196:C199)</f>
        <v>16951101</v>
      </c>
      <c r="D200" s="401"/>
      <c r="E200" s="402"/>
      <c r="F200" s="402"/>
      <c r="G200" s="402"/>
      <c r="H200" s="402"/>
      <c r="I200" s="403" t="s">
        <v>7552</v>
      </c>
      <c r="J200" s="404">
        <f>SUM(J196:J199)</f>
        <v>13190175</v>
      </c>
    </row>
    <row r="201" spans="1:18" ht="8.25" customHeight="1" thickBot="1" x14ac:dyDescent="0.3">
      <c r="A201" s="4"/>
      <c r="B201" s="12"/>
      <c r="C201" s="12"/>
      <c r="D201" s="12"/>
      <c r="E201" s="12"/>
      <c r="F201" s="12"/>
      <c r="G201" s="12"/>
      <c r="H201" s="12"/>
      <c r="I201" s="12"/>
      <c r="J201" s="12"/>
    </row>
    <row r="202" spans="1:18" ht="26.25" x14ac:dyDescent="0.4">
      <c r="A202" s="498" t="s">
        <v>5366</v>
      </c>
      <c r="B202" s="484"/>
      <c r="C202" s="484"/>
      <c r="D202" s="484"/>
      <c r="E202" s="433"/>
      <c r="F202" s="484" t="s">
        <v>7549</v>
      </c>
      <c r="G202" s="484"/>
      <c r="H202" s="484"/>
      <c r="I202" s="484"/>
      <c r="J202" s="485"/>
    </row>
    <row r="203" spans="1:18" s="35" customFormat="1" ht="19.5" thickBot="1" x14ac:dyDescent="0.35">
      <c r="A203" s="406" t="s">
        <v>1</v>
      </c>
      <c r="B203" s="407" t="s">
        <v>3</v>
      </c>
      <c r="C203" s="407" t="s">
        <v>39</v>
      </c>
      <c r="D203" s="408" t="s">
        <v>7553</v>
      </c>
      <c r="E203" s="408"/>
      <c r="F203" s="407" t="s">
        <v>1</v>
      </c>
      <c r="G203" s="407" t="s">
        <v>7554</v>
      </c>
      <c r="H203" s="407" t="s">
        <v>39</v>
      </c>
      <c r="I203" s="407" t="s">
        <v>3</v>
      </c>
      <c r="J203" s="409" t="s">
        <v>7549</v>
      </c>
    </row>
    <row r="204" spans="1:18" s="311" customFormat="1" ht="15.75" x14ac:dyDescent="0.25">
      <c r="A204" s="410">
        <v>44356</v>
      </c>
      <c r="B204" s="419" t="s">
        <v>8211</v>
      </c>
      <c r="C204" s="412" t="s">
        <v>864</v>
      </c>
      <c r="D204" s="418">
        <v>139113</v>
      </c>
      <c r="E204" s="414"/>
      <c r="F204" s="410">
        <v>44349</v>
      </c>
      <c r="G204" s="415" t="s">
        <v>8188</v>
      </c>
      <c r="H204" s="416" t="s">
        <v>4333</v>
      </c>
      <c r="I204" s="417" t="s">
        <v>8187</v>
      </c>
      <c r="J204" s="418">
        <v>500000</v>
      </c>
    </row>
    <row r="205" spans="1:18" s="311" customFormat="1" ht="15.75" x14ac:dyDescent="0.25">
      <c r="A205" s="410">
        <v>44362</v>
      </c>
      <c r="B205" s="419" t="s">
        <v>8242</v>
      </c>
      <c r="C205" s="412" t="s">
        <v>864</v>
      </c>
      <c r="D205" s="418">
        <v>157140</v>
      </c>
      <c r="E205" s="418"/>
      <c r="F205" s="410">
        <v>44354</v>
      </c>
      <c r="G205" s="419">
        <v>1765307213</v>
      </c>
      <c r="H205" s="416" t="s">
        <v>864</v>
      </c>
      <c r="I205" s="417" t="s">
        <v>8202</v>
      </c>
      <c r="J205" s="418">
        <v>200000</v>
      </c>
    </row>
    <row r="206" spans="1:18" s="311" customFormat="1" ht="15.75" x14ac:dyDescent="0.25">
      <c r="A206" s="410">
        <v>44362</v>
      </c>
      <c r="B206" s="419" t="s">
        <v>8243</v>
      </c>
      <c r="C206" s="412" t="s">
        <v>864</v>
      </c>
      <c r="D206" s="418">
        <v>157140</v>
      </c>
      <c r="E206" s="418"/>
      <c r="F206" s="410">
        <v>44356</v>
      </c>
      <c r="G206" s="419">
        <v>1765307214</v>
      </c>
      <c r="H206" s="416" t="s">
        <v>864</v>
      </c>
      <c r="I206" s="423" t="s">
        <v>8207</v>
      </c>
      <c r="J206" s="418">
        <v>250000</v>
      </c>
    </row>
    <row r="207" spans="1:18" s="311" customFormat="1" ht="15.75" x14ac:dyDescent="0.25">
      <c r="A207" s="410">
        <v>44377</v>
      </c>
      <c r="B207" s="419" t="s">
        <v>8364</v>
      </c>
      <c r="C207" s="412" t="s">
        <v>864</v>
      </c>
      <c r="D207" s="418">
        <v>119150</v>
      </c>
      <c r="E207" s="418"/>
      <c r="F207" s="410">
        <v>44356</v>
      </c>
      <c r="G207" s="419">
        <v>1806422910</v>
      </c>
      <c r="H207" s="416" t="s">
        <v>864</v>
      </c>
      <c r="I207" s="423" t="s">
        <v>8207</v>
      </c>
      <c r="J207" s="418">
        <v>250000</v>
      </c>
    </row>
    <row r="208" spans="1:18" s="311" customFormat="1" ht="15.75" x14ac:dyDescent="0.25">
      <c r="A208" s="410">
        <v>44377</v>
      </c>
      <c r="B208" s="419" t="s">
        <v>8365</v>
      </c>
      <c r="C208" s="412" t="s">
        <v>864</v>
      </c>
      <c r="D208" s="418">
        <v>139113</v>
      </c>
      <c r="E208" s="417"/>
      <c r="F208" s="410">
        <v>44356</v>
      </c>
      <c r="G208" s="419">
        <v>1806422911</v>
      </c>
      <c r="H208" s="416" t="s">
        <v>864</v>
      </c>
      <c r="I208" s="423" t="s">
        <v>8208</v>
      </c>
      <c r="J208" s="418">
        <v>200000</v>
      </c>
      <c r="M208" s="340"/>
      <c r="R208" s="340"/>
    </row>
    <row r="209" spans="1:12" s="311" customFormat="1" ht="31.5" x14ac:dyDescent="0.25">
      <c r="A209" s="410">
        <v>44377</v>
      </c>
      <c r="B209" s="419" t="s">
        <v>8366</v>
      </c>
      <c r="C209" s="412" t="s">
        <v>864</v>
      </c>
      <c r="D209" s="418">
        <v>53505</v>
      </c>
      <c r="E209" s="417"/>
      <c r="F209" s="410">
        <v>44357</v>
      </c>
      <c r="G209" s="419">
        <v>1806422912</v>
      </c>
      <c r="H209" s="416" t="s">
        <v>864</v>
      </c>
      <c r="I209" s="423" t="s">
        <v>8212</v>
      </c>
      <c r="J209" s="418">
        <v>100000</v>
      </c>
    </row>
    <row r="210" spans="1:12" s="311" customFormat="1" ht="15.75" x14ac:dyDescent="0.25">
      <c r="A210" s="410"/>
      <c r="B210" s="418"/>
      <c r="C210" s="421"/>
      <c r="D210" s="417"/>
      <c r="E210" s="417"/>
      <c r="F210" s="410">
        <v>44357</v>
      </c>
      <c r="G210" s="419">
        <v>1806422913</v>
      </c>
      <c r="H210" s="416" t="s">
        <v>864</v>
      </c>
      <c r="I210" s="423" t="s">
        <v>5660</v>
      </c>
      <c r="J210" s="418">
        <v>80000</v>
      </c>
    </row>
    <row r="211" spans="1:12" s="311" customFormat="1" ht="15.75" x14ac:dyDescent="0.25">
      <c r="A211" s="419"/>
      <c r="B211" s="417"/>
      <c r="C211" s="417"/>
      <c r="D211" s="417"/>
      <c r="E211" s="417"/>
      <c r="F211" s="410">
        <v>44358</v>
      </c>
      <c r="G211" s="419">
        <v>1806422914</v>
      </c>
      <c r="H211" s="416" t="s">
        <v>864</v>
      </c>
      <c r="I211" s="423" t="s">
        <v>5660</v>
      </c>
      <c r="J211" s="418">
        <v>150000</v>
      </c>
    </row>
    <row r="212" spans="1:12" s="311" customFormat="1" ht="15.75" x14ac:dyDescent="0.25">
      <c r="A212" s="419"/>
      <c r="B212" s="417"/>
      <c r="C212" s="417"/>
      <c r="D212" s="417"/>
      <c r="E212" s="417"/>
      <c r="F212" s="410">
        <v>44364</v>
      </c>
      <c r="G212" s="419">
        <v>1806422915</v>
      </c>
      <c r="H212" s="416" t="s">
        <v>864</v>
      </c>
      <c r="I212" s="423" t="s">
        <v>5660</v>
      </c>
      <c r="J212" s="418">
        <v>250000</v>
      </c>
    </row>
    <row r="213" spans="1:12" s="311" customFormat="1" ht="15.75" x14ac:dyDescent="0.25">
      <c r="A213" s="419"/>
      <c r="B213" s="417"/>
      <c r="C213" s="417"/>
      <c r="D213" s="417"/>
      <c r="E213" s="417"/>
      <c r="F213" s="410">
        <v>44364</v>
      </c>
      <c r="G213" s="419">
        <v>1806422916</v>
      </c>
      <c r="H213" s="416" t="s">
        <v>864</v>
      </c>
      <c r="I213" s="423" t="s">
        <v>8250</v>
      </c>
      <c r="J213" s="418">
        <v>100000</v>
      </c>
      <c r="L213" s="340"/>
    </row>
    <row r="214" spans="1:12" s="311" customFormat="1" ht="15.75" x14ac:dyDescent="0.25">
      <c r="A214" s="419"/>
      <c r="B214" s="417"/>
      <c r="C214" s="417"/>
      <c r="D214" s="417"/>
      <c r="E214" s="417"/>
      <c r="F214" s="410">
        <v>44368</v>
      </c>
      <c r="G214" s="419">
        <v>1806422917</v>
      </c>
      <c r="H214" s="416" t="s">
        <v>864</v>
      </c>
      <c r="I214" s="423" t="s">
        <v>5660</v>
      </c>
      <c r="J214" s="418">
        <v>100000</v>
      </c>
    </row>
    <row r="215" spans="1:12" s="311" customFormat="1" ht="15.75" x14ac:dyDescent="0.25">
      <c r="A215" s="419"/>
      <c r="B215" s="417"/>
      <c r="C215" s="417"/>
      <c r="D215" s="417"/>
      <c r="E215" s="417"/>
      <c r="F215" s="410">
        <v>44368</v>
      </c>
      <c r="G215" s="419">
        <v>1806422918</v>
      </c>
      <c r="H215" s="416" t="s">
        <v>864</v>
      </c>
      <c r="I215" s="423" t="s">
        <v>8265</v>
      </c>
      <c r="J215" s="418">
        <v>50000</v>
      </c>
    </row>
    <row r="216" spans="1:12" s="311" customFormat="1" ht="15.75" x14ac:dyDescent="0.25">
      <c r="A216" s="419"/>
      <c r="B216" s="417"/>
      <c r="C216" s="417"/>
      <c r="D216" s="417"/>
      <c r="E216" s="417"/>
      <c r="F216" s="410">
        <v>44368</v>
      </c>
      <c r="G216" s="436" t="s">
        <v>8267</v>
      </c>
      <c r="H216" s="422" t="s">
        <v>4333</v>
      </c>
      <c r="I216" s="423" t="s">
        <v>5660</v>
      </c>
      <c r="J216" s="418">
        <v>150000</v>
      </c>
    </row>
    <row r="217" spans="1:12" s="311" customFormat="1" ht="15.75" x14ac:dyDescent="0.25">
      <c r="A217" s="419"/>
      <c r="B217" s="417"/>
      <c r="C217" s="417"/>
      <c r="D217" s="417"/>
      <c r="E217" s="417"/>
      <c r="F217" s="410">
        <v>44369</v>
      </c>
      <c r="G217" s="419">
        <v>1806422919</v>
      </c>
      <c r="H217" s="422" t="s">
        <v>864</v>
      </c>
      <c r="I217" s="423" t="s">
        <v>8282</v>
      </c>
      <c r="J217" s="418">
        <v>66250</v>
      </c>
    </row>
    <row r="218" spans="1:12" s="311" customFormat="1" ht="15.75" x14ac:dyDescent="0.25">
      <c r="A218" s="419"/>
      <c r="B218" s="417"/>
      <c r="C218" s="417"/>
      <c r="D218" s="417"/>
      <c r="E218" s="417"/>
      <c r="F218" s="410">
        <v>44370</v>
      </c>
      <c r="G218" s="419">
        <v>1806422920</v>
      </c>
      <c r="H218" s="422" t="s">
        <v>864</v>
      </c>
      <c r="I218" s="423" t="s">
        <v>5660</v>
      </c>
      <c r="J218" s="418">
        <v>150000</v>
      </c>
    </row>
    <row r="219" spans="1:12" s="311" customFormat="1" ht="15.75" x14ac:dyDescent="0.25">
      <c r="A219" s="419"/>
      <c r="B219" s="417"/>
      <c r="C219" s="417"/>
      <c r="D219" s="417"/>
      <c r="E219" s="417"/>
      <c r="F219" s="410">
        <v>44371</v>
      </c>
      <c r="G219" s="436" t="s">
        <v>8296</v>
      </c>
      <c r="H219" s="422" t="s">
        <v>4333</v>
      </c>
      <c r="I219" s="423" t="s">
        <v>5660</v>
      </c>
      <c r="J219" s="418">
        <v>150000</v>
      </c>
    </row>
    <row r="220" spans="1:12" s="311" customFormat="1" ht="15.75" x14ac:dyDescent="0.25">
      <c r="A220" s="419"/>
      <c r="B220" s="417"/>
      <c r="C220" s="417"/>
      <c r="D220" s="417"/>
      <c r="E220" s="417"/>
      <c r="F220" s="410">
        <v>44371</v>
      </c>
      <c r="G220" s="436" t="s">
        <v>8297</v>
      </c>
      <c r="H220" s="422" t="s">
        <v>4333</v>
      </c>
      <c r="I220" s="425" t="s">
        <v>8298</v>
      </c>
      <c r="J220" s="418">
        <v>28800</v>
      </c>
    </row>
    <row r="221" spans="1:12" s="311" customFormat="1" ht="15.75" x14ac:dyDescent="0.25">
      <c r="A221" s="419"/>
      <c r="B221" s="417"/>
      <c r="C221" s="417"/>
      <c r="D221" s="417"/>
      <c r="E221" s="417"/>
      <c r="F221" s="410">
        <v>44372</v>
      </c>
      <c r="G221" s="436" t="s">
        <v>8306</v>
      </c>
      <c r="H221" s="422" t="s">
        <v>4333</v>
      </c>
      <c r="I221" s="423" t="s">
        <v>5660</v>
      </c>
      <c r="J221" s="418">
        <v>100000</v>
      </c>
    </row>
    <row r="222" spans="1:12" s="311" customFormat="1" ht="15.75" x14ac:dyDescent="0.25">
      <c r="A222" s="419"/>
      <c r="B222" s="417"/>
      <c r="C222" s="417"/>
      <c r="D222" s="417"/>
      <c r="E222" s="417"/>
      <c r="F222" s="410">
        <v>44372</v>
      </c>
      <c r="G222" s="436" t="s">
        <v>8307</v>
      </c>
      <c r="H222" s="422" t="s">
        <v>4333</v>
      </c>
      <c r="I222" s="425" t="s">
        <v>8308</v>
      </c>
      <c r="J222" s="418">
        <v>150000</v>
      </c>
    </row>
    <row r="223" spans="1:12" s="311" customFormat="1" ht="15.75" x14ac:dyDescent="0.25">
      <c r="A223" s="419"/>
      <c r="B223" s="417"/>
      <c r="C223" s="417"/>
      <c r="D223" s="417"/>
      <c r="E223" s="417"/>
      <c r="F223" s="410">
        <v>44373</v>
      </c>
      <c r="G223" s="436" t="s">
        <v>8315</v>
      </c>
      <c r="H223" s="422" t="s">
        <v>4333</v>
      </c>
      <c r="I223" s="425" t="s">
        <v>8323</v>
      </c>
      <c r="J223" s="418">
        <v>0</v>
      </c>
    </row>
    <row r="224" spans="1:12" s="311" customFormat="1" ht="15.75" x14ac:dyDescent="0.25">
      <c r="A224" s="419"/>
      <c r="B224" s="417"/>
      <c r="C224" s="417"/>
      <c r="D224" s="417"/>
      <c r="E224" s="417"/>
      <c r="F224" s="410">
        <v>44373</v>
      </c>
      <c r="G224" s="436" t="s">
        <v>8316</v>
      </c>
      <c r="H224" s="422" t="s">
        <v>4333</v>
      </c>
      <c r="I224" s="425" t="s">
        <v>8322</v>
      </c>
      <c r="J224" s="418">
        <v>30000</v>
      </c>
    </row>
    <row r="225" spans="1:10" s="311" customFormat="1" ht="15.75" x14ac:dyDescent="0.25">
      <c r="A225" s="419"/>
      <c r="B225" s="417"/>
      <c r="C225" s="417"/>
      <c r="D225" s="417"/>
      <c r="E225" s="417"/>
      <c r="F225" s="410">
        <v>44373</v>
      </c>
      <c r="G225" s="436" t="s">
        <v>8317</v>
      </c>
      <c r="H225" s="422" t="s">
        <v>4333</v>
      </c>
      <c r="I225" s="425" t="s">
        <v>8323</v>
      </c>
      <c r="J225" s="418"/>
    </row>
    <row r="226" spans="1:10" s="311" customFormat="1" ht="15.75" x14ac:dyDescent="0.25">
      <c r="A226" s="419"/>
      <c r="B226" s="417"/>
      <c r="C226" s="417"/>
      <c r="D226" s="417"/>
      <c r="E226" s="417"/>
      <c r="F226" s="410">
        <v>44373</v>
      </c>
      <c r="G226" s="436" t="s">
        <v>8318</v>
      </c>
      <c r="H226" s="422" t="s">
        <v>4333</v>
      </c>
      <c r="I226" s="423" t="s">
        <v>8096</v>
      </c>
      <c r="J226" s="418">
        <v>35000</v>
      </c>
    </row>
    <row r="227" spans="1:10" s="311" customFormat="1" ht="15.75" x14ac:dyDescent="0.25">
      <c r="A227" s="419"/>
      <c r="B227" s="417"/>
      <c r="C227" s="417"/>
      <c r="D227" s="417"/>
      <c r="E227" s="417"/>
      <c r="F227" s="410">
        <v>44373</v>
      </c>
      <c r="G227" s="436" t="s">
        <v>8319</v>
      </c>
      <c r="H227" s="422" t="s">
        <v>4333</v>
      </c>
      <c r="I227" s="423" t="s">
        <v>7387</v>
      </c>
      <c r="J227" s="418">
        <v>70000</v>
      </c>
    </row>
    <row r="228" spans="1:10" s="311" customFormat="1" ht="15.75" x14ac:dyDescent="0.25">
      <c r="A228" s="419"/>
      <c r="B228" s="417"/>
      <c r="C228" s="417"/>
      <c r="D228" s="417"/>
      <c r="E228" s="417"/>
      <c r="F228" s="410">
        <v>44373</v>
      </c>
      <c r="G228" s="436" t="s">
        <v>8320</v>
      </c>
      <c r="H228" s="422" t="s">
        <v>4333</v>
      </c>
      <c r="I228" s="423" t="s">
        <v>8326</v>
      </c>
      <c r="J228" s="418">
        <v>100000</v>
      </c>
    </row>
    <row r="229" spans="1:10" s="311" customFormat="1" ht="15.75" x14ac:dyDescent="0.25">
      <c r="A229" s="419"/>
      <c r="B229" s="417"/>
      <c r="C229" s="417"/>
      <c r="D229" s="417"/>
      <c r="E229" s="417"/>
      <c r="F229" s="410">
        <v>44373</v>
      </c>
      <c r="G229" s="436" t="s">
        <v>8321</v>
      </c>
      <c r="H229" s="422" t="s">
        <v>4333</v>
      </c>
      <c r="I229" s="423" t="s">
        <v>8327</v>
      </c>
      <c r="J229" s="418">
        <v>50000</v>
      </c>
    </row>
    <row r="230" spans="1:10" s="311" customFormat="1" ht="15.75" x14ac:dyDescent="0.25">
      <c r="A230" s="419"/>
      <c r="B230" s="417"/>
      <c r="C230" s="417"/>
      <c r="D230" s="417"/>
      <c r="E230" s="417"/>
      <c r="F230" s="410">
        <v>44373</v>
      </c>
      <c r="G230" s="436" t="s">
        <v>8324</v>
      </c>
      <c r="H230" s="422" t="s">
        <v>4333</v>
      </c>
      <c r="I230" s="423" t="s">
        <v>8329</v>
      </c>
      <c r="J230" s="418">
        <v>200000</v>
      </c>
    </row>
    <row r="231" spans="1:10" s="311" customFormat="1" ht="15.75" x14ac:dyDescent="0.25">
      <c r="A231" s="419"/>
      <c r="B231" s="417"/>
      <c r="C231" s="417"/>
      <c r="D231" s="417"/>
      <c r="E231" s="417"/>
      <c r="F231" s="410">
        <v>44373</v>
      </c>
      <c r="G231" s="436" t="s">
        <v>8325</v>
      </c>
      <c r="H231" s="422" t="s">
        <v>4333</v>
      </c>
      <c r="I231" s="423" t="s">
        <v>8329</v>
      </c>
      <c r="J231" s="418">
        <v>164000</v>
      </c>
    </row>
    <row r="232" spans="1:10" s="311" customFormat="1" ht="15.75" x14ac:dyDescent="0.25">
      <c r="A232" s="419"/>
      <c r="B232" s="417"/>
      <c r="C232" s="417"/>
      <c r="D232" s="417"/>
      <c r="E232" s="417"/>
      <c r="F232" s="410">
        <v>44373</v>
      </c>
      <c r="G232" s="436" t="s">
        <v>8328</v>
      </c>
      <c r="H232" s="422" t="s">
        <v>4333</v>
      </c>
      <c r="I232" s="423" t="s">
        <v>8330</v>
      </c>
      <c r="J232" s="418">
        <v>207659</v>
      </c>
    </row>
    <row r="233" spans="1:10" s="311" customFormat="1" ht="15.75" x14ac:dyDescent="0.25">
      <c r="A233" s="419"/>
      <c r="B233" s="417"/>
      <c r="C233" s="417"/>
      <c r="D233" s="417"/>
      <c r="E233" s="417"/>
      <c r="F233" s="410">
        <v>44375</v>
      </c>
      <c r="G233" s="419">
        <v>1806422921</v>
      </c>
      <c r="H233" s="422" t="s">
        <v>864</v>
      </c>
      <c r="I233" s="423" t="s">
        <v>5660</v>
      </c>
      <c r="J233" s="418">
        <v>100000</v>
      </c>
    </row>
    <row r="234" spans="1:10" s="311" customFormat="1" ht="15.75" x14ac:dyDescent="0.25">
      <c r="A234" s="419"/>
      <c r="B234" s="417"/>
      <c r="C234" s="417"/>
      <c r="D234" s="417"/>
      <c r="E234" s="417"/>
      <c r="F234" s="410">
        <v>44377</v>
      </c>
      <c r="G234" s="419">
        <v>1806422922</v>
      </c>
      <c r="H234" s="422" t="s">
        <v>864</v>
      </c>
      <c r="I234" s="423" t="s">
        <v>5660</v>
      </c>
      <c r="J234" s="418">
        <v>279000</v>
      </c>
    </row>
    <row r="235" spans="1:10" s="311" customFormat="1" ht="15.75" x14ac:dyDescent="0.25">
      <c r="A235" s="419"/>
      <c r="B235" s="417"/>
      <c r="C235" s="417"/>
      <c r="D235" s="417"/>
      <c r="E235" s="417"/>
      <c r="F235" s="410">
        <v>44375</v>
      </c>
      <c r="G235" s="436" t="s">
        <v>8359</v>
      </c>
      <c r="H235" s="422" t="s">
        <v>4333</v>
      </c>
      <c r="I235" s="423" t="s">
        <v>8362</v>
      </c>
      <c r="J235" s="418">
        <v>60000</v>
      </c>
    </row>
    <row r="236" spans="1:10" s="311" customFormat="1" ht="15.75" x14ac:dyDescent="0.25">
      <c r="A236" s="419"/>
      <c r="B236" s="417"/>
      <c r="C236" s="417"/>
      <c r="D236" s="417"/>
      <c r="E236" s="417"/>
      <c r="F236" s="410">
        <v>44375</v>
      </c>
      <c r="G236" s="436" t="s">
        <v>8360</v>
      </c>
      <c r="H236" s="422" t="s">
        <v>4333</v>
      </c>
      <c r="I236" s="423" t="s">
        <v>8362</v>
      </c>
      <c r="J236" s="418">
        <v>78000</v>
      </c>
    </row>
    <row r="237" spans="1:10" s="311" customFormat="1" ht="15.75" x14ac:dyDescent="0.25">
      <c r="A237" s="419"/>
      <c r="B237" s="417"/>
      <c r="C237" s="417"/>
      <c r="D237" s="417"/>
      <c r="E237" s="417"/>
      <c r="F237" s="410">
        <v>44377</v>
      </c>
      <c r="G237" s="436" t="s">
        <v>8361</v>
      </c>
      <c r="H237" s="422" t="s">
        <v>4333</v>
      </c>
      <c r="I237" s="423" t="s">
        <v>8363</v>
      </c>
      <c r="J237" s="418">
        <v>127378</v>
      </c>
    </row>
    <row r="238" spans="1:10" s="311" customFormat="1" ht="18.75" x14ac:dyDescent="0.3">
      <c r="A238" s="486" t="s">
        <v>7577</v>
      </c>
      <c r="B238" s="487"/>
      <c r="C238" s="488"/>
      <c r="D238" s="426">
        <f>SUM(D204:D237)</f>
        <v>765161</v>
      </c>
      <c r="E238" s="427"/>
      <c r="F238" s="489" t="s">
        <v>7577</v>
      </c>
      <c r="G238" s="490"/>
      <c r="H238" s="490"/>
      <c r="I238" s="491"/>
      <c r="J238" s="428">
        <f>SUM(J204:J237)</f>
        <v>4526087</v>
      </c>
    </row>
    <row r="239" spans="1:10" x14ac:dyDescent="0.25">
      <c r="J239" s="154"/>
    </row>
    <row r="240" spans="1:10" x14ac:dyDescent="0.25">
      <c r="J240" s="154"/>
    </row>
    <row r="241" spans="1:10" x14ac:dyDescent="0.25">
      <c r="C241" s="8" t="s">
        <v>4333</v>
      </c>
      <c r="D241" s="8">
        <f>SUMIF(C204:C237,C241,D204:D237)</f>
        <v>0</v>
      </c>
      <c r="I241" s="8" t="s">
        <v>4333</v>
      </c>
      <c r="J241" s="91">
        <f>SUMIF(H204:H237,I241,J204:J237)</f>
        <v>2200837</v>
      </c>
    </row>
    <row r="242" spans="1:10" x14ac:dyDescent="0.25">
      <c r="C242" s="8" t="s">
        <v>864</v>
      </c>
      <c r="D242" s="8">
        <f>SUMIF(C204:C237,C242,D204:D237)</f>
        <v>765161</v>
      </c>
      <c r="I242" s="8" t="s">
        <v>864</v>
      </c>
      <c r="J242" s="91">
        <f>SUMIF(H205:H237,I242,J205:J237)</f>
        <v>2325250</v>
      </c>
    </row>
    <row r="243" spans="1:10" x14ac:dyDescent="0.25">
      <c r="C243" s="8" t="s">
        <v>7577</v>
      </c>
      <c r="D243" s="8">
        <f>SUM(D241:D242)</f>
        <v>765161</v>
      </c>
      <c r="I243" s="8" t="s">
        <v>7579</v>
      </c>
      <c r="J243" s="8">
        <f>SUM(J241:J242)</f>
        <v>4526087</v>
      </c>
    </row>
    <row r="244" spans="1:10" ht="15.75" thickBot="1" x14ac:dyDescent="0.3"/>
    <row r="245" spans="1:10" ht="28.5" x14ac:dyDescent="0.45">
      <c r="A245" s="499" t="s">
        <v>7548</v>
      </c>
      <c r="B245" s="500"/>
      <c r="C245" s="500"/>
      <c r="D245" s="500"/>
      <c r="E245" s="500"/>
      <c r="F245" s="500"/>
      <c r="G245" s="500"/>
      <c r="H245" s="500"/>
      <c r="I245" s="500"/>
      <c r="J245" s="501"/>
    </row>
    <row r="246" spans="1:10" ht="28.5" x14ac:dyDescent="0.45">
      <c r="A246" s="502" t="s">
        <v>8367</v>
      </c>
      <c r="B246" s="503"/>
      <c r="C246" s="503"/>
      <c r="D246" s="503"/>
      <c r="E246" s="503"/>
      <c r="F246" s="503"/>
      <c r="G246" s="503"/>
      <c r="H246" s="503"/>
      <c r="I246" s="503"/>
      <c r="J246" s="504"/>
    </row>
    <row r="247" spans="1:10" ht="32.25" thickBot="1" x14ac:dyDescent="0.55000000000000004">
      <c r="A247" s="505" t="s">
        <v>865</v>
      </c>
      <c r="B247" s="506"/>
      <c r="C247" s="506"/>
      <c r="D247" s="506"/>
      <c r="E247" s="506"/>
      <c r="F247" s="506"/>
      <c r="G247" s="506"/>
      <c r="H247" s="506"/>
      <c r="I247" s="506"/>
      <c r="J247" s="507"/>
    </row>
    <row r="248" spans="1:10" ht="21" customHeight="1" x14ac:dyDescent="0.25">
      <c r="A248" s="508" t="s">
        <v>7643</v>
      </c>
      <c r="B248" s="509"/>
      <c r="C248" s="389" t="s">
        <v>8186</v>
      </c>
      <c r="D248" s="390"/>
      <c r="E248" s="391"/>
      <c r="F248" s="391"/>
      <c r="G248" s="391"/>
      <c r="H248" s="391"/>
      <c r="I248" s="443" t="s">
        <v>7637</v>
      </c>
      <c r="J248" s="396">
        <f ca="1">TODAY()</f>
        <v>44393</v>
      </c>
    </row>
    <row r="249" spans="1:10" ht="21" x14ac:dyDescent="0.3">
      <c r="A249" s="492" t="s">
        <v>4333</v>
      </c>
      <c r="B249" s="493"/>
      <c r="C249" s="393">
        <f>J196</f>
        <v>1125458</v>
      </c>
      <c r="D249" s="394"/>
      <c r="E249" s="391"/>
      <c r="F249" s="391"/>
      <c r="G249" s="391"/>
      <c r="H249" s="391"/>
      <c r="I249" s="395" t="s">
        <v>4333</v>
      </c>
      <c r="J249" s="397">
        <f>C249+D294-J294</f>
        <v>2795458</v>
      </c>
    </row>
    <row r="250" spans="1:10" ht="21" x14ac:dyDescent="0.25">
      <c r="A250" s="492" t="s">
        <v>864</v>
      </c>
      <c r="B250" s="493"/>
      <c r="C250" s="393">
        <f>J197</f>
        <v>3606584</v>
      </c>
      <c r="D250" s="394"/>
      <c r="E250" s="391"/>
      <c r="F250" s="391"/>
      <c r="G250" s="391"/>
      <c r="H250" s="391"/>
      <c r="I250" s="395" t="s">
        <v>864</v>
      </c>
      <c r="J250" s="398">
        <f>C250+D295-J295</f>
        <v>10257118</v>
      </c>
    </row>
    <row r="251" spans="1:10" ht="21" x14ac:dyDescent="0.25">
      <c r="A251" s="494" t="s">
        <v>7550</v>
      </c>
      <c r="B251" s="495"/>
      <c r="C251" s="398">
        <f>'[1]IPC 47'!$F$204</f>
        <v>8120369</v>
      </c>
      <c r="D251" s="394"/>
      <c r="E251" s="391"/>
      <c r="F251" s="391"/>
      <c r="G251" s="391"/>
      <c r="H251" s="391"/>
      <c r="I251" s="395" t="s">
        <v>7550</v>
      </c>
      <c r="J251" s="398">
        <f>'[1]IPC 47'!$F$204</f>
        <v>8120369</v>
      </c>
    </row>
    <row r="252" spans="1:10" ht="21" customHeight="1" x14ac:dyDescent="0.25">
      <c r="A252" s="494" t="s">
        <v>7551</v>
      </c>
      <c r="B252" s="495"/>
      <c r="C252" s="399">
        <f>Nadeem!E997</f>
        <v>337764</v>
      </c>
      <c r="D252" s="394"/>
      <c r="E252" s="391"/>
      <c r="F252" s="391"/>
      <c r="G252" s="391"/>
      <c r="H252" s="391"/>
      <c r="I252" s="395" t="s">
        <v>7551</v>
      </c>
      <c r="J252" s="399">
        <f>C252</f>
        <v>337764</v>
      </c>
    </row>
    <row r="253" spans="1:10" ht="21.75" thickBot="1" x14ac:dyDescent="0.3">
      <c r="A253" s="496" t="s">
        <v>7552</v>
      </c>
      <c r="B253" s="497"/>
      <c r="C253" s="400">
        <f>SUM(C249:C252)</f>
        <v>13190175</v>
      </c>
      <c r="D253" s="401"/>
      <c r="E253" s="402"/>
      <c r="F253" s="402"/>
      <c r="G253" s="402"/>
      <c r="H253" s="402"/>
      <c r="I253" s="403" t="s">
        <v>7552</v>
      </c>
      <c r="J253" s="404">
        <f>SUM(J249:J252)</f>
        <v>21510709</v>
      </c>
    </row>
    <row r="254" spans="1:10" ht="8.25" customHeight="1" thickBot="1" x14ac:dyDescent="0.3">
      <c r="A254" s="4"/>
      <c r="B254" s="12"/>
      <c r="C254" s="12"/>
      <c r="D254" s="12"/>
      <c r="E254" s="12"/>
      <c r="F254" s="12"/>
      <c r="G254" s="12"/>
      <c r="H254" s="12"/>
      <c r="I254" s="12"/>
      <c r="J254" s="12"/>
    </row>
    <row r="255" spans="1:10" ht="26.25" x14ac:dyDescent="0.4">
      <c r="A255" s="498" t="s">
        <v>5366</v>
      </c>
      <c r="B255" s="484"/>
      <c r="C255" s="484"/>
      <c r="D255" s="484"/>
      <c r="E255" s="442"/>
      <c r="F255" s="484" t="s">
        <v>7549</v>
      </c>
      <c r="G255" s="484"/>
      <c r="H255" s="484"/>
      <c r="I255" s="484"/>
      <c r="J255" s="485"/>
    </row>
    <row r="256" spans="1:10" s="35" customFormat="1" ht="19.5" thickBot="1" x14ac:dyDescent="0.35">
      <c r="A256" s="406" t="s">
        <v>1</v>
      </c>
      <c r="B256" s="407" t="s">
        <v>3</v>
      </c>
      <c r="C256" s="407" t="s">
        <v>39</v>
      </c>
      <c r="D256" s="408" t="s">
        <v>7553</v>
      </c>
      <c r="E256" s="408"/>
      <c r="F256" s="407" t="s">
        <v>1</v>
      </c>
      <c r="G256" s="407" t="s">
        <v>7554</v>
      </c>
      <c r="H256" s="407" t="s">
        <v>39</v>
      </c>
      <c r="I256" s="407" t="s">
        <v>3</v>
      </c>
      <c r="J256" s="409" t="s">
        <v>7549</v>
      </c>
    </row>
    <row r="257" spans="1:18" s="311" customFormat="1" ht="15.75" x14ac:dyDescent="0.25">
      <c r="A257" s="410">
        <v>44378</v>
      </c>
      <c r="B257" s="411" t="s">
        <v>8368</v>
      </c>
      <c r="C257" s="412" t="s">
        <v>864</v>
      </c>
      <c r="D257" s="418">
        <v>6012500</v>
      </c>
      <c r="E257" s="414"/>
      <c r="F257" s="410">
        <v>44378</v>
      </c>
      <c r="G257" s="419">
        <v>1806422923</v>
      </c>
      <c r="H257" s="416" t="s">
        <v>864</v>
      </c>
      <c r="I257" s="417" t="s">
        <v>8370</v>
      </c>
      <c r="J257" s="418">
        <v>750000</v>
      </c>
    </row>
    <row r="258" spans="1:18" s="311" customFormat="1" ht="15.75" x14ac:dyDescent="0.25">
      <c r="A258" s="410">
        <v>44378</v>
      </c>
      <c r="B258" s="411" t="s">
        <v>8369</v>
      </c>
      <c r="C258" s="412" t="s">
        <v>864</v>
      </c>
      <c r="D258" s="418">
        <v>1500000</v>
      </c>
      <c r="E258" s="418"/>
      <c r="F258" s="410">
        <v>44378</v>
      </c>
      <c r="G258" s="419">
        <v>1806422924</v>
      </c>
      <c r="H258" s="416" t="s">
        <v>864</v>
      </c>
      <c r="I258" s="417" t="s">
        <v>8370</v>
      </c>
      <c r="J258" s="418">
        <v>750000</v>
      </c>
    </row>
    <row r="259" spans="1:18" s="311" customFormat="1" ht="15.75" x14ac:dyDescent="0.25">
      <c r="A259" s="410">
        <v>44383</v>
      </c>
      <c r="B259" s="419" t="s">
        <v>8461</v>
      </c>
      <c r="C259" s="412" t="s">
        <v>4333</v>
      </c>
      <c r="D259" s="418">
        <v>1850000</v>
      </c>
      <c r="E259" s="418"/>
      <c r="F259" s="410">
        <v>44378</v>
      </c>
      <c r="G259" s="419">
        <v>1806422925</v>
      </c>
      <c r="H259" s="416" t="s">
        <v>864</v>
      </c>
      <c r="I259" s="423" t="s">
        <v>8371</v>
      </c>
      <c r="J259" s="418">
        <v>700000</v>
      </c>
    </row>
    <row r="260" spans="1:18" s="311" customFormat="1" ht="15.75" x14ac:dyDescent="0.25">
      <c r="A260" s="410">
        <v>44385</v>
      </c>
      <c r="B260" s="450" t="s">
        <v>8462</v>
      </c>
      <c r="C260" s="412" t="s">
        <v>864</v>
      </c>
      <c r="D260" s="418">
        <v>625014</v>
      </c>
      <c r="E260" s="418"/>
      <c r="F260" s="410">
        <v>44385</v>
      </c>
      <c r="G260" s="436" t="s">
        <v>8454</v>
      </c>
      <c r="H260" s="416" t="s">
        <v>4333</v>
      </c>
      <c r="I260" s="423" t="s">
        <v>8457</v>
      </c>
      <c r="J260" s="418">
        <v>50000</v>
      </c>
    </row>
    <row r="261" spans="1:18" s="311" customFormat="1" ht="15.75" x14ac:dyDescent="0.25">
      <c r="A261" s="410">
        <v>44385</v>
      </c>
      <c r="B261" s="419" t="s">
        <v>8463</v>
      </c>
      <c r="C261" s="412" t="s">
        <v>864</v>
      </c>
      <c r="D261" s="418">
        <v>454725</v>
      </c>
      <c r="E261" s="417"/>
      <c r="F261" s="410">
        <v>44391</v>
      </c>
      <c r="G261" s="436" t="s">
        <v>8455</v>
      </c>
      <c r="H261" s="416" t="s">
        <v>4333</v>
      </c>
      <c r="I261" s="423" t="s">
        <v>8458</v>
      </c>
      <c r="J261" s="418">
        <v>80000</v>
      </c>
      <c r="M261" s="340"/>
      <c r="R261" s="340"/>
    </row>
    <row r="262" spans="1:18" s="311" customFormat="1" ht="15.75" x14ac:dyDescent="0.25">
      <c r="A262" s="410"/>
      <c r="B262" s="419"/>
      <c r="C262" s="412"/>
      <c r="D262" s="418"/>
      <c r="E262" s="417"/>
      <c r="F262" s="410">
        <v>44391</v>
      </c>
      <c r="G262" s="436" t="s">
        <v>8456</v>
      </c>
      <c r="H262" s="416" t="s">
        <v>4333</v>
      </c>
      <c r="I262" s="423" t="s">
        <v>8459</v>
      </c>
      <c r="J262" s="418">
        <v>50000</v>
      </c>
    </row>
    <row r="263" spans="1:18" s="311" customFormat="1" ht="15.75" x14ac:dyDescent="0.25">
      <c r="A263" s="410"/>
      <c r="B263" s="418"/>
      <c r="C263" s="421"/>
      <c r="D263" s="417"/>
      <c r="E263" s="417"/>
      <c r="F263" s="410">
        <v>44383</v>
      </c>
      <c r="G263" s="419">
        <v>1806422926</v>
      </c>
      <c r="H263" s="416" t="s">
        <v>864</v>
      </c>
      <c r="I263" s="423" t="s">
        <v>8460</v>
      </c>
      <c r="J263" s="418">
        <v>291705</v>
      </c>
    </row>
    <row r="264" spans="1:18" s="311" customFormat="1" ht="15.75" x14ac:dyDescent="0.25">
      <c r="A264" s="419"/>
      <c r="B264" s="417"/>
      <c r="C264" s="417"/>
      <c r="D264" s="417"/>
      <c r="E264" s="417"/>
      <c r="F264" s="410">
        <v>44390</v>
      </c>
      <c r="G264" s="419">
        <v>1806422927</v>
      </c>
      <c r="H264" s="416" t="s">
        <v>864</v>
      </c>
      <c r="I264" s="423" t="s">
        <v>5660</v>
      </c>
      <c r="J264" s="418">
        <v>200000</v>
      </c>
    </row>
    <row r="265" spans="1:18" s="311" customFormat="1" ht="15.75" x14ac:dyDescent="0.25">
      <c r="A265" s="419"/>
      <c r="B265" s="417"/>
      <c r="C265" s="417"/>
      <c r="D265" s="417"/>
      <c r="E265" s="417"/>
      <c r="F265" s="410"/>
      <c r="G265" s="419"/>
      <c r="H265" s="416"/>
      <c r="I265" s="423"/>
      <c r="J265" s="418"/>
    </row>
    <row r="266" spans="1:18" s="311" customFormat="1" ht="15.75" x14ac:dyDescent="0.25">
      <c r="A266" s="419"/>
      <c r="B266" s="417"/>
      <c r="C266" s="417"/>
      <c r="D266" s="417"/>
      <c r="E266" s="417"/>
      <c r="F266" s="410"/>
      <c r="G266" s="419"/>
      <c r="H266" s="416"/>
      <c r="I266" s="423"/>
      <c r="J266" s="418"/>
      <c r="L266" s="340"/>
    </row>
    <row r="267" spans="1:18" s="311" customFormat="1" ht="15.75" x14ac:dyDescent="0.25">
      <c r="A267" s="419"/>
      <c r="B267" s="417"/>
      <c r="C267" s="417"/>
      <c r="D267" s="417"/>
      <c r="E267" s="417"/>
      <c r="F267" s="410"/>
      <c r="G267" s="419"/>
      <c r="H267" s="416"/>
      <c r="I267" s="423"/>
      <c r="J267" s="418"/>
    </row>
    <row r="268" spans="1:18" s="311" customFormat="1" ht="15.75" x14ac:dyDescent="0.25">
      <c r="A268" s="419"/>
      <c r="B268" s="417"/>
      <c r="C268" s="417"/>
      <c r="D268" s="417"/>
      <c r="E268" s="417"/>
      <c r="F268" s="410"/>
      <c r="G268" s="419"/>
      <c r="H268" s="416"/>
      <c r="I268" s="423"/>
      <c r="J268" s="418"/>
    </row>
    <row r="269" spans="1:18" s="311" customFormat="1" ht="15.75" x14ac:dyDescent="0.25">
      <c r="A269" s="419"/>
      <c r="B269" s="417"/>
      <c r="C269" s="417"/>
      <c r="D269" s="417"/>
      <c r="E269" s="417"/>
      <c r="F269" s="410"/>
      <c r="G269" s="436"/>
      <c r="H269" s="422"/>
      <c r="I269" s="423"/>
      <c r="J269" s="418"/>
    </row>
    <row r="270" spans="1:18" s="311" customFormat="1" ht="15.75" x14ac:dyDescent="0.25">
      <c r="A270" s="419"/>
      <c r="B270" s="417"/>
      <c r="C270" s="417"/>
      <c r="D270" s="417"/>
      <c r="E270" s="417"/>
      <c r="F270" s="410"/>
      <c r="G270" s="419"/>
      <c r="H270" s="422"/>
      <c r="I270" s="423"/>
      <c r="J270" s="418"/>
    </row>
    <row r="271" spans="1:18" s="311" customFormat="1" ht="15.75" x14ac:dyDescent="0.25">
      <c r="A271" s="419"/>
      <c r="B271" s="417"/>
      <c r="C271" s="417"/>
      <c r="D271" s="417"/>
      <c r="E271" s="417"/>
      <c r="F271" s="410"/>
      <c r="G271" s="419"/>
      <c r="H271" s="422"/>
      <c r="I271" s="423"/>
      <c r="J271" s="418"/>
    </row>
    <row r="272" spans="1:18" s="311" customFormat="1" ht="15.75" x14ac:dyDescent="0.25">
      <c r="A272" s="419"/>
      <c r="B272" s="417"/>
      <c r="C272" s="417"/>
      <c r="D272" s="417"/>
      <c r="E272" s="417"/>
      <c r="F272" s="410"/>
      <c r="G272" s="436"/>
      <c r="H272" s="422"/>
      <c r="I272" s="423"/>
      <c r="J272" s="418"/>
    </row>
    <row r="273" spans="1:10" s="311" customFormat="1" ht="15.75" x14ac:dyDescent="0.25">
      <c r="A273" s="419"/>
      <c r="B273" s="417"/>
      <c r="C273" s="417"/>
      <c r="D273" s="417"/>
      <c r="E273" s="417"/>
      <c r="F273" s="410"/>
      <c r="G273" s="436"/>
      <c r="H273" s="422"/>
      <c r="I273" s="425"/>
      <c r="J273" s="418"/>
    </row>
    <row r="274" spans="1:10" s="311" customFormat="1" ht="15.75" x14ac:dyDescent="0.25">
      <c r="A274" s="419"/>
      <c r="B274" s="417"/>
      <c r="C274" s="417"/>
      <c r="D274" s="417"/>
      <c r="E274" s="417"/>
      <c r="F274" s="410"/>
      <c r="G274" s="436"/>
      <c r="H274" s="422"/>
      <c r="I274" s="423"/>
      <c r="J274" s="418"/>
    </row>
    <row r="275" spans="1:10" s="311" customFormat="1" ht="15.75" x14ac:dyDescent="0.25">
      <c r="A275" s="419"/>
      <c r="B275" s="417"/>
      <c r="C275" s="417"/>
      <c r="D275" s="417"/>
      <c r="E275" s="417"/>
      <c r="F275" s="410"/>
      <c r="G275" s="436"/>
      <c r="H275" s="422"/>
      <c r="I275" s="425"/>
      <c r="J275" s="418"/>
    </row>
    <row r="276" spans="1:10" s="311" customFormat="1" ht="15.75" x14ac:dyDescent="0.25">
      <c r="A276" s="419"/>
      <c r="B276" s="417"/>
      <c r="C276" s="417"/>
      <c r="D276" s="417"/>
      <c r="E276" s="417"/>
      <c r="F276" s="410"/>
      <c r="G276" s="436"/>
      <c r="H276" s="422"/>
      <c r="I276" s="425"/>
      <c r="J276" s="418"/>
    </row>
    <row r="277" spans="1:10" s="311" customFormat="1" ht="15.75" x14ac:dyDescent="0.25">
      <c r="A277" s="419"/>
      <c r="B277" s="417"/>
      <c r="C277" s="417"/>
      <c r="D277" s="417"/>
      <c r="E277" s="417"/>
      <c r="F277" s="410"/>
      <c r="G277" s="436"/>
      <c r="H277" s="422"/>
      <c r="I277" s="425"/>
      <c r="J277" s="418"/>
    </row>
    <row r="278" spans="1:10" s="311" customFormat="1" ht="15.75" x14ac:dyDescent="0.25">
      <c r="A278" s="419"/>
      <c r="B278" s="417"/>
      <c r="C278" s="417"/>
      <c r="D278" s="417"/>
      <c r="E278" s="417"/>
      <c r="F278" s="410"/>
      <c r="G278" s="436"/>
      <c r="H278" s="422"/>
      <c r="I278" s="423"/>
      <c r="J278" s="418"/>
    </row>
    <row r="279" spans="1:10" s="311" customFormat="1" ht="15.75" x14ac:dyDescent="0.25">
      <c r="A279" s="419"/>
      <c r="B279" s="417"/>
      <c r="C279" s="417"/>
      <c r="D279" s="417"/>
      <c r="E279" s="417"/>
      <c r="F279" s="410"/>
      <c r="G279" s="436"/>
      <c r="H279" s="422"/>
      <c r="I279" s="423"/>
      <c r="J279" s="418"/>
    </row>
    <row r="280" spans="1:10" s="311" customFormat="1" ht="15.75" x14ac:dyDescent="0.25">
      <c r="A280" s="419"/>
      <c r="B280" s="417"/>
      <c r="C280" s="417"/>
      <c r="D280" s="417"/>
      <c r="E280" s="417"/>
      <c r="F280" s="410"/>
      <c r="G280" s="436"/>
      <c r="H280" s="422"/>
      <c r="I280" s="423"/>
      <c r="J280" s="418"/>
    </row>
    <row r="281" spans="1:10" s="311" customFormat="1" ht="15.75" x14ac:dyDescent="0.25">
      <c r="A281" s="419"/>
      <c r="B281" s="417"/>
      <c r="C281" s="417"/>
      <c r="D281" s="417"/>
      <c r="E281" s="417"/>
      <c r="F281" s="410"/>
      <c r="G281" s="436"/>
      <c r="H281" s="422"/>
      <c r="I281" s="423"/>
      <c r="J281" s="418"/>
    </row>
    <row r="282" spans="1:10" s="311" customFormat="1" ht="15.75" x14ac:dyDescent="0.25">
      <c r="A282" s="419"/>
      <c r="B282" s="417"/>
      <c r="C282" s="417"/>
      <c r="D282" s="417"/>
      <c r="E282" s="417"/>
      <c r="F282" s="410"/>
      <c r="G282" s="436"/>
      <c r="H282" s="422"/>
      <c r="I282" s="423"/>
      <c r="J282" s="418"/>
    </row>
    <row r="283" spans="1:10" s="311" customFormat="1" ht="15.75" x14ac:dyDescent="0.25">
      <c r="A283" s="419"/>
      <c r="B283" s="417"/>
      <c r="C283" s="417"/>
      <c r="D283" s="417"/>
      <c r="E283" s="417"/>
      <c r="F283" s="410"/>
      <c r="G283" s="436"/>
      <c r="H283" s="422"/>
      <c r="I283" s="423"/>
      <c r="J283" s="418"/>
    </row>
    <row r="284" spans="1:10" s="311" customFormat="1" ht="15.75" x14ac:dyDescent="0.25">
      <c r="A284" s="419"/>
      <c r="B284" s="417"/>
      <c r="C284" s="417"/>
      <c r="D284" s="417"/>
      <c r="E284" s="417"/>
      <c r="F284" s="410"/>
      <c r="G284" s="436"/>
      <c r="H284" s="422"/>
      <c r="I284" s="423"/>
      <c r="J284" s="418"/>
    </row>
    <row r="285" spans="1:10" s="311" customFormat="1" ht="15.75" x14ac:dyDescent="0.25">
      <c r="A285" s="419"/>
      <c r="B285" s="417"/>
      <c r="C285" s="417"/>
      <c r="D285" s="417"/>
      <c r="E285" s="417"/>
      <c r="F285" s="410"/>
      <c r="G285" s="436"/>
      <c r="H285" s="422"/>
      <c r="I285" s="423"/>
      <c r="J285" s="418"/>
    </row>
    <row r="286" spans="1:10" s="311" customFormat="1" ht="15.75" x14ac:dyDescent="0.25">
      <c r="A286" s="419"/>
      <c r="B286" s="417"/>
      <c r="C286" s="417"/>
      <c r="D286" s="417"/>
      <c r="E286" s="417"/>
      <c r="F286" s="410"/>
      <c r="G286" s="419"/>
      <c r="H286" s="422"/>
      <c r="I286" s="423"/>
      <c r="J286" s="418"/>
    </row>
    <row r="287" spans="1:10" s="311" customFormat="1" ht="15.75" x14ac:dyDescent="0.25">
      <c r="A287" s="419"/>
      <c r="B287" s="417"/>
      <c r="C287" s="417"/>
      <c r="D287" s="417"/>
      <c r="E287" s="417"/>
      <c r="F287" s="410"/>
      <c r="G287" s="419"/>
      <c r="H287" s="422"/>
      <c r="I287" s="423"/>
      <c r="J287" s="418"/>
    </row>
    <row r="288" spans="1:10" s="311" customFormat="1" ht="15.75" x14ac:dyDescent="0.25">
      <c r="A288" s="419"/>
      <c r="B288" s="417"/>
      <c r="C288" s="417"/>
      <c r="D288" s="417"/>
      <c r="E288" s="417"/>
      <c r="F288" s="410"/>
      <c r="G288" s="436"/>
      <c r="H288" s="422"/>
      <c r="I288" s="423"/>
      <c r="J288" s="418"/>
    </row>
    <row r="289" spans="1:10" s="311" customFormat="1" ht="15.75" x14ac:dyDescent="0.25">
      <c r="A289" s="419"/>
      <c r="B289" s="417"/>
      <c r="C289" s="417"/>
      <c r="D289" s="417"/>
      <c r="E289" s="417"/>
      <c r="F289" s="410"/>
      <c r="G289" s="436"/>
      <c r="H289" s="422"/>
      <c r="I289" s="423"/>
      <c r="J289" s="418"/>
    </row>
    <row r="290" spans="1:10" s="311" customFormat="1" ht="15.75" x14ac:dyDescent="0.25">
      <c r="A290" s="419"/>
      <c r="B290" s="417"/>
      <c r="C290" s="417"/>
      <c r="D290" s="417"/>
      <c r="E290" s="417"/>
      <c r="F290" s="410"/>
      <c r="G290" s="436"/>
      <c r="H290" s="422"/>
      <c r="I290" s="423"/>
      <c r="J290" s="418"/>
    </row>
    <row r="291" spans="1:10" s="311" customFormat="1" ht="18.75" x14ac:dyDescent="0.3">
      <c r="A291" s="486" t="s">
        <v>7577</v>
      </c>
      <c r="B291" s="487"/>
      <c r="C291" s="488"/>
      <c r="D291" s="451">
        <f>SUM(D257:D290)</f>
        <v>10442239</v>
      </c>
      <c r="E291" s="427"/>
      <c r="F291" s="489" t="s">
        <v>7577</v>
      </c>
      <c r="G291" s="490"/>
      <c r="H291" s="490"/>
      <c r="I291" s="491"/>
      <c r="J291" s="428">
        <f>SUM(J257:J290)</f>
        <v>2871705</v>
      </c>
    </row>
    <row r="292" spans="1:10" x14ac:dyDescent="0.25">
      <c r="J292" s="154"/>
    </row>
    <row r="293" spans="1:10" x14ac:dyDescent="0.25">
      <c r="J293" s="154"/>
    </row>
    <row r="294" spans="1:10" x14ac:dyDescent="0.25">
      <c r="C294" s="8" t="s">
        <v>4333</v>
      </c>
      <c r="D294" s="8">
        <f>SUMIF(C257:C290,C294,D257:D290)</f>
        <v>1850000</v>
      </c>
      <c r="I294" s="8" t="s">
        <v>4333</v>
      </c>
      <c r="J294" s="91">
        <f>SUMIF(H257:H290,I294,J257:J290)</f>
        <v>180000</v>
      </c>
    </row>
    <row r="295" spans="1:10" x14ac:dyDescent="0.25">
      <c r="C295" s="8" t="s">
        <v>864</v>
      </c>
      <c r="D295" s="8">
        <f>SUMIF(C257:C290,C295,D257:D290)</f>
        <v>8592239</v>
      </c>
      <c r="I295" s="8" t="s">
        <v>864</v>
      </c>
      <c r="J295" s="91">
        <f>SUMIF(H258:H290,I295,J258:J290)</f>
        <v>1941705</v>
      </c>
    </row>
    <row r="296" spans="1:10" x14ac:dyDescent="0.25">
      <c r="C296" s="8" t="s">
        <v>7577</v>
      </c>
      <c r="D296" s="8">
        <f>SUM(D294:D295)</f>
        <v>10442239</v>
      </c>
      <c r="I296" s="8" t="s">
        <v>7579</v>
      </c>
      <c r="J296" s="8">
        <f>SUM(J294:J295)</f>
        <v>2121705</v>
      </c>
    </row>
  </sheetData>
  <autoFilter ref="F12:J22"/>
  <mergeCells count="78">
    <mergeCell ref="F255:J255"/>
    <mergeCell ref="A291:C291"/>
    <mergeCell ref="F291:I291"/>
    <mergeCell ref="A250:B250"/>
    <mergeCell ref="A251:B251"/>
    <mergeCell ref="A252:B252"/>
    <mergeCell ref="A253:B253"/>
    <mergeCell ref="A255:D255"/>
    <mergeCell ref="A245:J245"/>
    <mergeCell ref="A246:J246"/>
    <mergeCell ref="A247:J247"/>
    <mergeCell ref="A248:B248"/>
    <mergeCell ref="A249:B249"/>
    <mergeCell ref="F202:J202"/>
    <mergeCell ref="A238:C238"/>
    <mergeCell ref="F238:I238"/>
    <mergeCell ref="A197:B197"/>
    <mergeCell ref="A198:B198"/>
    <mergeCell ref="A199:B199"/>
    <mergeCell ref="A200:B200"/>
    <mergeCell ref="A202:D202"/>
    <mergeCell ref="A192:J192"/>
    <mergeCell ref="A193:J193"/>
    <mergeCell ref="A194:J194"/>
    <mergeCell ref="A195:B195"/>
    <mergeCell ref="A196:B196"/>
    <mergeCell ref="A97:C97"/>
    <mergeCell ref="F97:I97"/>
    <mergeCell ref="A43:B43"/>
    <mergeCell ref="A44:B44"/>
    <mergeCell ref="A45:B45"/>
    <mergeCell ref="A47:D47"/>
    <mergeCell ref="F47:J47"/>
    <mergeCell ref="A1:J1"/>
    <mergeCell ref="A11:D11"/>
    <mergeCell ref="F11:J11"/>
    <mergeCell ref="A5:B5"/>
    <mergeCell ref="A30:C30"/>
    <mergeCell ref="F30:I30"/>
    <mergeCell ref="A2:J2"/>
    <mergeCell ref="A3:J3"/>
    <mergeCell ref="A6:B6"/>
    <mergeCell ref="A7:B7"/>
    <mergeCell ref="A8:B8"/>
    <mergeCell ref="A9:B9"/>
    <mergeCell ref="A42:B42"/>
    <mergeCell ref="A40:B40"/>
    <mergeCell ref="A4:B4"/>
    <mergeCell ref="A37:J37"/>
    <mergeCell ref="A38:J38"/>
    <mergeCell ref="A39:J39"/>
    <mergeCell ref="A41:B41"/>
    <mergeCell ref="A104:J104"/>
    <mergeCell ref="A105:J105"/>
    <mergeCell ref="A106:J106"/>
    <mergeCell ref="A107:B107"/>
    <mergeCell ref="A108:B108"/>
    <mergeCell ref="F114:J114"/>
    <mergeCell ref="A140:C140"/>
    <mergeCell ref="F140:I140"/>
    <mergeCell ref="A109:B109"/>
    <mergeCell ref="A110:B110"/>
    <mergeCell ref="A111:B111"/>
    <mergeCell ref="A112:B112"/>
    <mergeCell ref="A114:D114"/>
    <mergeCell ref="A148:J148"/>
    <mergeCell ref="A149:J149"/>
    <mergeCell ref="A150:J150"/>
    <mergeCell ref="A151:B151"/>
    <mergeCell ref="A152:B152"/>
    <mergeCell ref="F158:J158"/>
    <mergeCell ref="A184:C184"/>
    <mergeCell ref="F184:I184"/>
    <mergeCell ref="A153:B153"/>
    <mergeCell ref="A154:B154"/>
    <mergeCell ref="A155:B155"/>
    <mergeCell ref="A156:B156"/>
    <mergeCell ref="A158:D158"/>
  </mergeCells>
  <printOptions horizontalCentered="1"/>
  <pageMargins left="0" right="0" top="0" bottom="0" header="0.3" footer="0.3"/>
  <pageSetup paperSize="9" scale="80" fitToHeight="19" orientation="landscape" r:id="rId1"/>
  <ignoredErrors>
    <ignoredError sqref="G13:G29 G49:G90 G91:G94 G116:G139 G160:G173 G204:G222" numberStoredAsText="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H2380"/>
  <sheetViews>
    <sheetView topLeftCell="A473" workbookViewId="0">
      <selection activeCell="D604" sqref="D604"/>
    </sheetView>
  </sheetViews>
  <sheetFormatPr defaultRowHeight="18.75" x14ac:dyDescent="0.3"/>
  <cols>
    <col min="1" max="1" width="12.42578125" style="35" customWidth="1"/>
    <col min="2" max="2" width="17.85546875" style="35" customWidth="1"/>
    <col min="3" max="3" width="13" style="35" customWidth="1"/>
    <col min="4" max="4" width="46.140625" style="35" customWidth="1"/>
    <col min="5" max="6" width="13" style="544" customWidth="1"/>
    <col min="7" max="7" width="15.85546875" style="544" customWidth="1"/>
    <col min="8" max="8" width="9.140625" style="35"/>
    <col min="9" max="16384" width="9.140625" style="5"/>
  </cols>
  <sheetData>
    <row r="1" spans="1:7" ht="37.5" x14ac:dyDescent="0.3">
      <c r="A1" s="540" t="s">
        <v>1</v>
      </c>
      <c r="B1" s="540" t="s">
        <v>338</v>
      </c>
      <c r="C1" s="540" t="s">
        <v>8474</v>
      </c>
      <c r="D1" s="540" t="s">
        <v>3</v>
      </c>
      <c r="E1" s="541" t="s">
        <v>4364</v>
      </c>
      <c r="F1" s="541" t="s">
        <v>4365</v>
      </c>
      <c r="G1" s="541" t="s">
        <v>8475</v>
      </c>
    </row>
    <row r="2" spans="1:7" x14ac:dyDescent="0.3">
      <c r="A2" s="535">
        <v>43538</v>
      </c>
      <c r="B2" s="533" t="s">
        <v>121</v>
      </c>
      <c r="C2" s="532"/>
      <c r="D2" s="532" t="s">
        <v>4370</v>
      </c>
      <c r="E2" s="331"/>
      <c r="F2" s="331">
        <v>10100</v>
      </c>
      <c r="G2" s="534">
        <f>E2-F2</f>
        <v>-10100</v>
      </c>
    </row>
    <row r="3" spans="1:7" x14ac:dyDescent="0.3">
      <c r="A3" s="535">
        <v>43538</v>
      </c>
      <c r="B3" s="533" t="s">
        <v>121</v>
      </c>
      <c r="C3" s="532"/>
      <c r="D3" s="532" t="s">
        <v>4655</v>
      </c>
      <c r="E3" s="331"/>
      <c r="F3" s="331">
        <v>23466</v>
      </c>
      <c r="G3" s="534">
        <f>E3-F3</f>
        <v>-23466</v>
      </c>
    </row>
    <row r="4" spans="1:7" x14ac:dyDescent="0.3">
      <c r="A4" s="535">
        <v>43538</v>
      </c>
      <c r="B4" s="533" t="s">
        <v>121</v>
      </c>
      <c r="C4" s="532"/>
      <c r="D4" s="532" t="s">
        <v>4632</v>
      </c>
      <c r="E4" s="331"/>
      <c r="F4" s="331">
        <v>7000</v>
      </c>
      <c r="G4" s="534">
        <f>E4-F4</f>
        <v>-7000</v>
      </c>
    </row>
    <row r="5" spans="1:7" x14ac:dyDescent="0.3">
      <c r="A5" s="535">
        <v>43538</v>
      </c>
      <c r="B5" s="533" t="s">
        <v>121</v>
      </c>
      <c r="C5" s="532"/>
      <c r="D5" s="532" t="s">
        <v>5001</v>
      </c>
      <c r="E5" s="331"/>
      <c r="F5" s="331">
        <v>25290</v>
      </c>
      <c r="G5" s="534">
        <f>E5-F5</f>
        <v>-25290</v>
      </c>
    </row>
    <row r="6" spans="1:7" x14ac:dyDescent="0.3">
      <c r="A6" s="535">
        <v>43538</v>
      </c>
      <c r="B6" s="533" t="s">
        <v>121</v>
      </c>
      <c r="C6" s="532"/>
      <c r="D6" s="532" t="s">
        <v>4705</v>
      </c>
      <c r="E6" s="331"/>
      <c r="F6" s="331">
        <v>5000</v>
      </c>
      <c r="G6" s="534">
        <f>E6-F6</f>
        <v>-5000</v>
      </c>
    </row>
    <row r="7" spans="1:7" x14ac:dyDescent="0.3">
      <c r="A7" s="535">
        <v>43538</v>
      </c>
      <c r="B7" s="533" t="s">
        <v>121</v>
      </c>
      <c r="C7" s="532"/>
      <c r="D7" s="532" t="s">
        <v>89</v>
      </c>
      <c r="E7" s="331"/>
      <c r="F7" s="331">
        <v>1000</v>
      </c>
      <c r="G7" s="534">
        <f>E7-F7</f>
        <v>-1000</v>
      </c>
    </row>
    <row r="8" spans="1:7" x14ac:dyDescent="0.3">
      <c r="A8" s="535">
        <v>43538</v>
      </c>
      <c r="B8" s="533" t="s">
        <v>121</v>
      </c>
      <c r="C8" s="532"/>
      <c r="D8" s="532" t="s">
        <v>89</v>
      </c>
      <c r="E8" s="331"/>
      <c r="F8" s="331">
        <v>1300</v>
      </c>
      <c r="G8" s="534">
        <f>E8-F8</f>
        <v>-1300</v>
      </c>
    </row>
    <row r="9" spans="1:7" x14ac:dyDescent="0.3">
      <c r="A9" s="535">
        <v>43538</v>
      </c>
      <c r="B9" s="533" t="s">
        <v>121</v>
      </c>
      <c r="C9" s="532"/>
      <c r="D9" s="532" t="s">
        <v>295</v>
      </c>
      <c r="E9" s="331">
        <v>15000</v>
      </c>
      <c r="F9" s="331"/>
      <c r="G9" s="534">
        <f>E9-F9</f>
        <v>15000</v>
      </c>
    </row>
    <row r="10" spans="1:7" x14ac:dyDescent="0.3">
      <c r="A10" s="535">
        <v>43538</v>
      </c>
      <c r="B10" s="533" t="s">
        <v>121</v>
      </c>
      <c r="C10" s="532"/>
      <c r="D10" s="532" t="s">
        <v>5023</v>
      </c>
      <c r="E10" s="331"/>
      <c r="F10" s="331">
        <v>8400</v>
      </c>
      <c r="G10" s="534">
        <f>E10-F10</f>
        <v>-8400</v>
      </c>
    </row>
    <row r="11" spans="1:7" x14ac:dyDescent="0.3">
      <c r="A11" s="535">
        <v>43538</v>
      </c>
      <c r="B11" s="533" t="s">
        <v>121</v>
      </c>
      <c r="C11" s="532"/>
      <c r="D11" s="532" t="s">
        <v>4607</v>
      </c>
      <c r="E11" s="331"/>
      <c r="F11" s="331">
        <v>3000</v>
      </c>
      <c r="G11" s="534">
        <f>E11-F11</f>
        <v>-3000</v>
      </c>
    </row>
    <row r="12" spans="1:7" x14ac:dyDescent="0.3">
      <c r="A12" s="535">
        <v>43538</v>
      </c>
      <c r="B12" s="533" t="s">
        <v>121</v>
      </c>
      <c r="C12" s="532"/>
      <c r="D12" s="532" t="s">
        <v>295</v>
      </c>
      <c r="E12" s="331">
        <v>13000</v>
      </c>
      <c r="F12" s="331"/>
      <c r="G12" s="534">
        <f>E12-F12</f>
        <v>13000</v>
      </c>
    </row>
    <row r="13" spans="1:7" x14ac:dyDescent="0.3">
      <c r="A13" s="535">
        <v>43538</v>
      </c>
      <c r="B13" s="533" t="s">
        <v>121</v>
      </c>
      <c r="C13" s="532"/>
      <c r="D13" s="532" t="s">
        <v>295</v>
      </c>
      <c r="E13" s="331">
        <v>30000</v>
      </c>
      <c r="F13" s="331"/>
      <c r="G13" s="534">
        <f>E13-F13</f>
        <v>30000</v>
      </c>
    </row>
    <row r="14" spans="1:7" x14ac:dyDescent="0.3">
      <c r="A14" s="535">
        <v>43538</v>
      </c>
      <c r="B14" s="533" t="s">
        <v>121</v>
      </c>
      <c r="C14" s="532"/>
      <c r="D14" s="532" t="s">
        <v>41</v>
      </c>
      <c r="E14" s="331">
        <v>500</v>
      </c>
      <c r="F14" s="331"/>
      <c r="G14" s="534">
        <f>E14-F14</f>
        <v>500</v>
      </c>
    </row>
    <row r="15" spans="1:7" x14ac:dyDescent="0.3">
      <c r="A15" s="535">
        <v>43538</v>
      </c>
      <c r="B15" s="533" t="s">
        <v>121</v>
      </c>
      <c r="C15" s="532"/>
      <c r="D15" s="532" t="s">
        <v>295</v>
      </c>
      <c r="E15" s="331">
        <v>25000</v>
      </c>
      <c r="F15" s="331"/>
      <c r="G15" s="534">
        <f>E15-F15</f>
        <v>25000</v>
      </c>
    </row>
    <row r="16" spans="1:7" x14ac:dyDescent="0.3">
      <c r="A16" s="535">
        <v>43556</v>
      </c>
      <c r="B16" s="533" t="s">
        <v>121</v>
      </c>
      <c r="C16" s="532"/>
      <c r="D16" s="532" t="s">
        <v>295</v>
      </c>
      <c r="E16" s="331">
        <v>15000</v>
      </c>
      <c r="F16" s="331"/>
      <c r="G16" s="534">
        <f>E16-F16</f>
        <v>15000</v>
      </c>
    </row>
    <row r="17" spans="1:7" x14ac:dyDescent="0.3">
      <c r="A17" s="535">
        <v>43556</v>
      </c>
      <c r="B17" s="533" t="s">
        <v>121</v>
      </c>
      <c r="C17" s="532"/>
      <c r="D17" s="532" t="s">
        <v>5096</v>
      </c>
      <c r="E17" s="331"/>
      <c r="F17" s="331">
        <v>1000</v>
      </c>
      <c r="G17" s="534">
        <f>E17-F17</f>
        <v>-1000</v>
      </c>
    </row>
    <row r="18" spans="1:7" x14ac:dyDescent="0.3">
      <c r="A18" s="535">
        <v>43564</v>
      </c>
      <c r="B18" s="533" t="s">
        <v>121</v>
      </c>
      <c r="C18" s="532"/>
      <c r="D18" s="532" t="s">
        <v>3924</v>
      </c>
      <c r="E18" s="331"/>
      <c r="F18" s="331">
        <v>4350</v>
      </c>
      <c r="G18" s="534">
        <f>E18-F18</f>
        <v>-4350</v>
      </c>
    </row>
    <row r="19" spans="1:7" x14ac:dyDescent="0.3">
      <c r="A19" s="535">
        <v>43564</v>
      </c>
      <c r="B19" s="533" t="s">
        <v>121</v>
      </c>
      <c r="C19" s="532"/>
      <c r="D19" s="532" t="s">
        <v>3924</v>
      </c>
      <c r="E19" s="331"/>
      <c r="F19" s="331">
        <v>3440</v>
      </c>
      <c r="G19" s="534">
        <f>E19-F19</f>
        <v>-3440</v>
      </c>
    </row>
    <row r="20" spans="1:7" x14ac:dyDescent="0.3">
      <c r="A20" s="535">
        <v>43564</v>
      </c>
      <c r="B20" s="533" t="s">
        <v>121</v>
      </c>
      <c r="C20" s="532"/>
      <c r="D20" s="532" t="s">
        <v>3924</v>
      </c>
      <c r="E20" s="331"/>
      <c r="F20" s="331">
        <v>43100</v>
      </c>
      <c r="G20" s="534">
        <f>E20-F20</f>
        <v>-43100</v>
      </c>
    </row>
    <row r="21" spans="1:7" x14ac:dyDescent="0.3">
      <c r="A21" s="535">
        <v>43566</v>
      </c>
      <c r="B21" s="533" t="s">
        <v>121</v>
      </c>
      <c r="C21" s="532"/>
      <c r="D21" s="532" t="s">
        <v>4655</v>
      </c>
      <c r="E21" s="331"/>
      <c r="F21" s="331">
        <v>8500</v>
      </c>
      <c r="G21" s="534">
        <f>E21-F21</f>
        <v>-8500</v>
      </c>
    </row>
    <row r="22" spans="1:7" x14ac:dyDescent="0.3">
      <c r="A22" s="535">
        <v>43566</v>
      </c>
      <c r="B22" s="533" t="s">
        <v>121</v>
      </c>
      <c r="C22" s="532"/>
      <c r="D22" s="532" t="s">
        <v>5103</v>
      </c>
      <c r="E22" s="331"/>
      <c r="F22" s="331">
        <v>5000</v>
      </c>
      <c r="G22" s="534">
        <f>E22-F22</f>
        <v>-5000</v>
      </c>
    </row>
    <row r="23" spans="1:7" x14ac:dyDescent="0.3">
      <c r="A23" s="535">
        <v>43566</v>
      </c>
      <c r="B23" s="533" t="s">
        <v>121</v>
      </c>
      <c r="C23" s="532"/>
      <c r="D23" s="532" t="s">
        <v>4369</v>
      </c>
      <c r="E23" s="331">
        <v>5000</v>
      </c>
      <c r="F23" s="331"/>
      <c r="G23" s="534">
        <f>E23-F23</f>
        <v>5000</v>
      </c>
    </row>
    <row r="24" spans="1:7" x14ac:dyDescent="0.3">
      <c r="A24" s="535">
        <v>43574</v>
      </c>
      <c r="B24" s="533" t="s">
        <v>121</v>
      </c>
      <c r="C24" s="532"/>
      <c r="D24" s="532" t="s">
        <v>5142</v>
      </c>
      <c r="E24" s="331"/>
      <c r="F24" s="331">
        <v>3600</v>
      </c>
      <c r="G24" s="534">
        <f>E24-F24</f>
        <v>-3600</v>
      </c>
    </row>
    <row r="25" spans="1:7" x14ac:dyDescent="0.3">
      <c r="A25" s="535">
        <v>43574</v>
      </c>
      <c r="B25" s="533" t="s">
        <v>121</v>
      </c>
      <c r="C25" s="532"/>
      <c r="D25" s="532" t="s">
        <v>5143</v>
      </c>
      <c r="E25" s="331"/>
      <c r="F25" s="331">
        <v>2000</v>
      </c>
      <c r="G25" s="534">
        <f>E25-F25</f>
        <v>-2000</v>
      </c>
    </row>
    <row r="26" spans="1:7" x14ac:dyDescent="0.3">
      <c r="A26" s="535">
        <v>43574</v>
      </c>
      <c r="B26" s="533" t="s">
        <v>121</v>
      </c>
      <c r="C26" s="532"/>
      <c r="D26" s="532" t="s">
        <v>5144</v>
      </c>
      <c r="E26" s="331">
        <v>300000</v>
      </c>
      <c r="F26" s="331"/>
      <c r="G26" s="534">
        <f>E26-F26</f>
        <v>300000</v>
      </c>
    </row>
    <row r="27" spans="1:7" x14ac:dyDescent="0.3">
      <c r="A27" s="535">
        <v>43574</v>
      </c>
      <c r="B27" s="533" t="s">
        <v>121</v>
      </c>
      <c r="C27" s="532"/>
      <c r="D27" s="532" t="s">
        <v>5145</v>
      </c>
      <c r="E27" s="331"/>
      <c r="F27" s="331">
        <v>10000</v>
      </c>
      <c r="G27" s="534">
        <f>E27-F27</f>
        <v>-10000</v>
      </c>
    </row>
    <row r="28" spans="1:7" x14ac:dyDescent="0.3">
      <c r="A28" s="535">
        <v>43574</v>
      </c>
      <c r="B28" s="533" t="s">
        <v>121</v>
      </c>
      <c r="C28" s="532"/>
      <c r="D28" s="532" t="s">
        <v>5146</v>
      </c>
      <c r="E28" s="331"/>
      <c r="F28" s="331">
        <v>30284</v>
      </c>
      <c r="G28" s="534">
        <f>E28-F28</f>
        <v>-30284</v>
      </c>
    </row>
    <row r="29" spans="1:7" x14ac:dyDescent="0.3">
      <c r="A29" s="535">
        <v>43574</v>
      </c>
      <c r="B29" s="533" t="s">
        <v>121</v>
      </c>
      <c r="C29" s="532"/>
      <c r="D29" s="532" t="s">
        <v>5150</v>
      </c>
      <c r="E29" s="331"/>
      <c r="F29" s="331">
        <v>35000</v>
      </c>
      <c r="G29" s="534">
        <f>E29-F29</f>
        <v>-35000</v>
      </c>
    </row>
    <row r="30" spans="1:7" x14ac:dyDescent="0.3">
      <c r="A30" s="535">
        <v>43577</v>
      </c>
      <c r="B30" s="533" t="s">
        <v>121</v>
      </c>
      <c r="C30" s="532"/>
      <c r="D30" s="532" t="s">
        <v>5154</v>
      </c>
      <c r="E30" s="331"/>
      <c r="F30" s="331">
        <v>10000</v>
      </c>
      <c r="G30" s="534">
        <f>E30-F30</f>
        <v>-10000</v>
      </c>
    </row>
    <row r="31" spans="1:7" x14ac:dyDescent="0.3">
      <c r="A31" s="535">
        <v>43578</v>
      </c>
      <c r="B31" s="533" t="s">
        <v>121</v>
      </c>
      <c r="C31" s="532"/>
      <c r="D31" s="532" t="s">
        <v>4368</v>
      </c>
      <c r="E31" s="331"/>
      <c r="F31" s="331">
        <v>9200</v>
      </c>
      <c r="G31" s="534">
        <f>E31-F31</f>
        <v>-9200</v>
      </c>
    </row>
    <row r="32" spans="1:7" x14ac:dyDescent="0.3">
      <c r="A32" s="535">
        <v>43578</v>
      </c>
      <c r="B32" s="533" t="s">
        <v>121</v>
      </c>
      <c r="C32" s="532"/>
      <c r="D32" s="532" t="s">
        <v>5157</v>
      </c>
      <c r="E32" s="331"/>
      <c r="F32" s="331">
        <v>2000</v>
      </c>
      <c r="G32" s="534">
        <f>E32-F32</f>
        <v>-2000</v>
      </c>
    </row>
    <row r="33" spans="1:7" x14ac:dyDescent="0.3">
      <c r="A33" s="535">
        <v>43578</v>
      </c>
      <c r="B33" s="533" t="s">
        <v>121</v>
      </c>
      <c r="C33" s="532"/>
      <c r="D33" s="532" t="s">
        <v>5158</v>
      </c>
      <c r="E33" s="331"/>
      <c r="F33" s="331">
        <v>17000</v>
      </c>
      <c r="G33" s="534">
        <f>E33-F33</f>
        <v>-17000</v>
      </c>
    </row>
    <row r="34" spans="1:7" x14ac:dyDescent="0.3">
      <c r="A34" s="535">
        <v>43578</v>
      </c>
      <c r="B34" s="533" t="s">
        <v>121</v>
      </c>
      <c r="C34" s="532"/>
      <c r="D34" s="532" t="s">
        <v>5159</v>
      </c>
      <c r="E34" s="331"/>
      <c r="F34" s="331">
        <v>36000</v>
      </c>
      <c r="G34" s="534">
        <f>E34-F34</f>
        <v>-36000</v>
      </c>
    </row>
    <row r="35" spans="1:7" x14ac:dyDescent="0.3">
      <c r="A35" s="535">
        <v>43578</v>
      </c>
      <c r="B35" s="533" t="s">
        <v>121</v>
      </c>
      <c r="C35" s="532"/>
      <c r="D35" s="532" t="s">
        <v>5180</v>
      </c>
      <c r="E35" s="331"/>
      <c r="F35" s="331">
        <v>5000</v>
      </c>
      <c r="G35" s="534">
        <f>E35-F35</f>
        <v>-5000</v>
      </c>
    </row>
    <row r="36" spans="1:7" x14ac:dyDescent="0.3">
      <c r="A36" s="535">
        <v>43579</v>
      </c>
      <c r="B36" s="533" t="s">
        <v>121</v>
      </c>
      <c r="C36" s="532"/>
      <c r="D36" s="532" t="s">
        <v>5170</v>
      </c>
      <c r="E36" s="331"/>
      <c r="F36" s="331">
        <v>30000</v>
      </c>
      <c r="G36" s="534">
        <f>E36-F36</f>
        <v>-30000</v>
      </c>
    </row>
    <row r="37" spans="1:7" x14ac:dyDescent="0.3">
      <c r="A37" s="535">
        <v>43579</v>
      </c>
      <c r="B37" s="533" t="s">
        <v>121</v>
      </c>
      <c r="C37" s="532"/>
      <c r="D37" s="532" t="s">
        <v>5171</v>
      </c>
      <c r="E37" s="331"/>
      <c r="F37" s="331">
        <v>10000</v>
      </c>
      <c r="G37" s="534">
        <f>E37-F37</f>
        <v>-10000</v>
      </c>
    </row>
    <row r="38" spans="1:7" x14ac:dyDescent="0.3">
      <c r="A38" s="535">
        <v>43579</v>
      </c>
      <c r="B38" s="533" t="s">
        <v>121</v>
      </c>
      <c r="C38" s="532"/>
      <c r="D38" s="532" t="s">
        <v>5173</v>
      </c>
      <c r="E38" s="331"/>
      <c r="F38" s="331">
        <v>15000</v>
      </c>
      <c r="G38" s="534">
        <f>E38-F38</f>
        <v>-15000</v>
      </c>
    </row>
    <row r="39" spans="1:7" x14ac:dyDescent="0.3">
      <c r="A39" s="535">
        <v>43579</v>
      </c>
      <c r="B39" s="533" t="s">
        <v>121</v>
      </c>
      <c r="C39" s="532"/>
      <c r="D39" s="532" t="s">
        <v>5174</v>
      </c>
      <c r="E39" s="331"/>
      <c r="F39" s="331">
        <v>10000</v>
      </c>
      <c r="G39" s="534">
        <f>E39-F39</f>
        <v>-10000</v>
      </c>
    </row>
    <row r="40" spans="1:7" x14ac:dyDescent="0.3">
      <c r="A40" s="535">
        <v>43579</v>
      </c>
      <c r="B40" s="533" t="s">
        <v>121</v>
      </c>
      <c r="C40" s="532"/>
      <c r="D40" s="532" t="s">
        <v>5175</v>
      </c>
      <c r="E40" s="331"/>
      <c r="F40" s="331">
        <v>1000</v>
      </c>
      <c r="G40" s="534">
        <f>E40-F40</f>
        <v>-1000</v>
      </c>
    </row>
    <row r="41" spans="1:7" x14ac:dyDescent="0.3">
      <c r="A41" s="535">
        <v>43579</v>
      </c>
      <c r="B41" s="533" t="s">
        <v>121</v>
      </c>
      <c r="C41" s="532"/>
      <c r="D41" s="532" t="s">
        <v>5176</v>
      </c>
      <c r="E41" s="331"/>
      <c r="F41" s="331">
        <v>6000</v>
      </c>
      <c r="G41" s="534">
        <f>E41-F41</f>
        <v>-6000</v>
      </c>
    </row>
    <row r="42" spans="1:7" x14ac:dyDescent="0.3">
      <c r="A42" s="535">
        <v>43579</v>
      </c>
      <c r="B42" s="533" t="s">
        <v>121</v>
      </c>
      <c r="C42" s="532"/>
      <c r="D42" s="532" t="s">
        <v>295</v>
      </c>
      <c r="E42" s="331">
        <v>3000</v>
      </c>
      <c r="F42" s="331"/>
      <c r="G42" s="534">
        <f>E42-F42</f>
        <v>3000</v>
      </c>
    </row>
    <row r="43" spans="1:7" x14ac:dyDescent="0.3">
      <c r="A43" s="535">
        <v>43580</v>
      </c>
      <c r="B43" s="533" t="s">
        <v>121</v>
      </c>
      <c r="C43" s="532"/>
      <c r="D43" s="532" t="s">
        <v>295</v>
      </c>
      <c r="E43" s="331">
        <v>125000</v>
      </c>
      <c r="F43" s="331"/>
      <c r="G43" s="534">
        <f>E43-F43</f>
        <v>125000</v>
      </c>
    </row>
    <row r="44" spans="1:7" x14ac:dyDescent="0.3">
      <c r="A44" s="535">
        <v>43587</v>
      </c>
      <c r="B44" s="533" t="s">
        <v>121</v>
      </c>
      <c r="C44" s="532"/>
      <c r="D44" s="532" t="s">
        <v>5208</v>
      </c>
      <c r="E44" s="331"/>
      <c r="F44" s="331">
        <v>5000</v>
      </c>
      <c r="G44" s="534">
        <f>E44-F44</f>
        <v>-5000</v>
      </c>
    </row>
    <row r="45" spans="1:7" x14ac:dyDescent="0.3">
      <c r="A45" s="535">
        <v>43587</v>
      </c>
      <c r="B45" s="533" t="s">
        <v>121</v>
      </c>
      <c r="C45" s="532"/>
      <c r="D45" s="532" t="s">
        <v>5209</v>
      </c>
      <c r="E45" s="331"/>
      <c r="F45" s="331">
        <v>5000</v>
      </c>
      <c r="G45" s="534">
        <f>E45-F45</f>
        <v>-5000</v>
      </c>
    </row>
    <row r="46" spans="1:7" x14ac:dyDescent="0.3">
      <c r="A46" s="535">
        <v>43587</v>
      </c>
      <c r="B46" s="533" t="s">
        <v>121</v>
      </c>
      <c r="C46" s="532"/>
      <c r="D46" s="532" t="s">
        <v>5210</v>
      </c>
      <c r="E46" s="331"/>
      <c r="F46" s="331">
        <v>5000</v>
      </c>
      <c r="G46" s="534">
        <f>E46-F46</f>
        <v>-5000</v>
      </c>
    </row>
    <row r="47" spans="1:7" x14ac:dyDescent="0.3">
      <c r="A47" s="535">
        <v>43587</v>
      </c>
      <c r="B47" s="533" t="s">
        <v>121</v>
      </c>
      <c r="C47" s="532"/>
      <c r="D47" s="532" t="s">
        <v>5211</v>
      </c>
      <c r="E47" s="331"/>
      <c r="F47" s="331">
        <v>6000</v>
      </c>
      <c r="G47" s="534">
        <f>E47-F47</f>
        <v>-6000</v>
      </c>
    </row>
    <row r="48" spans="1:7" x14ac:dyDescent="0.3">
      <c r="A48" s="535">
        <v>43587</v>
      </c>
      <c r="B48" s="533" t="s">
        <v>121</v>
      </c>
      <c r="C48" s="532"/>
      <c r="D48" s="532" t="s">
        <v>5212</v>
      </c>
      <c r="E48" s="331"/>
      <c r="F48" s="331">
        <v>5500</v>
      </c>
      <c r="G48" s="534">
        <f>E48-F48</f>
        <v>-5500</v>
      </c>
    </row>
    <row r="49" spans="1:7" x14ac:dyDescent="0.3">
      <c r="A49" s="535">
        <v>43587</v>
      </c>
      <c r="B49" s="533" t="s">
        <v>121</v>
      </c>
      <c r="C49" s="532"/>
      <c r="D49" s="532" t="s">
        <v>5213</v>
      </c>
      <c r="E49" s="331"/>
      <c r="F49" s="331">
        <v>37200</v>
      </c>
      <c r="G49" s="534">
        <f>E49-F49</f>
        <v>-37200</v>
      </c>
    </row>
    <row r="50" spans="1:7" x14ac:dyDescent="0.3">
      <c r="A50" s="535">
        <v>43587</v>
      </c>
      <c r="B50" s="533" t="s">
        <v>121</v>
      </c>
      <c r="C50" s="532"/>
      <c r="D50" s="532" t="s">
        <v>5215</v>
      </c>
      <c r="E50" s="331"/>
      <c r="F50" s="331">
        <v>28000</v>
      </c>
      <c r="G50" s="534">
        <f>E50-F50</f>
        <v>-28000</v>
      </c>
    </row>
    <row r="51" spans="1:7" x14ac:dyDescent="0.3">
      <c r="A51" s="535">
        <v>43591</v>
      </c>
      <c r="B51" s="533" t="s">
        <v>121</v>
      </c>
      <c r="C51" s="532"/>
      <c r="D51" s="532" t="s">
        <v>5226</v>
      </c>
      <c r="E51" s="331"/>
      <c r="F51" s="331">
        <v>1000</v>
      </c>
      <c r="G51" s="534">
        <f>E51-F51</f>
        <v>-1000</v>
      </c>
    </row>
    <row r="52" spans="1:7" x14ac:dyDescent="0.3">
      <c r="A52" s="535">
        <v>43591</v>
      </c>
      <c r="B52" s="533" t="s">
        <v>121</v>
      </c>
      <c r="C52" s="532"/>
      <c r="D52" s="532" t="s">
        <v>5233</v>
      </c>
      <c r="E52" s="331"/>
      <c r="F52" s="331">
        <v>3662</v>
      </c>
      <c r="G52" s="534">
        <f>E52-F52</f>
        <v>-3662</v>
      </c>
    </row>
    <row r="53" spans="1:7" x14ac:dyDescent="0.3">
      <c r="A53" s="535">
        <v>43591</v>
      </c>
      <c r="B53" s="533" t="s">
        <v>121</v>
      </c>
      <c r="C53" s="532"/>
      <c r="D53" s="532" t="s">
        <v>4705</v>
      </c>
      <c r="E53" s="331"/>
      <c r="F53" s="331">
        <v>9000</v>
      </c>
      <c r="G53" s="534">
        <f>E53-F53</f>
        <v>-9000</v>
      </c>
    </row>
    <row r="54" spans="1:7" x14ac:dyDescent="0.3">
      <c r="A54" s="535">
        <v>43591</v>
      </c>
      <c r="B54" s="533" t="s">
        <v>121</v>
      </c>
      <c r="C54" s="532"/>
      <c r="D54" s="532" t="s">
        <v>5243</v>
      </c>
      <c r="E54" s="331"/>
      <c r="F54" s="331">
        <v>52000</v>
      </c>
      <c r="G54" s="534">
        <f>E54-F54</f>
        <v>-52000</v>
      </c>
    </row>
    <row r="55" spans="1:7" x14ac:dyDescent="0.3">
      <c r="A55" s="535">
        <v>43593</v>
      </c>
      <c r="B55" s="533" t="s">
        <v>121</v>
      </c>
      <c r="C55" s="532"/>
      <c r="D55" s="532" t="s">
        <v>5244</v>
      </c>
      <c r="E55" s="331"/>
      <c r="F55" s="331">
        <v>20000</v>
      </c>
      <c r="G55" s="534">
        <f>E55-F55</f>
        <v>-20000</v>
      </c>
    </row>
    <row r="56" spans="1:7" x14ac:dyDescent="0.3">
      <c r="A56" s="535">
        <v>43594</v>
      </c>
      <c r="B56" s="533" t="s">
        <v>121</v>
      </c>
      <c r="C56" s="532"/>
      <c r="D56" s="532" t="s">
        <v>4368</v>
      </c>
      <c r="E56" s="331"/>
      <c r="F56" s="331">
        <v>14000</v>
      </c>
      <c r="G56" s="534">
        <f>E56-F56</f>
        <v>-14000</v>
      </c>
    </row>
    <row r="57" spans="1:7" x14ac:dyDescent="0.3">
      <c r="A57" s="535">
        <v>43598</v>
      </c>
      <c r="B57" s="533" t="s">
        <v>121</v>
      </c>
      <c r="C57" s="532"/>
      <c r="D57" s="532" t="s">
        <v>641</v>
      </c>
      <c r="E57" s="331"/>
      <c r="F57" s="331">
        <v>1000</v>
      </c>
      <c r="G57" s="534">
        <f>E57-F57</f>
        <v>-1000</v>
      </c>
    </row>
    <row r="58" spans="1:7" x14ac:dyDescent="0.3">
      <c r="A58" s="535">
        <v>43605</v>
      </c>
      <c r="B58" s="533" t="s">
        <v>121</v>
      </c>
      <c r="C58" s="532"/>
      <c r="D58" s="532" t="s">
        <v>5290</v>
      </c>
      <c r="E58" s="331"/>
      <c r="F58" s="331">
        <v>5000</v>
      </c>
      <c r="G58" s="534">
        <f>E58-F58</f>
        <v>-5000</v>
      </c>
    </row>
    <row r="59" spans="1:7" x14ac:dyDescent="0.3">
      <c r="A59" s="535">
        <v>43605</v>
      </c>
      <c r="B59" s="533" t="s">
        <v>121</v>
      </c>
      <c r="C59" s="532"/>
      <c r="D59" s="532" t="s">
        <v>5150</v>
      </c>
      <c r="E59" s="331"/>
      <c r="F59" s="331">
        <v>7000</v>
      </c>
      <c r="G59" s="534">
        <f>E59-F59</f>
        <v>-7000</v>
      </c>
    </row>
    <row r="60" spans="1:7" x14ac:dyDescent="0.3">
      <c r="A60" s="535">
        <v>43605</v>
      </c>
      <c r="B60" s="533" t="s">
        <v>121</v>
      </c>
      <c r="C60" s="532"/>
      <c r="D60" s="532" t="s">
        <v>5294</v>
      </c>
      <c r="E60" s="331"/>
      <c r="F60" s="331">
        <v>7000</v>
      </c>
      <c r="G60" s="534">
        <f>E60-F60</f>
        <v>-7000</v>
      </c>
    </row>
    <row r="61" spans="1:7" x14ac:dyDescent="0.3">
      <c r="A61" s="535">
        <v>43605</v>
      </c>
      <c r="B61" s="533" t="s">
        <v>121</v>
      </c>
      <c r="C61" s="532"/>
      <c r="D61" s="532" t="s">
        <v>5306</v>
      </c>
      <c r="E61" s="331"/>
      <c r="F61" s="331">
        <v>8500</v>
      </c>
      <c r="G61" s="534">
        <f>E61-F61</f>
        <v>-8500</v>
      </c>
    </row>
    <row r="62" spans="1:7" x14ac:dyDescent="0.3">
      <c r="A62" s="535">
        <v>43608</v>
      </c>
      <c r="B62" s="533" t="s">
        <v>121</v>
      </c>
      <c r="C62" s="532"/>
      <c r="D62" s="532" t="s">
        <v>5318</v>
      </c>
      <c r="E62" s="331"/>
      <c r="F62" s="331">
        <v>10000</v>
      </c>
      <c r="G62" s="534">
        <f>E62-F62</f>
        <v>-10000</v>
      </c>
    </row>
    <row r="63" spans="1:7" x14ac:dyDescent="0.3">
      <c r="A63" s="535">
        <v>43608</v>
      </c>
      <c r="B63" s="533" t="s">
        <v>121</v>
      </c>
      <c r="C63" s="532"/>
      <c r="D63" s="532" t="s">
        <v>295</v>
      </c>
      <c r="E63" s="331">
        <v>10000</v>
      </c>
      <c r="F63" s="331"/>
      <c r="G63" s="534">
        <f>E63-F63</f>
        <v>10000</v>
      </c>
    </row>
    <row r="64" spans="1:7" x14ac:dyDescent="0.3">
      <c r="A64" s="535">
        <v>43613</v>
      </c>
      <c r="B64" s="533" t="s">
        <v>121</v>
      </c>
      <c r="C64" s="532"/>
      <c r="D64" s="532" t="s">
        <v>295</v>
      </c>
      <c r="E64" s="331">
        <v>3000</v>
      </c>
      <c r="F64" s="331"/>
      <c r="G64" s="534">
        <f>E64-F64</f>
        <v>3000</v>
      </c>
    </row>
    <row r="65" spans="1:7" x14ac:dyDescent="0.3">
      <c r="A65" s="535">
        <v>43614</v>
      </c>
      <c r="B65" s="533" t="s">
        <v>121</v>
      </c>
      <c r="C65" s="532"/>
      <c r="D65" s="532" t="s">
        <v>5336</v>
      </c>
      <c r="E65" s="331"/>
      <c r="F65" s="331">
        <v>1000</v>
      </c>
      <c r="G65" s="534">
        <f>E65-F65</f>
        <v>-1000</v>
      </c>
    </row>
    <row r="66" spans="1:7" x14ac:dyDescent="0.3">
      <c r="A66" s="535">
        <v>43614</v>
      </c>
      <c r="B66" s="533" t="s">
        <v>121</v>
      </c>
      <c r="C66" s="532"/>
      <c r="D66" s="532" t="s">
        <v>5337</v>
      </c>
      <c r="E66" s="331"/>
      <c r="F66" s="331">
        <v>4100</v>
      </c>
      <c r="G66" s="534">
        <f>E66-F66</f>
        <v>-4100</v>
      </c>
    </row>
    <row r="67" spans="1:7" x14ac:dyDescent="0.3">
      <c r="A67" s="535">
        <v>43614</v>
      </c>
      <c r="B67" s="533" t="s">
        <v>121</v>
      </c>
      <c r="C67" s="532"/>
      <c r="D67" s="532" t="s">
        <v>4370</v>
      </c>
      <c r="E67" s="331"/>
      <c r="F67" s="331">
        <v>2000</v>
      </c>
      <c r="G67" s="534">
        <f>E67-F67</f>
        <v>-2000</v>
      </c>
    </row>
    <row r="68" spans="1:7" x14ac:dyDescent="0.3">
      <c r="A68" s="535">
        <v>43614</v>
      </c>
      <c r="B68" s="533" t="s">
        <v>121</v>
      </c>
      <c r="C68" s="532"/>
      <c r="D68" s="532" t="s">
        <v>5338</v>
      </c>
      <c r="E68" s="331"/>
      <c r="F68" s="331">
        <v>1000</v>
      </c>
      <c r="G68" s="534">
        <f>E68-F68</f>
        <v>-1000</v>
      </c>
    </row>
    <row r="69" spans="1:7" x14ac:dyDescent="0.3">
      <c r="A69" s="535">
        <v>43614</v>
      </c>
      <c r="B69" s="533" t="s">
        <v>121</v>
      </c>
      <c r="C69" s="532"/>
      <c r="D69" s="532" t="s">
        <v>5339</v>
      </c>
      <c r="E69" s="331"/>
      <c r="F69" s="331">
        <v>1000</v>
      </c>
      <c r="G69" s="534">
        <f>E69-F69</f>
        <v>-1000</v>
      </c>
    </row>
    <row r="70" spans="1:7" x14ac:dyDescent="0.3">
      <c r="A70" s="535">
        <v>43614</v>
      </c>
      <c r="B70" s="533" t="s">
        <v>121</v>
      </c>
      <c r="C70" s="532"/>
      <c r="D70" s="532" t="s">
        <v>5340</v>
      </c>
      <c r="E70" s="331"/>
      <c r="F70" s="331">
        <v>1000</v>
      </c>
      <c r="G70" s="534">
        <f>E70-F70</f>
        <v>-1000</v>
      </c>
    </row>
    <row r="71" spans="1:7" x14ac:dyDescent="0.3">
      <c r="A71" s="535">
        <v>43615</v>
      </c>
      <c r="B71" s="533" t="s">
        <v>121</v>
      </c>
      <c r="C71" s="532"/>
      <c r="D71" s="532" t="s">
        <v>295</v>
      </c>
      <c r="E71" s="331">
        <v>10000</v>
      </c>
      <c r="F71" s="331"/>
      <c r="G71" s="534">
        <f>E71-F71</f>
        <v>10000</v>
      </c>
    </row>
    <row r="72" spans="1:7" x14ac:dyDescent="0.3">
      <c r="A72" s="535">
        <v>43619</v>
      </c>
      <c r="B72" s="533" t="s">
        <v>121</v>
      </c>
      <c r="C72" s="532"/>
      <c r="D72" s="532" t="s">
        <v>3924</v>
      </c>
      <c r="E72" s="331"/>
      <c r="F72" s="331">
        <v>2000</v>
      </c>
      <c r="G72" s="534">
        <f>E72-F72</f>
        <v>-2000</v>
      </c>
    </row>
    <row r="73" spans="1:7" x14ac:dyDescent="0.3">
      <c r="A73" s="535">
        <v>43627</v>
      </c>
      <c r="B73" s="533" t="s">
        <v>121</v>
      </c>
      <c r="C73" s="532"/>
      <c r="D73" s="532" t="s">
        <v>5360</v>
      </c>
      <c r="E73" s="331"/>
      <c r="F73" s="331">
        <v>10000</v>
      </c>
      <c r="G73" s="534">
        <f>E73-F73</f>
        <v>-10000</v>
      </c>
    </row>
    <row r="74" spans="1:7" x14ac:dyDescent="0.3">
      <c r="A74" s="535">
        <v>43627</v>
      </c>
      <c r="B74" s="533" t="s">
        <v>121</v>
      </c>
      <c r="C74" s="532"/>
      <c r="D74" s="532" t="s">
        <v>295</v>
      </c>
      <c r="E74" s="331">
        <v>40000</v>
      </c>
      <c r="F74" s="331"/>
      <c r="G74" s="534">
        <f>E74-F74</f>
        <v>40000</v>
      </c>
    </row>
    <row r="75" spans="1:7" x14ac:dyDescent="0.3">
      <c r="A75" s="535">
        <v>43631</v>
      </c>
      <c r="B75" s="533" t="s">
        <v>121</v>
      </c>
      <c r="C75" s="532"/>
      <c r="D75" s="532" t="s">
        <v>5372</v>
      </c>
      <c r="E75" s="331"/>
      <c r="F75" s="331">
        <v>25000</v>
      </c>
      <c r="G75" s="534">
        <f>E75-F75</f>
        <v>-25000</v>
      </c>
    </row>
    <row r="76" spans="1:7" x14ac:dyDescent="0.3">
      <c r="A76" s="535">
        <v>43631</v>
      </c>
      <c r="B76" s="533" t="s">
        <v>121</v>
      </c>
      <c r="C76" s="532"/>
      <c r="D76" s="532" t="s">
        <v>5373</v>
      </c>
      <c r="E76" s="331"/>
      <c r="F76" s="331">
        <v>4000</v>
      </c>
      <c r="G76" s="534">
        <f>E76-F76</f>
        <v>-4000</v>
      </c>
    </row>
    <row r="77" spans="1:7" x14ac:dyDescent="0.3">
      <c r="A77" s="535">
        <v>43647</v>
      </c>
      <c r="B77" s="533" t="s">
        <v>121</v>
      </c>
      <c r="C77" s="532"/>
      <c r="D77" s="532" t="s">
        <v>5318</v>
      </c>
      <c r="E77" s="331"/>
      <c r="F77" s="331">
        <v>5000</v>
      </c>
      <c r="G77" s="534">
        <f>E77-F77</f>
        <v>-5000</v>
      </c>
    </row>
    <row r="78" spans="1:7" x14ac:dyDescent="0.3">
      <c r="A78" s="535">
        <v>43649</v>
      </c>
      <c r="B78" s="533" t="s">
        <v>121</v>
      </c>
      <c r="C78" s="532"/>
      <c r="D78" s="532" t="s">
        <v>5431</v>
      </c>
      <c r="E78" s="331"/>
      <c r="F78" s="331">
        <v>1000</v>
      </c>
      <c r="G78" s="534">
        <f>E78-F78</f>
        <v>-1000</v>
      </c>
    </row>
    <row r="79" spans="1:7" x14ac:dyDescent="0.3">
      <c r="A79" s="535">
        <v>43649</v>
      </c>
      <c r="B79" s="533" t="s">
        <v>121</v>
      </c>
      <c r="C79" s="532"/>
      <c r="D79" s="532" t="s">
        <v>5432</v>
      </c>
      <c r="E79" s="331"/>
      <c r="F79" s="331">
        <v>3000</v>
      </c>
      <c r="G79" s="534">
        <f>E79-F79</f>
        <v>-3000</v>
      </c>
    </row>
    <row r="80" spans="1:7" x14ac:dyDescent="0.3">
      <c r="A80" s="535">
        <v>43649</v>
      </c>
      <c r="B80" s="533" t="s">
        <v>121</v>
      </c>
      <c r="C80" s="532"/>
      <c r="D80" s="532" t="s">
        <v>5433</v>
      </c>
      <c r="E80" s="331"/>
      <c r="F80" s="331">
        <v>2000</v>
      </c>
      <c r="G80" s="534">
        <f>E80-F80</f>
        <v>-2000</v>
      </c>
    </row>
    <row r="81" spans="1:7" x14ac:dyDescent="0.3">
      <c r="A81" s="535">
        <v>43649</v>
      </c>
      <c r="B81" s="533" t="s">
        <v>121</v>
      </c>
      <c r="C81" s="532"/>
      <c r="D81" s="532" t="s">
        <v>5434</v>
      </c>
      <c r="E81" s="331"/>
      <c r="F81" s="331">
        <v>2000</v>
      </c>
      <c r="G81" s="534">
        <f>E81-F81</f>
        <v>-2000</v>
      </c>
    </row>
    <row r="82" spans="1:7" x14ac:dyDescent="0.3">
      <c r="A82" s="535">
        <v>43657</v>
      </c>
      <c r="B82" s="533" t="s">
        <v>121</v>
      </c>
      <c r="C82" s="532"/>
      <c r="D82" s="532" t="s">
        <v>641</v>
      </c>
      <c r="E82" s="331"/>
      <c r="F82" s="331">
        <v>1000</v>
      </c>
      <c r="G82" s="534">
        <f>E82-F82</f>
        <v>-1000</v>
      </c>
    </row>
    <row r="83" spans="1:7" x14ac:dyDescent="0.3">
      <c r="A83" s="535">
        <v>43657</v>
      </c>
      <c r="B83" s="533" t="s">
        <v>121</v>
      </c>
      <c r="C83" s="532"/>
      <c r="D83" s="532" t="s">
        <v>295</v>
      </c>
      <c r="E83" s="331">
        <v>13000</v>
      </c>
      <c r="F83" s="331"/>
      <c r="G83" s="534">
        <f>E83-F83</f>
        <v>13000</v>
      </c>
    </row>
    <row r="84" spans="1:7" x14ac:dyDescent="0.3">
      <c r="A84" s="535">
        <v>43662</v>
      </c>
      <c r="B84" s="533" t="s">
        <v>121</v>
      </c>
      <c r="C84" s="532"/>
      <c r="D84" s="532" t="s">
        <v>4705</v>
      </c>
      <c r="E84" s="331"/>
      <c r="F84" s="331">
        <v>500</v>
      </c>
      <c r="G84" s="534">
        <f>E84-F84</f>
        <v>-500</v>
      </c>
    </row>
    <row r="85" spans="1:7" x14ac:dyDescent="0.3">
      <c r="A85" s="535">
        <v>43668</v>
      </c>
      <c r="B85" s="533" t="s">
        <v>121</v>
      </c>
      <c r="C85" s="532"/>
      <c r="D85" s="532" t="s">
        <v>295</v>
      </c>
      <c r="E85" s="331">
        <v>5000</v>
      </c>
      <c r="F85" s="331"/>
      <c r="G85" s="534">
        <f>E85-F85</f>
        <v>5000</v>
      </c>
    </row>
    <row r="86" spans="1:7" x14ac:dyDescent="0.3">
      <c r="A86" s="535">
        <v>43668</v>
      </c>
      <c r="B86" s="533" t="s">
        <v>121</v>
      </c>
      <c r="C86" s="532"/>
      <c r="D86" s="532" t="s">
        <v>5511</v>
      </c>
      <c r="E86" s="331"/>
      <c r="F86" s="331">
        <v>4000</v>
      </c>
      <c r="G86" s="534">
        <f>E86-F86</f>
        <v>-4000</v>
      </c>
    </row>
    <row r="87" spans="1:7" x14ac:dyDescent="0.3">
      <c r="A87" s="535">
        <v>43668</v>
      </c>
      <c r="B87" s="533" t="s">
        <v>121</v>
      </c>
      <c r="C87" s="532"/>
      <c r="D87" s="532" t="s">
        <v>5514</v>
      </c>
      <c r="E87" s="331">
        <v>50000</v>
      </c>
      <c r="F87" s="331"/>
      <c r="G87" s="534">
        <f>E87-F87</f>
        <v>50000</v>
      </c>
    </row>
    <row r="88" spans="1:7" x14ac:dyDescent="0.3">
      <c r="A88" s="535">
        <v>43669</v>
      </c>
      <c r="B88" s="533" t="s">
        <v>121</v>
      </c>
      <c r="C88" s="532"/>
      <c r="D88" s="532" t="s">
        <v>295</v>
      </c>
      <c r="E88" s="331">
        <v>5000</v>
      </c>
      <c r="F88" s="331"/>
      <c r="G88" s="534">
        <f>E88-F88</f>
        <v>5000</v>
      </c>
    </row>
    <row r="89" spans="1:7" x14ac:dyDescent="0.3">
      <c r="A89" s="535">
        <v>43672</v>
      </c>
      <c r="B89" s="533" t="s">
        <v>121</v>
      </c>
      <c r="C89" s="532"/>
      <c r="D89" s="532" t="s">
        <v>5527</v>
      </c>
      <c r="E89" s="331"/>
      <c r="F89" s="331">
        <v>15000</v>
      </c>
      <c r="G89" s="534">
        <f>E89-F89</f>
        <v>-15000</v>
      </c>
    </row>
    <row r="90" spans="1:7" x14ac:dyDescent="0.3">
      <c r="A90" s="535">
        <v>43672</v>
      </c>
      <c r="B90" s="533" t="s">
        <v>121</v>
      </c>
      <c r="C90" s="532"/>
      <c r="D90" s="532" t="s">
        <v>5528</v>
      </c>
      <c r="E90" s="331"/>
      <c r="F90" s="331">
        <v>30000</v>
      </c>
      <c r="G90" s="534">
        <f>E90-F90</f>
        <v>-30000</v>
      </c>
    </row>
    <row r="91" spans="1:7" x14ac:dyDescent="0.3">
      <c r="A91" s="535">
        <v>43673</v>
      </c>
      <c r="B91" s="533" t="s">
        <v>121</v>
      </c>
      <c r="C91" s="532"/>
      <c r="D91" s="532" t="s">
        <v>295</v>
      </c>
      <c r="E91" s="331">
        <v>9000</v>
      </c>
      <c r="F91" s="331"/>
      <c r="G91" s="534">
        <f>E91-F91</f>
        <v>9000</v>
      </c>
    </row>
    <row r="92" spans="1:7" x14ac:dyDescent="0.3">
      <c r="A92" s="535">
        <v>43673</v>
      </c>
      <c r="B92" s="533" t="s">
        <v>121</v>
      </c>
      <c r="C92" s="532"/>
      <c r="D92" s="532" t="s">
        <v>5158</v>
      </c>
      <c r="E92" s="331"/>
      <c r="F92" s="331">
        <v>2000</v>
      </c>
      <c r="G92" s="534">
        <f>E92-F92</f>
        <v>-2000</v>
      </c>
    </row>
    <row r="93" spans="1:7" x14ac:dyDescent="0.3">
      <c r="A93" s="535">
        <v>43673</v>
      </c>
      <c r="B93" s="533" t="s">
        <v>121</v>
      </c>
      <c r="C93" s="532"/>
      <c r="D93" s="532" t="s">
        <v>4368</v>
      </c>
      <c r="E93" s="331"/>
      <c r="F93" s="331">
        <v>2000</v>
      </c>
      <c r="G93" s="534">
        <f>E93-F93</f>
        <v>-2000</v>
      </c>
    </row>
    <row r="94" spans="1:7" x14ac:dyDescent="0.3">
      <c r="A94" s="535">
        <v>43673</v>
      </c>
      <c r="B94" s="533" t="s">
        <v>121</v>
      </c>
      <c r="C94" s="532"/>
      <c r="D94" s="532" t="s">
        <v>5158</v>
      </c>
      <c r="E94" s="331"/>
      <c r="F94" s="331">
        <v>12180</v>
      </c>
      <c r="G94" s="534">
        <f>E94-F94</f>
        <v>-12180</v>
      </c>
    </row>
    <row r="95" spans="1:7" x14ac:dyDescent="0.3">
      <c r="A95" s="535">
        <v>43673</v>
      </c>
      <c r="B95" s="533" t="s">
        <v>121</v>
      </c>
      <c r="C95" s="532"/>
      <c r="D95" s="532" t="s">
        <v>5444</v>
      </c>
      <c r="E95" s="331"/>
      <c r="F95" s="331">
        <v>4600</v>
      </c>
      <c r="G95" s="534">
        <f>E95-F95</f>
        <v>-4600</v>
      </c>
    </row>
    <row r="96" spans="1:7" x14ac:dyDescent="0.3">
      <c r="A96" s="535">
        <v>43679</v>
      </c>
      <c r="B96" s="533" t="s">
        <v>121</v>
      </c>
      <c r="C96" s="532"/>
      <c r="D96" s="532" t="s">
        <v>295</v>
      </c>
      <c r="E96" s="331">
        <v>2000</v>
      </c>
      <c r="F96" s="331"/>
      <c r="G96" s="534">
        <f>E96-F96</f>
        <v>2000</v>
      </c>
    </row>
    <row r="97" spans="1:7" x14ac:dyDescent="0.3">
      <c r="A97" s="535">
        <v>43696</v>
      </c>
      <c r="B97" s="533" t="s">
        <v>121</v>
      </c>
      <c r="C97" s="532"/>
      <c r="D97" s="532" t="s">
        <v>1533</v>
      </c>
      <c r="E97" s="331">
        <v>5000</v>
      </c>
      <c r="F97" s="331"/>
      <c r="G97" s="534">
        <f>E97-F97</f>
        <v>5000</v>
      </c>
    </row>
    <row r="98" spans="1:7" x14ac:dyDescent="0.3">
      <c r="A98" s="535">
        <v>43705</v>
      </c>
      <c r="B98" s="533" t="s">
        <v>121</v>
      </c>
      <c r="C98" s="532"/>
      <c r="D98" s="532" t="s">
        <v>5337</v>
      </c>
      <c r="E98" s="331"/>
      <c r="F98" s="331">
        <v>3500</v>
      </c>
      <c r="G98" s="534">
        <f>E98-F98</f>
        <v>-3500</v>
      </c>
    </row>
    <row r="99" spans="1:7" x14ac:dyDescent="0.3">
      <c r="A99" s="535">
        <v>43705</v>
      </c>
      <c r="B99" s="533" t="s">
        <v>121</v>
      </c>
      <c r="C99" s="532"/>
      <c r="D99" s="532" t="s">
        <v>4655</v>
      </c>
      <c r="E99" s="331"/>
      <c r="F99" s="331">
        <v>4250</v>
      </c>
      <c r="G99" s="534">
        <f>E99-F99</f>
        <v>-4250</v>
      </c>
    </row>
    <row r="100" spans="1:7" x14ac:dyDescent="0.3">
      <c r="A100" s="535">
        <v>43705</v>
      </c>
      <c r="B100" s="533" t="s">
        <v>121</v>
      </c>
      <c r="C100" s="532"/>
      <c r="D100" s="532" t="s">
        <v>5634</v>
      </c>
      <c r="E100" s="331"/>
      <c r="F100" s="331">
        <v>2500</v>
      </c>
      <c r="G100" s="534">
        <f>E100-F100</f>
        <v>-2500</v>
      </c>
    </row>
    <row r="101" spans="1:7" x14ac:dyDescent="0.3">
      <c r="A101" s="535">
        <v>43710</v>
      </c>
      <c r="B101" s="533" t="s">
        <v>121</v>
      </c>
      <c r="C101" s="532"/>
      <c r="D101" s="532" t="s">
        <v>1533</v>
      </c>
      <c r="E101" s="331">
        <v>22000</v>
      </c>
      <c r="F101" s="331"/>
      <c r="G101" s="534">
        <f>E101-F101</f>
        <v>22000</v>
      </c>
    </row>
    <row r="102" spans="1:7" x14ac:dyDescent="0.3">
      <c r="A102" s="535">
        <v>43710</v>
      </c>
      <c r="B102" s="533" t="s">
        <v>121</v>
      </c>
      <c r="C102" s="532"/>
      <c r="D102" s="532" t="s">
        <v>4354</v>
      </c>
      <c r="E102" s="331">
        <v>60000</v>
      </c>
      <c r="F102" s="331"/>
      <c r="G102" s="534">
        <f>E102-F102</f>
        <v>60000</v>
      </c>
    </row>
    <row r="103" spans="1:7" x14ac:dyDescent="0.3">
      <c r="A103" s="535">
        <v>43733</v>
      </c>
      <c r="B103" s="533" t="s">
        <v>121</v>
      </c>
      <c r="C103" s="532"/>
      <c r="D103" s="532" t="s">
        <v>4354</v>
      </c>
      <c r="E103" s="331">
        <v>4000</v>
      </c>
      <c r="F103" s="331"/>
      <c r="G103" s="534">
        <f>E103-F103</f>
        <v>4000</v>
      </c>
    </row>
    <row r="104" spans="1:7" x14ac:dyDescent="0.3">
      <c r="A104" s="535">
        <v>43738</v>
      </c>
      <c r="B104" s="533" t="s">
        <v>121</v>
      </c>
      <c r="C104" s="532"/>
      <c r="D104" s="532" t="s">
        <v>5758</v>
      </c>
      <c r="E104" s="331"/>
      <c r="F104" s="331">
        <v>42000</v>
      </c>
      <c r="G104" s="534">
        <f>E104-F104</f>
        <v>-42000</v>
      </c>
    </row>
    <row r="105" spans="1:7" x14ac:dyDescent="0.3">
      <c r="A105" s="535">
        <v>43738</v>
      </c>
      <c r="B105" s="533" t="s">
        <v>121</v>
      </c>
      <c r="C105" s="532"/>
      <c r="D105" s="532" t="s">
        <v>5759</v>
      </c>
      <c r="E105" s="331"/>
      <c r="F105" s="331">
        <v>115000</v>
      </c>
      <c r="G105" s="534">
        <f>E105-F105</f>
        <v>-115000</v>
      </c>
    </row>
    <row r="106" spans="1:7" x14ac:dyDescent="0.3">
      <c r="A106" s="535">
        <v>43738</v>
      </c>
      <c r="B106" s="533" t="s">
        <v>121</v>
      </c>
      <c r="C106" s="532"/>
      <c r="D106" s="532" t="s">
        <v>31</v>
      </c>
      <c r="E106" s="331"/>
      <c r="F106" s="331">
        <v>10100</v>
      </c>
      <c r="G106" s="534">
        <f>E106-F106</f>
        <v>-10100</v>
      </c>
    </row>
    <row r="107" spans="1:7" x14ac:dyDescent="0.3">
      <c r="A107" s="535">
        <v>43738</v>
      </c>
      <c r="B107" s="533" t="s">
        <v>121</v>
      </c>
      <c r="C107" s="532"/>
      <c r="D107" s="532" t="s">
        <v>4705</v>
      </c>
      <c r="E107" s="331"/>
      <c r="F107" s="331">
        <v>2000</v>
      </c>
      <c r="G107" s="534">
        <f>E107-F107</f>
        <v>-2000</v>
      </c>
    </row>
    <row r="108" spans="1:7" x14ac:dyDescent="0.3">
      <c r="A108" s="535">
        <v>43745</v>
      </c>
      <c r="B108" s="533" t="s">
        <v>121</v>
      </c>
      <c r="C108" s="532"/>
      <c r="D108" s="532" t="s">
        <v>5794</v>
      </c>
      <c r="E108" s="331"/>
      <c r="F108" s="331">
        <v>5500</v>
      </c>
      <c r="G108" s="534">
        <f>E108-F108</f>
        <v>-5500</v>
      </c>
    </row>
    <row r="109" spans="1:7" x14ac:dyDescent="0.3">
      <c r="A109" s="535">
        <v>43745</v>
      </c>
      <c r="B109" s="533" t="s">
        <v>121</v>
      </c>
      <c r="C109" s="532"/>
      <c r="D109" s="532" t="s">
        <v>295</v>
      </c>
      <c r="E109" s="331">
        <v>9000</v>
      </c>
      <c r="F109" s="331"/>
      <c r="G109" s="534">
        <f>E109-F109</f>
        <v>9000</v>
      </c>
    </row>
    <row r="110" spans="1:7" x14ac:dyDescent="0.3">
      <c r="A110" s="535">
        <v>43745</v>
      </c>
      <c r="B110" s="533" t="s">
        <v>121</v>
      </c>
      <c r="C110" s="532"/>
      <c r="D110" s="532" t="s">
        <v>5433</v>
      </c>
      <c r="E110" s="331"/>
      <c r="F110" s="331">
        <v>500</v>
      </c>
      <c r="G110" s="534">
        <f>E110-F110</f>
        <v>-500</v>
      </c>
    </row>
    <row r="111" spans="1:7" x14ac:dyDescent="0.3">
      <c r="A111" s="535">
        <v>43745</v>
      </c>
      <c r="B111" s="533" t="s">
        <v>121</v>
      </c>
      <c r="C111" s="532"/>
      <c r="D111" s="532" t="s">
        <v>5434</v>
      </c>
      <c r="E111" s="331"/>
      <c r="F111" s="331">
        <v>4000</v>
      </c>
      <c r="G111" s="534">
        <f>E111-F111</f>
        <v>-4000</v>
      </c>
    </row>
    <row r="112" spans="1:7" x14ac:dyDescent="0.3">
      <c r="A112" s="535">
        <v>43745</v>
      </c>
      <c r="B112" s="533" t="s">
        <v>121</v>
      </c>
      <c r="C112" s="532"/>
      <c r="D112" s="532" t="s">
        <v>5434</v>
      </c>
      <c r="E112" s="331"/>
      <c r="F112" s="331">
        <v>12000</v>
      </c>
      <c r="G112" s="534">
        <f>E112-F112</f>
        <v>-12000</v>
      </c>
    </row>
    <row r="113" spans="1:7" x14ac:dyDescent="0.3">
      <c r="A113" s="535">
        <v>43745</v>
      </c>
      <c r="B113" s="533" t="s">
        <v>121</v>
      </c>
      <c r="C113" s="532"/>
      <c r="D113" s="532" t="s">
        <v>5803</v>
      </c>
      <c r="E113" s="331"/>
      <c r="F113" s="331">
        <v>8144</v>
      </c>
      <c r="G113" s="534">
        <f>E113-F113</f>
        <v>-8144</v>
      </c>
    </row>
    <row r="114" spans="1:7" x14ac:dyDescent="0.3">
      <c r="A114" s="535">
        <v>43745</v>
      </c>
      <c r="B114" s="533" t="s">
        <v>121</v>
      </c>
      <c r="C114" s="532"/>
      <c r="D114" s="532" t="s">
        <v>5318</v>
      </c>
      <c r="E114" s="331"/>
      <c r="F114" s="331">
        <v>6500</v>
      </c>
      <c r="G114" s="534">
        <f>E114-F114</f>
        <v>-6500</v>
      </c>
    </row>
    <row r="115" spans="1:7" x14ac:dyDescent="0.3">
      <c r="A115" s="535">
        <v>43748</v>
      </c>
      <c r="B115" s="533" t="s">
        <v>121</v>
      </c>
      <c r="C115" s="532"/>
      <c r="D115" s="532" t="s">
        <v>5318</v>
      </c>
      <c r="E115" s="331"/>
      <c r="F115" s="331">
        <v>5000</v>
      </c>
      <c r="G115" s="534">
        <f>E115-F115</f>
        <v>-5000</v>
      </c>
    </row>
    <row r="116" spans="1:7" x14ac:dyDescent="0.3">
      <c r="A116" s="535">
        <v>43748</v>
      </c>
      <c r="B116" s="533" t="s">
        <v>121</v>
      </c>
      <c r="C116" s="532"/>
      <c r="D116" s="532" t="s">
        <v>2597</v>
      </c>
      <c r="E116" s="331"/>
      <c r="F116" s="331">
        <v>10000</v>
      </c>
      <c r="G116" s="534">
        <f>E116-F116</f>
        <v>-10000</v>
      </c>
    </row>
    <row r="117" spans="1:7" x14ac:dyDescent="0.3">
      <c r="A117" s="535">
        <v>43749</v>
      </c>
      <c r="B117" s="533" t="s">
        <v>121</v>
      </c>
      <c r="C117" s="532"/>
      <c r="D117" s="532" t="s">
        <v>295</v>
      </c>
      <c r="E117" s="331">
        <v>35000</v>
      </c>
      <c r="F117" s="331"/>
      <c r="G117" s="534">
        <f>E117-F117</f>
        <v>35000</v>
      </c>
    </row>
    <row r="118" spans="1:7" x14ac:dyDescent="0.3">
      <c r="A118" s="535">
        <v>43749</v>
      </c>
      <c r="B118" s="533" t="s">
        <v>121</v>
      </c>
      <c r="C118" s="532"/>
      <c r="D118" s="532" t="s">
        <v>5817</v>
      </c>
      <c r="E118" s="331"/>
      <c r="F118" s="331">
        <v>16000</v>
      </c>
      <c r="G118" s="534">
        <f>E118-F118</f>
        <v>-16000</v>
      </c>
    </row>
    <row r="119" spans="1:7" x14ac:dyDescent="0.3">
      <c r="A119" s="535">
        <v>43752</v>
      </c>
      <c r="B119" s="533" t="s">
        <v>121</v>
      </c>
      <c r="C119" s="532"/>
      <c r="D119" s="532" t="s">
        <v>295</v>
      </c>
      <c r="E119" s="331">
        <v>100000</v>
      </c>
      <c r="F119" s="331"/>
      <c r="G119" s="534">
        <f>E119-F119</f>
        <v>100000</v>
      </c>
    </row>
    <row r="120" spans="1:7" x14ac:dyDescent="0.3">
      <c r="A120" s="535">
        <v>43753</v>
      </c>
      <c r="B120" s="533" t="s">
        <v>121</v>
      </c>
      <c r="C120" s="532"/>
      <c r="D120" s="532" t="s">
        <v>5150</v>
      </c>
      <c r="E120" s="331"/>
      <c r="F120" s="331">
        <v>3000</v>
      </c>
      <c r="G120" s="534">
        <f>E120-F120</f>
        <v>-3000</v>
      </c>
    </row>
    <row r="121" spans="1:7" x14ac:dyDescent="0.3">
      <c r="A121" s="535">
        <v>43756</v>
      </c>
      <c r="B121" s="533" t="s">
        <v>121</v>
      </c>
      <c r="C121" s="532"/>
      <c r="D121" s="532" t="s">
        <v>5832</v>
      </c>
      <c r="E121" s="331"/>
      <c r="F121" s="331">
        <v>50000</v>
      </c>
      <c r="G121" s="534">
        <f>E121-F121</f>
        <v>-50000</v>
      </c>
    </row>
    <row r="122" spans="1:7" x14ac:dyDescent="0.3">
      <c r="A122" s="535">
        <v>43756</v>
      </c>
      <c r="B122" s="533" t="s">
        <v>121</v>
      </c>
      <c r="C122" s="532"/>
      <c r="D122" s="532" t="s">
        <v>5833</v>
      </c>
      <c r="E122" s="331"/>
      <c r="F122" s="331">
        <v>1000</v>
      </c>
      <c r="G122" s="534">
        <f>E122-F122</f>
        <v>-1000</v>
      </c>
    </row>
    <row r="123" spans="1:7" x14ac:dyDescent="0.3">
      <c r="A123" s="535">
        <v>43760</v>
      </c>
      <c r="B123" s="533" t="s">
        <v>121</v>
      </c>
      <c r="C123" s="532"/>
      <c r="D123" s="532" t="s">
        <v>5852</v>
      </c>
      <c r="E123" s="331"/>
      <c r="F123" s="331">
        <v>50000</v>
      </c>
      <c r="G123" s="534">
        <f>E123-F123</f>
        <v>-50000</v>
      </c>
    </row>
    <row r="124" spans="1:7" x14ac:dyDescent="0.3">
      <c r="A124" s="535">
        <v>43760</v>
      </c>
      <c r="B124" s="533" t="s">
        <v>121</v>
      </c>
      <c r="C124" s="532"/>
      <c r="D124" s="532" t="s">
        <v>5853</v>
      </c>
      <c r="E124" s="331">
        <v>100000</v>
      </c>
      <c r="F124" s="331"/>
      <c r="G124" s="534">
        <f>E124-F124</f>
        <v>100000</v>
      </c>
    </row>
    <row r="125" spans="1:7" x14ac:dyDescent="0.3">
      <c r="A125" s="535">
        <v>43761</v>
      </c>
      <c r="B125" s="533" t="s">
        <v>121</v>
      </c>
      <c r="C125" s="532"/>
      <c r="D125" s="532" t="s">
        <v>5855</v>
      </c>
      <c r="E125" s="331"/>
      <c r="F125" s="331">
        <v>7000</v>
      </c>
      <c r="G125" s="534">
        <f>E125-F125</f>
        <v>-7000</v>
      </c>
    </row>
    <row r="126" spans="1:7" x14ac:dyDescent="0.3">
      <c r="A126" s="535">
        <v>43761</v>
      </c>
      <c r="B126" s="533" t="s">
        <v>121</v>
      </c>
      <c r="C126" s="532"/>
      <c r="D126" s="532" t="s">
        <v>4632</v>
      </c>
      <c r="E126" s="331"/>
      <c r="F126" s="331">
        <v>2000</v>
      </c>
      <c r="G126" s="534">
        <f>E126-F126</f>
        <v>-2000</v>
      </c>
    </row>
    <row r="127" spans="1:7" x14ac:dyDescent="0.3">
      <c r="A127" s="535">
        <v>43761</v>
      </c>
      <c r="B127" s="533" t="s">
        <v>121</v>
      </c>
      <c r="C127" s="532"/>
      <c r="D127" s="532" t="s">
        <v>5001</v>
      </c>
      <c r="E127" s="331"/>
      <c r="F127" s="331">
        <v>51080</v>
      </c>
      <c r="G127" s="534">
        <f>E127-F127</f>
        <v>-51080</v>
      </c>
    </row>
    <row r="128" spans="1:7" x14ac:dyDescent="0.3">
      <c r="A128" s="535">
        <v>43761</v>
      </c>
      <c r="B128" s="533" t="s">
        <v>121</v>
      </c>
      <c r="C128" s="532"/>
      <c r="D128" s="532" t="s">
        <v>295</v>
      </c>
      <c r="E128" s="331">
        <v>64000</v>
      </c>
      <c r="F128" s="331"/>
      <c r="G128" s="534">
        <f>E128-F128</f>
        <v>64000</v>
      </c>
    </row>
    <row r="129" spans="1:7" x14ac:dyDescent="0.3">
      <c r="A129" s="535">
        <v>43761</v>
      </c>
      <c r="B129" s="533" t="s">
        <v>121</v>
      </c>
      <c r="C129" s="532"/>
      <c r="D129" s="532" t="s">
        <v>4390</v>
      </c>
      <c r="E129" s="331"/>
      <c r="F129" s="331">
        <v>2550</v>
      </c>
      <c r="G129" s="534">
        <f>E129-F129</f>
        <v>-2550</v>
      </c>
    </row>
    <row r="130" spans="1:7" x14ac:dyDescent="0.3">
      <c r="A130" s="535">
        <v>43761</v>
      </c>
      <c r="B130" s="533" t="s">
        <v>121</v>
      </c>
      <c r="C130" s="532"/>
      <c r="D130" s="532" t="s">
        <v>1533</v>
      </c>
      <c r="E130" s="331">
        <v>15000</v>
      </c>
      <c r="F130" s="331"/>
      <c r="G130" s="534">
        <f>E130-F130</f>
        <v>15000</v>
      </c>
    </row>
    <row r="131" spans="1:7" x14ac:dyDescent="0.3">
      <c r="A131" s="535">
        <v>43763</v>
      </c>
      <c r="B131" s="533" t="s">
        <v>121</v>
      </c>
      <c r="C131" s="532"/>
      <c r="D131" s="532" t="s">
        <v>5877</v>
      </c>
      <c r="E131" s="331">
        <v>6850</v>
      </c>
      <c r="F131" s="331"/>
      <c r="G131" s="534">
        <f>E131-F131</f>
        <v>6850</v>
      </c>
    </row>
    <row r="132" spans="1:7" x14ac:dyDescent="0.3">
      <c r="A132" s="535">
        <v>43763</v>
      </c>
      <c r="B132" s="533" t="s">
        <v>121</v>
      </c>
      <c r="C132" s="532"/>
      <c r="D132" s="532" t="s">
        <v>5900</v>
      </c>
      <c r="E132" s="331"/>
      <c r="F132" s="331">
        <v>10000</v>
      </c>
      <c r="G132" s="534">
        <f>E132-F132</f>
        <v>-10000</v>
      </c>
    </row>
    <row r="133" spans="1:7" x14ac:dyDescent="0.3">
      <c r="A133" s="535">
        <v>43771</v>
      </c>
      <c r="B133" s="533" t="s">
        <v>121</v>
      </c>
      <c r="C133" s="532"/>
      <c r="D133" s="532" t="s">
        <v>295</v>
      </c>
      <c r="E133" s="331">
        <v>40000</v>
      </c>
      <c r="F133" s="331"/>
      <c r="G133" s="534">
        <f>E133-F133</f>
        <v>40000</v>
      </c>
    </row>
    <row r="134" spans="1:7" x14ac:dyDescent="0.3">
      <c r="A134" s="535">
        <v>43808</v>
      </c>
      <c r="B134" s="533" t="s">
        <v>121</v>
      </c>
      <c r="C134" s="532"/>
      <c r="D134" s="532" t="s">
        <v>5975</v>
      </c>
      <c r="E134" s="331"/>
      <c r="F134" s="331">
        <v>2000</v>
      </c>
      <c r="G134" s="534">
        <f>E134-F134</f>
        <v>-2000</v>
      </c>
    </row>
    <row r="135" spans="1:7" x14ac:dyDescent="0.3">
      <c r="A135" s="535">
        <v>43808</v>
      </c>
      <c r="B135" s="533" t="s">
        <v>121</v>
      </c>
      <c r="C135" s="532"/>
      <c r="D135" s="532" t="s">
        <v>5976</v>
      </c>
      <c r="E135" s="331"/>
      <c r="F135" s="331">
        <v>5000</v>
      </c>
      <c r="G135" s="534">
        <f>E135-F135</f>
        <v>-5000</v>
      </c>
    </row>
    <row r="136" spans="1:7" x14ac:dyDescent="0.3">
      <c r="A136" s="535">
        <v>43808</v>
      </c>
      <c r="B136" s="533" t="s">
        <v>121</v>
      </c>
      <c r="C136" s="532"/>
      <c r="D136" s="532" t="s">
        <v>4390</v>
      </c>
      <c r="E136" s="331"/>
      <c r="F136" s="331">
        <v>27150</v>
      </c>
      <c r="G136" s="534">
        <f>E136-F136</f>
        <v>-27150</v>
      </c>
    </row>
    <row r="137" spans="1:7" x14ac:dyDescent="0.3">
      <c r="A137" s="535">
        <v>43808</v>
      </c>
      <c r="B137" s="533" t="s">
        <v>121</v>
      </c>
      <c r="C137" s="532"/>
      <c r="D137" s="532" t="s">
        <v>295</v>
      </c>
      <c r="E137" s="331">
        <v>5000</v>
      </c>
      <c r="F137" s="331"/>
      <c r="G137" s="534">
        <f>E137-F137</f>
        <v>5000</v>
      </c>
    </row>
    <row r="138" spans="1:7" x14ac:dyDescent="0.3">
      <c r="A138" s="535">
        <v>43810</v>
      </c>
      <c r="B138" s="533" t="s">
        <v>121</v>
      </c>
      <c r="C138" s="532"/>
      <c r="D138" s="532" t="s">
        <v>295</v>
      </c>
      <c r="E138" s="331">
        <v>10000</v>
      </c>
      <c r="F138" s="331"/>
      <c r="G138" s="534">
        <f>E138-F138</f>
        <v>10000</v>
      </c>
    </row>
    <row r="139" spans="1:7" x14ac:dyDescent="0.3">
      <c r="A139" s="535">
        <v>43810</v>
      </c>
      <c r="B139" s="533" t="s">
        <v>121</v>
      </c>
      <c r="C139" s="532"/>
      <c r="D139" s="532" t="s">
        <v>4314</v>
      </c>
      <c r="E139" s="331">
        <v>20000</v>
      </c>
      <c r="F139" s="331"/>
      <c r="G139" s="534">
        <f>E139-F139</f>
        <v>20000</v>
      </c>
    </row>
    <row r="140" spans="1:7" x14ac:dyDescent="0.3">
      <c r="A140" s="535">
        <v>43810</v>
      </c>
      <c r="B140" s="533" t="s">
        <v>121</v>
      </c>
      <c r="C140" s="532"/>
      <c r="D140" s="532" t="s">
        <v>4314</v>
      </c>
      <c r="E140" s="331">
        <v>5000</v>
      </c>
      <c r="F140" s="331"/>
      <c r="G140" s="534">
        <f>E140-F140</f>
        <v>5000</v>
      </c>
    </row>
    <row r="141" spans="1:7" x14ac:dyDescent="0.3">
      <c r="A141" s="535">
        <v>43810</v>
      </c>
      <c r="B141" s="533" t="s">
        <v>121</v>
      </c>
      <c r="C141" s="532"/>
      <c r="D141" s="532" t="s">
        <v>6013</v>
      </c>
      <c r="E141" s="331"/>
      <c r="F141" s="331">
        <v>15000</v>
      </c>
      <c r="G141" s="534">
        <f>E141-F141</f>
        <v>-15000</v>
      </c>
    </row>
    <row r="142" spans="1:7" x14ac:dyDescent="0.3">
      <c r="A142" s="535">
        <v>43810</v>
      </c>
      <c r="B142" s="533" t="s">
        <v>121</v>
      </c>
      <c r="C142" s="532"/>
      <c r="D142" s="532" t="s">
        <v>3733</v>
      </c>
      <c r="E142" s="331">
        <v>1000</v>
      </c>
      <c r="F142" s="331"/>
      <c r="G142" s="534">
        <f>E142-F142</f>
        <v>1000</v>
      </c>
    </row>
    <row r="143" spans="1:7" x14ac:dyDescent="0.3">
      <c r="A143" s="535">
        <v>43810</v>
      </c>
      <c r="B143" s="533" t="s">
        <v>121</v>
      </c>
      <c r="C143" s="532"/>
      <c r="D143" s="532" t="s">
        <v>3733</v>
      </c>
      <c r="E143" s="331">
        <v>55000</v>
      </c>
      <c r="F143" s="331"/>
      <c r="G143" s="534">
        <f>E143-F143</f>
        <v>55000</v>
      </c>
    </row>
    <row r="144" spans="1:7" x14ac:dyDescent="0.3">
      <c r="A144" s="535">
        <v>43810</v>
      </c>
      <c r="B144" s="533" t="s">
        <v>121</v>
      </c>
      <c r="C144" s="532"/>
      <c r="D144" s="532" t="s">
        <v>3733</v>
      </c>
      <c r="E144" s="331">
        <v>30000</v>
      </c>
      <c r="F144" s="331"/>
      <c r="G144" s="534">
        <f>E144-F144</f>
        <v>30000</v>
      </c>
    </row>
    <row r="145" spans="1:7" x14ac:dyDescent="0.3">
      <c r="A145" s="535">
        <v>43831</v>
      </c>
      <c r="B145" s="533" t="s">
        <v>121</v>
      </c>
      <c r="C145" s="532"/>
      <c r="D145" s="532" t="s">
        <v>6053</v>
      </c>
      <c r="E145" s="331"/>
      <c r="F145" s="331">
        <v>5000</v>
      </c>
      <c r="G145" s="534">
        <f>E145-F145</f>
        <v>-5000</v>
      </c>
    </row>
    <row r="146" spans="1:7" x14ac:dyDescent="0.3">
      <c r="A146" s="535">
        <v>43831</v>
      </c>
      <c r="B146" s="533" t="s">
        <v>121</v>
      </c>
      <c r="C146" s="532"/>
      <c r="D146" s="532" t="s">
        <v>6054</v>
      </c>
      <c r="E146" s="331"/>
      <c r="F146" s="331">
        <v>5000</v>
      </c>
      <c r="G146" s="534">
        <f>E146-F146</f>
        <v>-5000</v>
      </c>
    </row>
    <row r="147" spans="1:7" x14ac:dyDescent="0.3">
      <c r="A147" s="535">
        <v>43831</v>
      </c>
      <c r="B147" s="533" t="s">
        <v>121</v>
      </c>
      <c r="C147" s="532"/>
      <c r="D147" s="532" t="s">
        <v>6055</v>
      </c>
      <c r="E147" s="331"/>
      <c r="F147" s="331">
        <v>20000</v>
      </c>
      <c r="G147" s="534">
        <f>E147-F147</f>
        <v>-20000</v>
      </c>
    </row>
    <row r="148" spans="1:7" x14ac:dyDescent="0.3">
      <c r="A148" s="535">
        <v>43831</v>
      </c>
      <c r="B148" s="533" t="s">
        <v>121</v>
      </c>
      <c r="C148" s="532"/>
      <c r="D148" s="532" t="s">
        <v>3924</v>
      </c>
      <c r="E148" s="331"/>
      <c r="F148" s="331">
        <v>39790</v>
      </c>
      <c r="G148" s="534">
        <f>E148-F148</f>
        <v>-39790</v>
      </c>
    </row>
    <row r="149" spans="1:7" x14ac:dyDescent="0.3">
      <c r="A149" s="535">
        <v>43831</v>
      </c>
      <c r="B149" s="533" t="s">
        <v>121</v>
      </c>
      <c r="C149" s="532"/>
      <c r="D149" s="532" t="s">
        <v>641</v>
      </c>
      <c r="E149" s="331"/>
      <c r="F149" s="331">
        <v>1000</v>
      </c>
      <c r="G149" s="534">
        <f>E149-F149</f>
        <v>-1000</v>
      </c>
    </row>
    <row r="150" spans="1:7" x14ac:dyDescent="0.3">
      <c r="A150" s="535">
        <v>43831</v>
      </c>
      <c r="B150" s="533" t="s">
        <v>121</v>
      </c>
      <c r="C150" s="532"/>
      <c r="D150" s="532" t="s">
        <v>8</v>
      </c>
      <c r="E150" s="331"/>
      <c r="F150" s="331">
        <v>500</v>
      </c>
      <c r="G150" s="534">
        <f>E150-F150</f>
        <v>-500</v>
      </c>
    </row>
    <row r="151" spans="1:7" x14ac:dyDescent="0.3">
      <c r="A151" s="535">
        <v>43844</v>
      </c>
      <c r="B151" s="533" t="s">
        <v>121</v>
      </c>
      <c r="C151" s="532"/>
      <c r="D151" s="532" t="s">
        <v>5158</v>
      </c>
      <c r="E151" s="331"/>
      <c r="F151" s="331">
        <v>23500</v>
      </c>
      <c r="G151" s="534">
        <f>E151-F151</f>
        <v>-23500</v>
      </c>
    </row>
    <row r="152" spans="1:7" x14ac:dyDescent="0.3">
      <c r="A152" s="535">
        <v>43844</v>
      </c>
      <c r="B152" s="533" t="s">
        <v>121</v>
      </c>
      <c r="C152" s="532"/>
      <c r="D152" s="532" t="s">
        <v>5157</v>
      </c>
      <c r="E152" s="331"/>
      <c r="F152" s="331">
        <v>5000</v>
      </c>
      <c r="G152" s="534">
        <f>E152-F152</f>
        <v>-5000</v>
      </c>
    </row>
    <row r="153" spans="1:7" x14ac:dyDescent="0.3">
      <c r="A153" s="535">
        <v>43844</v>
      </c>
      <c r="B153" s="533" t="s">
        <v>121</v>
      </c>
      <c r="C153" s="532"/>
      <c r="D153" s="532" t="s">
        <v>4368</v>
      </c>
      <c r="E153" s="331"/>
      <c r="F153" s="331">
        <v>500</v>
      </c>
      <c r="G153" s="534">
        <f>E153-F153</f>
        <v>-500</v>
      </c>
    </row>
    <row r="154" spans="1:7" x14ac:dyDescent="0.3">
      <c r="A154" s="535">
        <v>43844</v>
      </c>
      <c r="B154" s="533" t="s">
        <v>121</v>
      </c>
      <c r="C154" s="532"/>
      <c r="D154" s="532" t="s">
        <v>5339</v>
      </c>
      <c r="E154" s="331"/>
      <c r="F154" s="331">
        <v>4000</v>
      </c>
      <c r="G154" s="534">
        <f>E154-F154</f>
        <v>-4000</v>
      </c>
    </row>
    <row r="155" spans="1:7" x14ac:dyDescent="0.3">
      <c r="A155" s="535">
        <v>43844</v>
      </c>
      <c r="B155" s="533" t="s">
        <v>121</v>
      </c>
      <c r="C155" s="532"/>
      <c r="D155" s="532" t="s">
        <v>6074</v>
      </c>
      <c r="E155" s="331"/>
      <c r="F155" s="331">
        <v>8000</v>
      </c>
      <c r="G155" s="534">
        <f>E155-F155</f>
        <v>-8000</v>
      </c>
    </row>
    <row r="156" spans="1:7" x14ac:dyDescent="0.3">
      <c r="A156" s="535">
        <v>43844</v>
      </c>
      <c r="B156" s="533" t="s">
        <v>121</v>
      </c>
      <c r="C156" s="532"/>
      <c r="D156" s="532" t="s">
        <v>6075</v>
      </c>
      <c r="E156" s="331"/>
      <c r="F156" s="331">
        <v>5000</v>
      </c>
      <c r="G156" s="534">
        <f>E156-F156</f>
        <v>-5000</v>
      </c>
    </row>
    <row r="157" spans="1:7" x14ac:dyDescent="0.3">
      <c r="A157" s="535">
        <v>43845</v>
      </c>
      <c r="B157" s="533" t="s">
        <v>121</v>
      </c>
      <c r="C157" s="532"/>
      <c r="D157" s="532" t="s">
        <v>295</v>
      </c>
      <c r="E157" s="331">
        <v>5000</v>
      </c>
      <c r="F157" s="331"/>
      <c r="G157" s="534">
        <f>E157-F157</f>
        <v>5000</v>
      </c>
    </row>
    <row r="158" spans="1:7" x14ac:dyDescent="0.3">
      <c r="A158" s="535">
        <v>43853</v>
      </c>
      <c r="B158" s="533" t="s">
        <v>121</v>
      </c>
      <c r="C158" s="532"/>
      <c r="D158" s="532" t="s">
        <v>5158</v>
      </c>
      <c r="E158" s="331"/>
      <c r="F158" s="331">
        <v>2000</v>
      </c>
      <c r="G158" s="534">
        <f>E158-F158</f>
        <v>-2000</v>
      </c>
    </row>
    <row r="159" spans="1:7" x14ac:dyDescent="0.3">
      <c r="A159" s="535">
        <v>43853</v>
      </c>
      <c r="B159" s="533" t="s">
        <v>121</v>
      </c>
      <c r="C159" s="532"/>
      <c r="D159" s="532" t="s">
        <v>5157</v>
      </c>
      <c r="E159" s="331"/>
      <c r="F159" s="331">
        <v>2000</v>
      </c>
      <c r="G159" s="534">
        <f>E159-F159</f>
        <v>-2000</v>
      </c>
    </row>
    <row r="160" spans="1:7" x14ac:dyDescent="0.3">
      <c r="A160" s="535">
        <v>43853</v>
      </c>
      <c r="B160" s="533" t="s">
        <v>121</v>
      </c>
      <c r="C160" s="532"/>
      <c r="D160" s="532" t="s">
        <v>6085</v>
      </c>
      <c r="E160" s="331">
        <v>3281</v>
      </c>
      <c r="F160" s="331"/>
      <c r="G160" s="534">
        <f>E160-F160</f>
        <v>3281</v>
      </c>
    </row>
    <row r="161" spans="1:7" x14ac:dyDescent="0.3">
      <c r="A161" s="535">
        <v>43857</v>
      </c>
      <c r="B161" s="533" t="s">
        <v>121</v>
      </c>
      <c r="C161" s="532"/>
      <c r="D161" s="532" t="s">
        <v>6094</v>
      </c>
      <c r="E161" s="331"/>
      <c r="F161" s="331">
        <v>5000</v>
      </c>
      <c r="G161" s="534">
        <f>E161-F161</f>
        <v>-5000</v>
      </c>
    </row>
    <row r="162" spans="1:7" x14ac:dyDescent="0.3">
      <c r="A162" s="535">
        <v>43857</v>
      </c>
      <c r="B162" s="533" t="s">
        <v>121</v>
      </c>
      <c r="C162" s="532"/>
      <c r="D162" s="532" t="s">
        <v>295</v>
      </c>
      <c r="E162" s="331">
        <v>6000</v>
      </c>
      <c r="F162" s="331"/>
      <c r="G162" s="534">
        <f>E162-F162</f>
        <v>6000</v>
      </c>
    </row>
    <row r="163" spans="1:7" x14ac:dyDescent="0.3">
      <c r="A163" s="535">
        <v>43857</v>
      </c>
      <c r="B163" s="533" t="s">
        <v>121</v>
      </c>
      <c r="C163" s="532"/>
      <c r="D163" s="532" t="s">
        <v>5431</v>
      </c>
      <c r="E163" s="331"/>
      <c r="F163" s="331">
        <v>8000</v>
      </c>
      <c r="G163" s="534">
        <f>E163-F163</f>
        <v>-8000</v>
      </c>
    </row>
    <row r="164" spans="1:7" x14ac:dyDescent="0.3">
      <c r="A164" s="535">
        <v>43861</v>
      </c>
      <c r="B164" s="533" t="s">
        <v>121</v>
      </c>
      <c r="C164" s="532"/>
      <c r="D164" s="532" t="s">
        <v>295</v>
      </c>
      <c r="E164" s="331">
        <v>5000</v>
      </c>
      <c r="F164" s="331"/>
      <c r="G164" s="534">
        <f>E164-F164</f>
        <v>5000</v>
      </c>
    </row>
    <row r="165" spans="1:7" x14ac:dyDescent="0.3">
      <c r="A165" s="535">
        <v>43862</v>
      </c>
      <c r="B165" s="533" t="s">
        <v>121</v>
      </c>
      <c r="C165" s="532"/>
      <c r="D165" s="532" t="s">
        <v>295</v>
      </c>
      <c r="E165" s="331">
        <v>7000</v>
      </c>
      <c r="F165" s="331"/>
      <c r="G165" s="534">
        <f>E165-F165</f>
        <v>7000</v>
      </c>
    </row>
    <row r="166" spans="1:7" x14ac:dyDescent="0.3">
      <c r="A166" s="535">
        <v>43865</v>
      </c>
      <c r="B166" s="533" t="s">
        <v>121</v>
      </c>
      <c r="C166" s="532"/>
      <c r="D166" s="532" t="s">
        <v>6129</v>
      </c>
      <c r="E166" s="331"/>
      <c r="F166" s="331">
        <v>2000</v>
      </c>
      <c r="G166" s="534">
        <f>E166-F166</f>
        <v>-2000</v>
      </c>
    </row>
    <row r="167" spans="1:7" x14ac:dyDescent="0.3">
      <c r="A167" s="535">
        <v>43871</v>
      </c>
      <c r="B167" s="533" t="s">
        <v>121</v>
      </c>
      <c r="C167" s="532"/>
      <c r="D167" s="532" t="s">
        <v>295</v>
      </c>
      <c r="E167" s="331">
        <v>300000</v>
      </c>
      <c r="F167" s="331"/>
      <c r="G167" s="534">
        <f>E167-F167</f>
        <v>300000</v>
      </c>
    </row>
    <row r="168" spans="1:7" x14ac:dyDescent="0.3">
      <c r="A168" s="535">
        <v>43871</v>
      </c>
      <c r="B168" s="533" t="s">
        <v>121</v>
      </c>
      <c r="C168" s="532"/>
      <c r="D168" s="532" t="s">
        <v>6150</v>
      </c>
      <c r="E168" s="331"/>
      <c r="F168" s="331">
        <v>239565</v>
      </c>
      <c r="G168" s="534">
        <f>E168-F168</f>
        <v>-239565</v>
      </c>
    </row>
    <row r="169" spans="1:7" x14ac:dyDescent="0.3">
      <c r="A169" s="535">
        <v>43871</v>
      </c>
      <c r="B169" s="533" t="s">
        <v>121</v>
      </c>
      <c r="C169" s="532"/>
      <c r="D169" s="532" t="s">
        <v>5434</v>
      </c>
      <c r="E169" s="331"/>
      <c r="F169" s="331">
        <v>2000</v>
      </c>
      <c r="G169" s="534">
        <f>E169-F169</f>
        <v>-2000</v>
      </c>
    </row>
    <row r="170" spans="1:7" x14ac:dyDescent="0.3">
      <c r="A170" s="535">
        <v>43871</v>
      </c>
      <c r="B170" s="533" t="s">
        <v>121</v>
      </c>
      <c r="C170" s="532"/>
      <c r="D170" s="532" t="s">
        <v>5434</v>
      </c>
      <c r="E170" s="331"/>
      <c r="F170" s="331">
        <v>1000</v>
      </c>
      <c r="G170" s="534">
        <f>E170-F170</f>
        <v>-1000</v>
      </c>
    </row>
    <row r="171" spans="1:7" x14ac:dyDescent="0.3">
      <c r="A171" s="535">
        <v>43871</v>
      </c>
      <c r="B171" s="533" t="s">
        <v>121</v>
      </c>
      <c r="C171" s="532"/>
      <c r="D171" s="532" t="s">
        <v>5337</v>
      </c>
      <c r="E171" s="331"/>
      <c r="F171" s="331">
        <v>2000</v>
      </c>
      <c r="G171" s="534">
        <f>E171-F171</f>
        <v>-2000</v>
      </c>
    </row>
    <row r="172" spans="1:7" x14ac:dyDescent="0.3">
      <c r="A172" s="535">
        <v>43871</v>
      </c>
      <c r="B172" s="533" t="s">
        <v>121</v>
      </c>
      <c r="C172" s="532"/>
      <c r="D172" s="532" t="s">
        <v>4632</v>
      </c>
      <c r="E172" s="331"/>
      <c r="F172" s="331">
        <v>1000</v>
      </c>
      <c r="G172" s="534">
        <f>E172-F172</f>
        <v>-1000</v>
      </c>
    </row>
    <row r="173" spans="1:7" x14ac:dyDescent="0.3">
      <c r="A173" s="535">
        <v>43878</v>
      </c>
      <c r="B173" s="533" t="s">
        <v>121</v>
      </c>
      <c r="C173" s="532"/>
      <c r="D173" s="532" t="s">
        <v>3924</v>
      </c>
      <c r="E173" s="331"/>
      <c r="F173" s="331">
        <v>5860</v>
      </c>
      <c r="G173" s="534">
        <f>E173-F173</f>
        <v>-5860</v>
      </c>
    </row>
    <row r="174" spans="1:7" x14ac:dyDescent="0.3">
      <c r="A174" s="535">
        <v>43879</v>
      </c>
      <c r="B174" s="533" t="s">
        <v>121</v>
      </c>
      <c r="C174" s="532"/>
      <c r="D174" s="532" t="s">
        <v>6183</v>
      </c>
      <c r="E174" s="331"/>
      <c r="F174" s="331">
        <v>5000</v>
      </c>
      <c r="G174" s="534">
        <f>E174-F174</f>
        <v>-5000</v>
      </c>
    </row>
    <row r="175" spans="1:7" x14ac:dyDescent="0.3">
      <c r="A175" s="535">
        <v>43879</v>
      </c>
      <c r="B175" s="533" t="s">
        <v>121</v>
      </c>
      <c r="C175" s="532"/>
      <c r="D175" s="532" t="s">
        <v>6184</v>
      </c>
      <c r="E175" s="331"/>
      <c r="F175" s="331">
        <v>1000</v>
      </c>
      <c r="G175" s="534">
        <f>E175-F175</f>
        <v>-1000</v>
      </c>
    </row>
    <row r="176" spans="1:7" x14ac:dyDescent="0.3">
      <c r="A176" s="535">
        <v>43879</v>
      </c>
      <c r="B176" s="533" t="s">
        <v>121</v>
      </c>
      <c r="C176" s="532"/>
      <c r="D176" s="532" t="s">
        <v>6185</v>
      </c>
      <c r="E176" s="331"/>
      <c r="F176" s="331">
        <v>1000</v>
      </c>
      <c r="G176" s="534">
        <f>E176-F176</f>
        <v>-1000</v>
      </c>
    </row>
    <row r="177" spans="1:7" x14ac:dyDescent="0.3">
      <c r="A177" s="535">
        <v>43879</v>
      </c>
      <c r="B177" s="533" t="s">
        <v>121</v>
      </c>
      <c r="C177" s="532"/>
      <c r="D177" s="532" t="s">
        <v>6184</v>
      </c>
      <c r="E177" s="331"/>
      <c r="F177" s="331">
        <v>1000</v>
      </c>
      <c r="G177" s="534">
        <f>E177-F177</f>
        <v>-1000</v>
      </c>
    </row>
    <row r="178" spans="1:7" x14ac:dyDescent="0.3">
      <c r="A178" s="535">
        <v>43879</v>
      </c>
      <c r="B178" s="533" t="s">
        <v>121</v>
      </c>
      <c r="C178" s="532"/>
      <c r="D178" s="532" t="s">
        <v>6184</v>
      </c>
      <c r="E178" s="331"/>
      <c r="F178" s="331">
        <v>1000</v>
      </c>
      <c r="G178" s="534">
        <f>E178-F178</f>
        <v>-1000</v>
      </c>
    </row>
    <row r="179" spans="1:7" x14ac:dyDescent="0.3">
      <c r="A179" s="535">
        <v>43879</v>
      </c>
      <c r="B179" s="533" t="s">
        <v>121</v>
      </c>
      <c r="C179" s="532"/>
      <c r="D179" s="532" t="s">
        <v>6184</v>
      </c>
      <c r="E179" s="331"/>
      <c r="F179" s="331">
        <v>1000</v>
      </c>
      <c r="G179" s="534">
        <f>E179-F179</f>
        <v>-1000</v>
      </c>
    </row>
    <row r="180" spans="1:7" x14ac:dyDescent="0.3">
      <c r="A180" s="535">
        <v>43885</v>
      </c>
      <c r="B180" s="533" t="s">
        <v>121</v>
      </c>
      <c r="C180" s="532"/>
      <c r="D180" s="532" t="s">
        <v>6210</v>
      </c>
      <c r="E180" s="331"/>
      <c r="F180" s="331">
        <v>2000</v>
      </c>
      <c r="G180" s="534">
        <f>E180-F180</f>
        <v>-2000</v>
      </c>
    </row>
    <row r="181" spans="1:7" x14ac:dyDescent="0.3">
      <c r="A181" s="535">
        <v>43885</v>
      </c>
      <c r="B181" s="533" t="s">
        <v>121</v>
      </c>
      <c r="C181" s="532"/>
      <c r="D181" s="532" t="s">
        <v>3924</v>
      </c>
      <c r="E181" s="331"/>
      <c r="F181" s="331">
        <v>31440</v>
      </c>
      <c r="G181" s="534">
        <f>E181-F181</f>
        <v>-31440</v>
      </c>
    </row>
    <row r="182" spans="1:7" x14ac:dyDescent="0.3">
      <c r="A182" s="535">
        <v>43887</v>
      </c>
      <c r="B182" s="533" t="s">
        <v>121</v>
      </c>
      <c r="C182" s="532"/>
      <c r="D182" s="532" t="s">
        <v>6223</v>
      </c>
      <c r="E182" s="331">
        <v>20000</v>
      </c>
      <c r="F182" s="331"/>
      <c r="G182" s="534">
        <f>E182-F182</f>
        <v>20000</v>
      </c>
    </row>
    <row r="183" spans="1:7" x14ac:dyDescent="0.3">
      <c r="A183" s="535">
        <v>43887</v>
      </c>
      <c r="B183" s="533" t="s">
        <v>121</v>
      </c>
      <c r="C183" s="532"/>
      <c r="D183" s="532" t="s">
        <v>5877</v>
      </c>
      <c r="E183" s="331">
        <v>1630</v>
      </c>
      <c r="F183" s="331"/>
      <c r="G183" s="534">
        <f>E183-F183</f>
        <v>1630</v>
      </c>
    </row>
    <row r="184" spans="1:7" x14ac:dyDescent="0.3">
      <c r="A184" s="535">
        <v>43888</v>
      </c>
      <c r="B184" s="533" t="s">
        <v>121</v>
      </c>
      <c r="C184" s="532"/>
      <c r="D184" s="532" t="s">
        <v>6226</v>
      </c>
      <c r="E184" s="331"/>
      <c r="F184" s="331">
        <v>3000</v>
      </c>
      <c r="G184" s="534">
        <f>E184-F184</f>
        <v>-3000</v>
      </c>
    </row>
    <row r="185" spans="1:7" x14ac:dyDescent="0.3">
      <c r="A185" s="535">
        <v>43888</v>
      </c>
      <c r="B185" s="533" t="s">
        <v>121</v>
      </c>
      <c r="C185" s="532"/>
      <c r="D185" s="532" t="s">
        <v>5174</v>
      </c>
      <c r="E185" s="331"/>
      <c r="F185" s="331">
        <v>3000</v>
      </c>
      <c r="G185" s="534">
        <f>E185-F185</f>
        <v>-3000</v>
      </c>
    </row>
    <row r="186" spans="1:7" x14ac:dyDescent="0.3">
      <c r="A186" s="535">
        <v>43888</v>
      </c>
      <c r="B186" s="533" t="s">
        <v>121</v>
      </c>
      <c r="C186" s="532"/>
      <c r="D186" s="532" t="s">
        <v>6227</v>
      </c>
      <c r="E186" s="331">
        <v>50000</v>
      </c>
      <c r="F186" s="331"/>
      <c r="G186" s="534">
        <f>E186-F186</f>
        <v>50000</v>
      </c>
    </row>
    <row r="187" spans="1:7" x14ac:dyDescent="0.3">
      <c r="A187" s="535">
        <v>43888</v>
      </c>
      <c r="B187" s="533" t="s">
        <v>121</v>
      </c>
      <c r="C187" s="532"/>
      <c r="D187" s="532" t="s">
        <v>6234</v>
      </c>
      <c r="E187" s="331"/>
      <c r="F187" s="331">
        <v>10000</v>
      </c>
      <c r="G187" s="534">
        <f>E187-F187</f>
        <v>-10000</v>
      </c>
    </row>
    <row r="188" spans="1:7" x14ac:dyDescent="0.3">
      <c r="A188" s="535">
        <v>43888</v>
      </c>
      <c r="B188" s="533" t="s">
        <v>121</v>
      </c>
      <c r="C188" s="532"/>
      <c r="D188" s="532" t="s">
        <v>6237</v>
      </c>
      <c r="E188" s="331"/>
      <c r="F188" s="331">
        <v>40600</v>
      </c>
      <c r="G188" s="534">
        <f>E188-F188</f>
        <v>-40600</v>
      </c>
    </row>
    <row r="189" spans="1:7" x14ac:dyDescent="0.3">
      <c r="A189" s="535">
        <v>43893</v>
      </c>
      <c r="B189" s="533" t="s">
        <v>121</v>
      </c>
      <c r="C189" s="532"/>
      <c r="D189" s="532" t="s">
        <v>32</v>
      </c>
      <c r="E189" s="331">
        <v>5000</v>
      </c>
      <c r="F189" s="331"/>
      <c r="G189" s="534">
        <f>E189-F189</f>
        <v>5000</v>
      </c>
    </row>
    <row r="190" spans="1:7" x14ac:dyDescent="0.3">
      <c r="A190" s="535">
        <v>43896</v>
      </c>
      <c r="B190" s="533" t="s">
        <v>121</v>
      </c>
      <c r="C190" s="532"/>
      <c r="D190" s="532" t="s">
        <v>32</v>
      </c>
      <c r="E190" s="331">
        <v>10000</v>
      </c>
      <c r="F190" s="331"/>
      <c r="G190" s="534">
        <f>E190-F190</f>
        <v>10000</v>
      </c>
    </row>
    <row r="191" spans="1:7" x14ac:dyDescent="0.3">
      <c r="A191" s="535">
        <v>43896</v>
      </c>
      <c r="B191" s="533" t="s">
        <v>121</v>
      </c>
      <c r="C191" s="532"/>
      <c r="D191" s="532" t="s">
        <v>6303</v>
      </c>
      <c r="E191" s="331"/>
      <c r="F191" s="331">
        <v>3000</v>
      </c>
      <c r="G191" s="534">
        <f>E191-F191</f>
        <v>-3000</v>
      </c>
    </row>
    <row r="192" spans="1:7" x14ac:dyDescent="0.3">
      <c r="A192" s="535">
        <v>43901</v>
      </c>
      <c r="B192" s="533" t="s">
        <v>121</v>
      </c>
      <c r="C192" s="532"/>
      <c r="D192" s="532" t="s">
        <v>6304</v>
      </c>
      <c r="E192" s="331"/>
      <c r="F192" s="331">
        <v>2500</v>
      </c>
      <c r="G192" s="534">
        <f>E192-F192</f>
        <v>-2500</v>
      </c>
    </row>
    <row r="193" spans="1:7" x14ac:dyDescent="0.3">
      <c r="A193" s="535">
        <v>43901</v>
      </c>
      <c r="B193" s="533" t="s">
        <v>121</v>
      </c>
      <c r="C193" s="532"/>
      <c r="D193" s="532" t="s">
        <v>6306</v>
      </c>
      <c r="E193" s="331"/>
      <c r="F193" s="331">
        <v>7500</v>
      </c>
      <c r="G193" s="534">
        <f>E193-F193</f>
        <v>-7500</v>
      </c>
    </row>
    <row r="194" spans="1:7" x14ac:dyDescent="0.3">
      <c r="A194" s="535">
        <v>43907</v>
      </c>
      <c r="B194" s="533" t="s">
        <v>121</v>
      </c>
      <c r="C194" s="532"/>
      <c r="D194" s="532" t="s">
        <v>295</v>
      </c>
      <c r="E194" s="331">
        <v>50000</v>
      </c>
      <c r="F194" s="331"/>
      <c r="G194" s="534">
        <f>E194-F194</f>
        <v>50000</v>
      </c>
    </row>
    <row r="195" spans="1:7" x14ac:dyDescent="0.3">
      <c r="A195" s="535">
        <v>43907</v>
      </c>
      <c r="B195" s="533" t="s">
        <v>121</v>
      </c>
      <c r="C195" s="532"/>
      <c r="D195" s="532" t="s">
        <v>6326</v>
      </c>
      <c r="E195" s="331"/>
      <c r="F195" s="331">
        <v>2000</v>
      </c>
      <c r="G195" s="534">
        <f>E195-F195</f>
        <v>-2000</v>
      </c>
    </row>
    <row r="196" spans="1:7" x14ac:dyDescent="0.3">
      <c r="A196" s="535">
        <v>43907</v>
      </c>
      <c r="B196" s="533" t="s">
        <v>121</v>
      </c>
      <c r="C196" s="532"/>
      <c r="D196" s="532" t="s">
        <v>5337</v>
      </c>
      <c r="E196" s="331"/>
      <c r="F196" s="331">
        <v>2000</v>
      </c>
      <c r="G196" s="534">
        <f>E196-F196</f>
        <v>-2000</v>
      </c>
    </row>
    <row r="197" spans="1:7" x14ac:dyDescent="0.3">
      <c r="A197" s="535">
        <v>43907</v>
      </c>
      <c r="B197" s="533" t="s">
        <v>121</v>
      </c>
      <c r="C197" s="532"/>
      <c r="D197" s="532" t="s">
        <v>6327</v>
      </c>
      <c r="E197" s="331"/>
      <c r="F197" s="331">
        <v>2000</v>
      </c>
      <c r="G197" s="534">
        <f>E197-F197</f>
        <v>-2000</v>
      </c>
    </row>
    <row r="198" spans="1:7" x14ac:dyDescent="0.3">
      <c r="A198" s="535">
        <v>43907</v>
      </c>
      <c r="B198" s="533" t="s">
        <v>121</v>
      </c>
      <c r="C198" s="532"/>
      <c r="D198" s="532" t="s">
        <v>4655</v>
      </c>
      <c r="E198" s="331"/>
      <c r="F198" s="331">
        <v>2000</v>
      </c>
      <c r="G198" s="534">
        <f>E198-F198</f>
        <v>-2000</v>
      </c>
    </row>
    <row r="199" spans="1:7" x14ac:dyDescent="0.3">
      <c r="A199" s="535">
        <v>43907</v>
      </c>
      <c r="B199" s="533" t="s">
        <v>121</v>
      </c>
      <c r="C199" s="532"/>
      <c r="D199" s="532" t="s">
        <v>4632</v>
      </c>
      <c r="E199" s="331"/>
      <c r="F199" s="331">
        <v>17000</v>
      </c>
      <c r="G199" s="534">
        <f>E199-F199</f>
        <v>-17000</v>
      </c>
    </row>
    <row r="200" spans="1:7" x14ac:dyDescent="0.3">
      <c r="A200" s="535">
        <v>43909</v>
      </c>
      <c r="B200" s="533" t="s">
        <v>121</v>
      </c>
      <c r="C200" s="532"/>
      <c r="D200" s="532" t="s">
        <v>32</v>
      </c>
      <c r="E200" s="331">
        <v>10000</v>
      </c>
      <c r="F200" s="331"/>
      <c r="G200" s="534">
        <f>E200-F200</f>
        <v>10000</v>
      </c>
    </row>
    <row r="201" spans="1:7" x14ac:dyDescent="0.3">
      <c r="A201" s="535">
        <v>43922</v>
      </c>
      <c r="B201" s="533" t="s">
        <v>121</v>
      </c>
      <c r="C201" s="532"/>
      <c r="D201" s="532" t="s">
        <v>6330</v>
      </c>
      <c r="E201" s="331"/>
      <c r="F201" s="331">
        <v>15000</v>
      </c>
      <c r="G201" s="534">
        <f>E201-F201</f>
        <v>-15000</v>
      </c>
    </row>
    <row r="202" spans="1:7" x14ac:dyDescent="0.3">
      <c r="A202" s="535">
        <v>43927</v>
      </c>
      <c r="B202" s="533" t="s">
        <v>121</v>
      </c>
      <c r="C202" s="532"/>
      <c r="D202" s="532" t="s">
        <v>4314</v>
      </c>
      <c r="E202" s="331">
        <v>20000</v>
      </c>
      <c r="F202" s="331"/>
      <c r="G202" s="534">
        <f>E202-F202</f>
        <v>20000</v>
      </c>
    </row>
    <row r="203" spans="1:7" x14ac:dyDescent="0.3">
      <c r="A203" s="535">
        <v>43930</v>
      </c>
      <c r="B203" s="533" t="s">
        <v>121</v>
      </c>
      <c r="C203" s="532"/>
      <c r="D203" s="532" t="s">
        <v>6365</v>
      </c>
      <c r="E203" s="331"/>
      <c r="F203" s="331">
        <v>8000</v>
      </c>
      <c r="G203" s="534">
        <f>E203-F203</f>
        <v>-8000</v>
      </c>
    </row>
    <row r="204" spans="1:7" x14ac:dyDescent="0.3">
      <c r="A204" s="535">
        <v>43932</v>
      </c>
      <c r="B204" s="533" t="s">
        <v>121</v>
      </c>
      <c r="C204" s="532"/>
      <c r="D204" s="532" t="s">
        <v>6330</v>
      </c>
      <c r="E204" s="331"/>
      <c r="F204" s="331">
        <v>3000</v>
      </c>
      <c r="G204" s="534">
        <f>E204-F204</f>
        <v>-3000</v>
      </c>
    </row>
    <row r="205" spans="1:7" x14ac:dyDescent="0.3">
      <c r="A205" s="535">
        <v>43933</v>
      </c>
      <c r="B205" s="533" t="s">
        <v>121</v>
      </c>
      <c r="C205" s="532"/>
      <c r="D205" s="532" t="s">
        <v>5895</v>
      </c>
      <c r="E205" s="331"/>
      <c r="F205" s="331">
        <v>1000</v>
      </c>
      <c r="G205" s="534">
        <f>E205-F205</f>
        <v>-1000</v>
      </c>
    </row>
    <row r="206" spans="1:7" x14ac:dyDescent="0.3">
      <c r="A206" s="535">
        <v>43933</v>
      </c>
      <c r="B206" s="533" t="s">
        <v>121</v>
      </c>
      <c r="C206" s="532"/>
      <c r="D206" s="532" t="s">
        <v>4705</v>
      </c>
      <c r="E206" s="331"/>
      <c r="F206" s="331">
        <v>1000</v>
      </c>
      <c r="G206" s="534">
        <f>E206-F206</f>
        <v>-1000</v>
      </c>
    </row>
    <row r="207" spans="1:7" x14ac:dyDescent="0.3">
      <c r="A207" s="535">
        <v>43935</v>
      </c>
      <c r="B207" s="533" t="s">
        <v>121</v>
      </c>
      <c r="C207" s="532"/>
      <c r="D207" s="532" t="s">
        <v>5150</v>
      </c>
      <c r="E207" s="331"/>
      <c r="F207" s="331">
        <v>1000</v>
      </c>
      <c r="G207" s="534">
        <f>E207-F207</f>
        <v>-1000</v>
      </c>
    </row>
    <row r="208" spans="1:7" x14ac:dyDescent="0.3">
      <c r="A208" s="535">
        <v>43935</v>
      </c>
      <c r="B208" s="533" t="s">
        <v>121</v>
      </c>
      <c r="C208" s="532"/>
      <c r="D208" s="532" t="s">
        <v>5150</v>
      </c>
      <c r="E208" s="331"/>
      <c r="F208" s="331">
        <v>5000</v>
      </c>
      <c r="G208" s="534">
        <f>E208-F208</f>
        <v>-5000</v>
      </c>
    </row>
    <row r="209" spans="1:7" x14ac:dyDescent="0.3">
      <c r="A209" s="535">
        <v>43944</v>
      </c>
      <c r="B209" s="533" t="s">
        <v>121</v>
      </c>
      <c r="C209" s="532"/>
      <c r="D209" s="532" t="s">
        <v>295</v>
      </c>
      <c r="E209" s="331">
        <v>5000</v>
      </c>
      <c r="F209" s="331"/>
      <c r="G209" s="534">
        <f>E209-F209</f>
        <v>5000</v>
      </c>
    </row>
    <row r="210" spans="1:7" x14ac:dyDescent="0.3">
      <c r="A210" s="535">
        <v>43949</v>
      </c>
      <c r="B210" s="533" t="s">
        <v>121</v>
      </c>
      <c r="C210" s="532"/>
      <c r="D210" s="532" t="s">
        <v>5877</v>
      </c>
      <c r="E210" s="331">
        <v>3549</v>
      </c>
      <c r="F210" s="331"/>
      <c r="G210" s="534">
        <f>E210-F210</f>
        <v>3549</v>
      </c>
    </row>
    <row r="211" spans="1:7" x14ac:dyDescent="0.3">
      <c r="A211" s="535">
        <v>43949</v>
      </c>
      <c r="B211" s="533" t="s">
        <v>121</v>
      </c>
      <c r="C211" s="532"/>
      <c r="D211" s="532" t="s">
        <v>6387</v>
      </c>
      <c r="E211" s="331"/>
      <c r="F211" s="331">
        <v>16580</v>
      </c>
      <c r="G211" s="534">
        <f>E211-F211</f>
        <v>-16580</v>
      </c>
    </row>
    <row r="212" spans="1:7" x14ac:dyDescent="0.3">
      <c r="A212" s="535">
        <v>43951</v>
      </c>
      <c r="B212" s="533" t="s">
        <v>121</v>
      </c>
      <c r="C212" s="532"/>
      <c r="D212" s="532" t="s">
        <v>6390</v>
      </c>
      <c r="E212" s="331"/>
      <c r="F212" s="331">
        <v>5000</v>
      </c>
      <c r="G212" s="534">
        <f>E212-F212</f>
        <v>-5000</v>
      </c>
    </row>
    <row r="213" spans="1:7" x14ac:dyDescent="0.3">
      <c r="A213" s="535">
        <v>43951</v>
      </c>
      <c r="B213" s="533" t="s">
        <v>121</v>
      </c>
      <c r="C213" s="532"/>
      <c r="D213" s="532" t="s">
        <v>6391</v>
      </c>
      <c r="E213" s="331"/>
      <c r="F213" s="331">
        <v>5000</v>
      </c>
      <c r="G213" s="534">
        <f>E213-F213</f>
        <v>-5000</v>
      </c>
    </row>
    <row r="214" spans="1:7" x14ac:dyDescent="0.3">
      <c r="A214" s="535">
        <v>43951</v>
      </c>
      <c r="B214" s="533" t="s">
        <v>121</v>
      </c>
      <c r="C214" s="532"/>
      <c r="D214" s="532" t="s">
        <v>6392</v>
      </c>
      <c r="E214" s="331"/>
      <c r="F214" s="331">
        <v>2000</v>
      </c>
      <c r="G214" s="534">
        <f>E214-F214</f>
        <v>-2000</v>
      </c>
    </row>
    <row r="215" spans="1:7" x14ac:dyDescent="0.3">
      <c r="A215" s="535">
        <v>43951</v>
      </c>
      <c r="B215" s="533" t="s">
        <v>121</v>
      </c>
      <c r="C215" s="532"/>
      <c r="D215" s="532" t="s">
        <v>295</v>
      </c>
      <c r="E215" s="331">
        <v>3500</v>
      </c>
      <c r="F215" s="331"/>
      <c r="G215" s="534">
        <f>E215-F215</f>
        <v>3500</v>
      </c>
    </row>
    <row r="216" spans="1:7" x14ac:dyDescent="0.3">
      <c r="A216" s="535">
        <v>43965</v>
      </c>
      <c r="B216" s="533" t="s">
        <v>121</v>
      </c>
      <c r="C216" s="532"/>
      <c r="D216" s="532" t="s">
        <v>2963</v>
      </c>
      <c r="E216" s="331">
        <v>200000</v>
      </c>
      <c r="F216" s="331"/>
      <c r="G216" s="534">
        <f>E216-F216</f>
        <v>200000</v>
      </c>
    </row>
    <row r="217" spans="1:7" x14ac:dyDescent="0.3">
      <c r="A217" s="535">
        <v>43965</v>
      </c>
      <c r="B217" s="533" t="s">
        <v>121</v>
      </c>
      <c r="C217" s="532"/>
      <c r="D217" s="532" t="s">
        <v>6439</v>
      </c>
      <c r="E217" s="331"/>
      <c r="F217" s="331">
        <v>45000</v>
      </c>
      <c r="G217" s="534">
        <f>E217-F217</f>
        <v>-45000</v>
      </c>
    </row>
    <row r="218" spans="1:7" x14ac:dyDescent="0.3">
      <c r="A218" s="535">
        <v>43965</v>
      </c>
      <c r="B218" s="533" t="s">
        <v>121</v>
      </c>
      <c r="C218" s="532"/>
      <c r="D218" s="532" t="s">
        <v>6449</v>
      </c>
      <c r="E218" s="331"/>
      <c r="F218" s="331">
        <v>65480</v>
      </c>
      <c r="G218" s="534">
        <f>E218-F218</f>
        <v>-65480</v>
      </c>
    </row>
    <row r="219" spans="1:7" x14ac:dyDescent="0.3">
      <c r="A219" s="535">
        <v>43971</v>
      </c>
      <c r="B219" s="533" t="s">
        <v>121</v>
      </c>
      <c r="C219" s="532"/>
      <c r="D219" s="532" t="s">
        <v>6453</v>
      </c>
      <c r="E219" s="331"/>
      <c r="F219" s="331">
        <v>2000</v>
      </c>
      <c r="G219" s="534">
        <f>E219-F219</f>
        <v>-2000</v>
      </c>
    </row>
    <row r="220" spans="1:7" x14ac:dyDescent="0.3">
      <c r="A220" s="535">
        <v>43971</v>
      </c>
      <c r="B220" s="533" t="s">
        <v>121</v>
      </c>
      <c r="C220" s="532"/>
      <c r="D220" s="532" t="s">
        <v>6454</v>
      </c>
      <c r="E220" s="331"/>
      <c r="F220" s="331">
        <v>3000</v>
      </c>
      <c r="G220" s="534">
        <f>E220-F220</f>
        <v>-3000</v>
      </c>
    </row>
    <row r="221" spans="1:7" x14ac:dyDescent="0.3">
      <c r="A221" s="535">
        <v>43971</v>
      </c>
      <c r="B221" s="533" t="s">
        <v>121</v>
      </c>
      <c r="C221" s="532"/>
      <c r="D221" s="532" t="s">
        <v>99</v>
      </c>
      <c r="E221" s="331"/>
      <c r="F221" s="331">
        <v>8000</v>
      </c>
      <c r="G221" s="534">
        <f>E221-F221</f>
        <v>-8000</v>
      </c>
    </row>
    <row r="222" spans="1:7" x14ac:dyDescent="0.3">
      <c r="A222" s="535">
        <v>43971</v>
      </c>
      <c r="B222" s="533" t="s">
        <v>121</v>
      </c>
      <c r="C222" s="532"/>
      <c r="D222" s="532" t="s">
        <v>6455</v>
      </c>
      <c r="E222" s="331"/>
      <c r="F222" s="331">
        <v>3000</v>
      </c>
      <c r="G222" s="534">
        <f>E222-F222</f>
        <v>-3000</v>
      </c>
    </row>
    <row r="223" spans="1:7" x14ac:dyDescent="0.3">
      <c r="A223" s="535">
        <v>43971</v>
      </c>
      <c r="B223" s="533" t="s">
        <v>121</v>
      </c>
      <c r="C223" s="532"/>
      <c r="D223" s="532" t="s">
        <v>6456</v>
      </c>
      <c r="E223" s="331"/>
      <c r="F223" s="331">
        <v>22500</v>
      </c>
      <c r="G223" s="534">
        <f>E223-F223</f>
        <v>-22500</v>
      </c>
    </row>
    <row r="224" spans="1:7" x14ac:dyDescent="0.3">
      <c r="A224" s="535">
        <v>43971</v>
      </c>
      <c r="B224" s="533" t="s">
        <v>121</v>
      </c>
      <c r="C224" s="532"/>
      <c r="D224" s="532" t="s">
        <v>6465</v>
      </c>
      <c r="E224" s="331">
        <v>2500</v>
      </c>
      <c r="F224" s="331"/>
      <c r="G224" s="534">
        <f>E224-F224</f>
        <v>2500</v>
      </c>
    </row>
    <row r="225" spans="1:7" x14ac:dyDescent="0.3">
      <c r="A225" s="535">
        <v>43972</v>
      </c>
      <c r="B225" s="533" t="s">
        <v>121</v>
      </c>
      <c r="C225" s="532"/>
      <c r="D225" s="532" t="s">
        <v>5150</v>
      </c>
      <c r="E225" s="331"/>
      <c r="F225" s="331">
        <v>50000</v>
      </c>
      <c r="G225" s="534">
        <f>E225-F225</f>
        <v>-50000</v>
      </c>
    </row>
    <row r="226" spans="1:7" x14ac:dyDescent="0.3">
      <c r="A226" s="535">
        <v>43972</v>
      </c>
      <c r="B226" s="533" t="s">
        <v>121</v>
      </c>
      <c r="C226" s="532"/>
      <c r="D226" s="532" t="s">
        <v>6490</v>
      </c>
      <c r="E226" s="331"/>
      <c r="F226" s="331">
        <v>5000</v>
      </c>
      <c r="G226" s="534">
        <f>E226-F226</f>
        <v>-5000</v>
      </c>
    </row>
    <row r="227" spans="1:7" x14ac:dyDescent="0.3">
      <c r="A227" s="535">
        <v>43987</v>
      </c>
      <c r="B227" s="533" t="s">
        <v>121</v>
      </c>
      <c r="C227" s="532"/>
      <c r="D227" s="532" t="s">
        <v>6500</v>
      </c>
      <c r="E227" s="331">
        <v>9426</v>
      </c>
      <c r="F227" s="331"/>
      <c r="G227" s="534">
        <f>E227-F227</f>
        <v>9426</v>
      </c>
    </row>
    <row r="228" spans="1:7" x14ac:dyDescent="0.3">
      <c r="A228" s="535">
        <v>43987</v>
      </c>
      <c r="B228" s="533" t="s">
        <v>121</v>
      </c>
      <c r="C228" s="532"/>
      <c r="D228" s="532" t="s">
        <v>6210</v>
      </c>
      <c r="E228" s="331"/>
      <c r="F228" s="331">
        <v>1000</v>
      </c>
      <c r="G228" s="534">
        <f>E228-F228</f>
        <v>-1000</v>
      </c>
    </row>
    <row r="229" spans="1:7" x14ac:dyDescent="0.3">
      <c r="A229" s="535">
        <v>43987</v>
      </c>
      <c r="B229" s="533" t="s">
        <v>121</v>
      </c>
      <c r="C229" s="532"/>
      <c r="D229" s="532" t="s">
        <v>6501</v>
      </c>
      <c r="E229" s="331"/>
      <c r="F229" s="331">
        <v>1000</v>
      </c>
      <c r="G229" s="534">
        <f>E229-F229</f>
        <v>-1000</v>
      </c>
    </row>
    <row r="230" spans="1:7" x14ac:dyDescent="0.3">
      <c r="A230" s="535">
        <v>43987</v>
      </c>
      <c r="B230" s="533" t="s">
        <v>121</v>
      </c>
      <c r="C230" s="532"/>
      <c r="D230" s="532" t="s">
        <v>6502</v>
      </c>
      <c r="E230" s="331"/>
      <c r="F230" s="331">
        <v>1000</v>
      </c>
      <c r="G230" s="534">
        <f>E230-F230</f>
        <v>-1000</v>
      </c>
    </row>
    <row r="231" spans="1:7" x14ac:dyDescent="0.3">
      <c r="A231" s="535">
        <v>43987</v>
      </c>
      <c r="B231" s="533" t="s">
        <v>121</v>
      </c>
      <c r="C231" s="532"/>
      <c r="D231" s="532" t="s">
        <v>6503</v>
      </c>
      <c r="E231" s="331">
        <v>6500</v>
      </c>
      <c r="F231" s="331"/>
      <c r="G231" s="534">
        <f>E231-F231</f>
        <v>6500</v>
      </c>
    </row>
    <row r="232" spans="1:7" x14ac:dyDescent="0.3">
      <c r="A232" s="535">
        <v>43988</v>
      </c>
      <c r="B232" s="533" t="s">
        <v>121</v>
      </c>
      <c r="C232" s="532"/>
      <c r="D232" s="532" t="s">
        <v>6510</v>
      </c>
      <c r="E232" s="331">
        <v>20000</v>
      </c>
      <c r="F232" s="331"/>
      <c r="G232" s="534">
        <f>E232-F232</f>
        <v>20000</v>
      </c>
    </row>
    <row r="233" spans="1:7" x14ac:dyDescent="0.3">
      <c r="A233" s="535">
        <v>43988</v>
      </c>
      <c r="B233" s="533" t="s">
        <v>121</v>
      </c>
      <c r="C233" s="532"/>
      <c r="D233" s="532" t="s">
        <v>6517</v>
      </c>
      <c r="E233" s="331">
        <v>28255</v>
      </c>
      <c r="F233" s="331"/>
      <c r="G233" s="534">
        <f>E233-F233</f>
        <v>28255</v>
      </c>
    </row>
    <row r="234" spans="1:7" x14ac:dyDescent="0.3">
      <c r="A234" s="535">
        <v>43988</v>
      </c>
      <c r="B234" s="533" t="s">
        <v>121</v>
      </c>
      <c r="C234" s="532"/>
      <c r="D234" s="532" t="s">
        <v>6518</v>
      </c>
      <c r="E234" s="331">
        <v>28255</v>
      </c>
      <c r="F234" s="331"/>
      <c r="G234" s="534">
        <f>E234-F234</f>
        <v>28255</v>
      </c>
    </row>
    <row r="235" spans="1:7" x14ac:dyDescent="0.3">
      <c r="A235" s="535">
        <v>43993</v>
      </c>
      <c r="B235" s="533" t="s">
        <v>121</v>
      </c>
      <c r="C235" s="532"/>
      <c r="D235" s="532" t="s">
        <v>6538</v>
      </c>
      <c r="E235" s="331"/>
      <c r="F235" s="331">
        <v>5000</v>
      </c>
      <c r="G235" s="534">
        <f>E235-F235</f>
        <v>-5000</v>
      </c>
    </row>
    <row r="236" spans="1:7" x14ac:dyDescent="0.3">
      <c r="A236" s="535">
        <v>43997</v>
      </c>
      <c r="B236" s="533" t="s">
        <v>121</v>
      </c>
      <c r="C236" s="532"/>
      <c r="D236" s="532" t="s">
        <v>295</v>
      </c>
      <c r="E236" s="331">
        <v>125000</v>
      </c>
      <c r="F236" s="331"/>
      <c r="G236" s="534">
        <f>E236-F236</f>
        <v>125000</v>
      </c>
    </row>
    <row r="237" spans="1:7" x14ac:dyDescent="0.3">
      <c r="A237" s="535">
        <v>43997</v>
      </c>
      <c r="B237" s="533" t="s">
        <v>121</v>
      </c>
      <c r="C237" s="532"/>
      <c r="D237" s="532" t="s">
        <v>3924</v>
      </c>
      <c r="E237" s="331"/>
      <c r="F237" s="331">
        <v>6000</v>
      </c>
      <c r="G237" s="534">
        <f>E237-F237</f>
        <v>-6000</v>
      </c>
    </row>
    <row r="238" spans="1:7" x14ac:dyDescent="0.3">
      <c r="A238" s="535">
        <v>43997</v>
      </c>
      <c r="B238" s="533" t="s">
        <v>121</v>
      </c>
      <c r="C238" s="532"/>
      <c r="D238" s="532" t="s">
        <v>3924</v>
      </c>
      <c r="E238" s="331"/>
      <c r="F238" s="331">
        <v>2000</v>
      </c>
      <c r="G238" s="534">
        <f>E238-F238</f>
        <v>-2000</v>
      </c>
    </row>
    <row r="239" spans="1:7" x14ac:dyDescent="0.3">
      <c r="A239" s="535">
        <v>43997</v>
      </c>
      <c r="B239" s="533" t="s">
        <v>121</v>
      </c>
      <c r="C239" s="532"/>
      <c r="D239" s="532" t="s">
        <v>6580</v>
      </c>
      <c r="E239" s="331"/>
      <c r="F239" s="331">
        <v>5000</v>
      </c>
      <c r="G239" s="534">
        <f>E239-F239</f>
        <v>-5000</v>
      </c>
    </row>
    <row r="240" spans="1:7" x14ac:dyDescent="0.3">
      <c r="A240" s="535">
        <v>44001</v>
      </c>
      <c r="B240" s="533" t="s">
        <v>121</v>
      </c>
      <c r="C240" s="532"/>
      <c r="D240" s="532" t="s">
        <v>6582</v>
      </c>
      <c r="E240" s="331"/>
      <c r="F240" s="331">
        <v>200000</v>
      </c>
      <c r="G240" s="534">
        <f>E240-F240</f>
        <v>-200000</v>
      </c>
    </row>
    <row r="241" spans="1:7" x14ac:dyDescent="0.3">
      <c r="A241" s="535">
        <v>44001</v>
      </c>
      <c r="B241" s="533" t="s">
        <v>121</v>
      </c>
      <c r="C241" s="532"/>
      <c r="D241" s="532" t="s">
        <v>6583</v>
      </c>
      <c r="E241" s="331"/>
      <c r="F241" s="331">
        <v>10000</v>
      </c>
      <c r="G241" s="534">
        <f>E241-F241</f>
        <v>-10000</v>
      </c>
    </row>
    <row r="242" spans="1:7" x14ac:dyDescent="0.3">
      <c r="A242" s="535">
        <v>44001</v>
      </c>
      <c r="B242" s="533" t="s">
        <v>121</v>
      </c>
      <c r="C242" s="532"/>
      <c r="D242" s="532" t="s">
        <v>6590</v>
      </c>
      <c r="E242" s="331"/>
      <c r="F242" s="331">
        <v>2000</v>
      </c>
      <c r="G242" s="534">
        <f>E242-F242</f>
        <v>-2000</v>
      </c>
    </row>
    <row r="243" spans="1:7" x14ac:dyDescent="0.3">
      <c r="A243" s="535">
        <v>44005</v>
      </c>
      <c r="B243" s="533" t="s">
        <v>121</v>
      </c>
      <c r="C243" s="532"/>
      <c r="D243" s="532" t="s">
        <v>4266</v>
      </c>
      <c r="E243" s="331"/>
      <c r="F243" s="331">
        <v>5000</v>
      </c>
      <c r="G243" s="534">
        <f>E243-F243</f>
        <v>-5000</v>
      </c>
    </row>
    <row r="244" spans="1:7" x14ac:dyDescent="0.3">
      <c r="A244" s="535">
        <v>44005</v>
      </c>
      <c r="B244" s="533" t="s">
        <v>121</v>
      </c>
      <c r="C244" s="532"/>
      <c r="D244" s="532" t="s">
        <v>6593</v>
      </c>
      <c r="E244" s="331"/>
      <c r="F244" s="331">
        <v>3000</v>
      </c>
      <c r="G244" s="534">
        <f>E244-F244</f>
        <v>-3000</v>
      </c>
    </row>
    <row r="245" spans="1:7" x14ac:dyDescent="0.3">
      <c r="A245" s="535">
        <v>44006</v>
      </c>
      <c r="B245" s="533" t="s">
        <v>121</v>
      </c>
      <c r="C245" s="532"/>
      <c r="D245" s="532" t="s">
        <v>4655</v>
      </c>
      <c r="E245" s="331"/>
      <c r="F245" s="331">
        <v>8250</v>
      </c>
      <c r="G245" s="534">
        <f>E245-F245</f>
        <v>-8250</v>
      </c>
    </row>
    <row r="246" spans="1:7" x14ac:dyDescent="0.3">
      <c r="A246" s="535">
        <v>44006</v>
      </c>
      <c r="B246" s="533" t="s">
        <v>121</v>
      </c>
      <c r="C246" s="532"/>
      <c r="D246" s="532" t="s">
        <v>5877</v>
      </c>
      <c r="E246" s="331">
        <v>15664</v>
      </c>
      <c r="F246" s="331"/>
      <c r="G246" s="534">
        <f>E246-F246</f>
        <v>15664</v>
      </c>
    </row>
    <row r="247" spans="1:7" x14ac:dyDescent="0.3">
      <c r="A247" s="535">
        <v>44006</v>
      </c>
      <c r="B247" s="533" t="s">
        <v>121</v>
      </c>
      <c r="C247" s="532"/>
      <c r="D247" s="532" t="s">
        <v>295</v>
      </c>
      <c r="E247" s="331">
        <v>35000</v>
      </c>
      <c r="F247" s="331"/>
      <c r="G247" s="534">
        <f>E247-F247</f>
        <v>35000</v>
      </c>
    </row>
    <row r="248" spans="1:7" x14ac:dyDescent="0.3">
      <c r="A248" s="535">
        <v>44009</v>
      </c>
      <c r="B248" s="533" t="s">
        <v>121</v>
      </c>
      <c r="C248" s="532"/>
      <c r="D248" s="532" t="s">
        <v>6601</v>
      </c>
      <c r="E248" s="331"/>
      <c r="F248" s="331">
        <v>12000</v>
      </c>
      <c r="G248" s="534">
        <f>E248-F248</f>
        <v>-12000</v>
      </c>
    </row>
    <row r="249" spans="1:7" x14ac:dyDescent="0.3">
      <c r="A249" s="535">
        <v>44009</v>
      </c>
      <c r="B249" s="533" t="s">
        <v>121</v>
      </c>
      <c r="C249" s="532"/>
      <c r="D249" s="532" t="s">
        <v>6602</v>
      </c>
      <c r="E249" s="331"/>
      <c r="F249" s="331">
        <v>6300</v>
      </c>
      <c r="G249" s="534">
        <f>E249-F249</f>
        <v>-6300</v>
      </c>
    </row>
    <row r="250" spans="1:7" x14ac:dyDescent="0.3">
      <c r="A250" s="535">
        <v>44009</v>
      </c>
      <c r="B250" s="533" t="s">
        <v>121</v>
      </c>
      <c r="C250" s="532"/>
      <c r="D250" s="532" t="s">
        <v>6603</v>
      </c>
      <c r="E250" s="331"/>
      <c r="F250" s="331">
        <v>11000</v>
      </c>
      <c r="G250" s="534">
        <f>E250-F250</f>
        <v>-11000</v>
      </c>
    </row>
    <row r="251" spans="1:7" x14ac:dyDescent="0.3">
      <c r="A251" s="535">
        <v>44009</v>
      </c>
      <c r="B251" s="533" t="s">
        <v>121</v>
      </c>
      <c r="C251" s="532"/>
      <c r="D251" s="532" t="s">
        <v>6603</v>
      </c>
      <c r="E251" s="331"/>
      <c r="F251" s="331">
        <v>14000</v>
      </c>
      <c r="G251" s="534">
        <f>E251-F251</f>
        <v>-14000</v>
      </c>
    </row>
    <row r="252" spans="1:7" x14ac:dyDescent="0.3">
      <c r="A252" s="535">
        <v>44009</v>
      </c>
      <c r="B252" s="533" t="s">
        <v>121</v>
      </c>
      <c r="C252" s="532"/>
      <c r="D252" s="532" t="s">
        <v>6455</v>
      </c>
      <c r="E252" s="331"/>
      <c r="F252" s="331">
        <v>3000</v>
      </c>
      <c r="G252" s="534">
        <f>E252-F252</f>
        <v>-3000</v>
      </c>
    </row>
    <row r="253" spans="1:7" x14ac:dyDescent="0.3">
      <c r="A253" s="535">
        <v>44009</v>
      </c>
      <c r="B253" s="533" t="s">
        <v>121</v>
      </c>
      <c r="C253" s="532"/>
      <c r="D253" s="532" t="s">
        <v>6608</v>
      </c>
      <c r="E253" s="331"/>
      <c r="F253" s="331">
        <v>8000</v>
      </c>
      <c r="G253" s="534">
        <f>E253-F253</f>
        <v>-8000</v>
      </c>
    </row>
    <row r="254" spans="1:7" x14ac:dyDescent="0.3">
      <c r="A254" s="535">
        <v>44012</v>
      </c>
      <c r="B254" s="533" t="s">
        <v>121</v>
      </c>
      <c r="C254" s="532"/>
      <c r="D254" s="532" t="s">
        <v>6617</v>
      </c>
      <c r="E254" s="331"/>
      <c r="F254" s="331">
        <v>3000</v>
      </c>
      <c r="G254" s="534">
        <f>E254-F254</f>
        <v>-3000</v>
      </c>
    </row>
    <row r="255" spans="1:7" x14ac:dyDescent="0.3">
      <c r="A255" s="535">
        <v>44012</v>
      </c>
      <c r="B255" s="533" t="s">
        <v>121</v>
      </c>
      <c r="C255" s="532"/>
      <c r="D255" s="532" t="s">
        <v>295</v>
      </c>
      <c r="E255" s="331">
        <v>85000</v>
      </c>
      <c r="F255" s="331"/>
      <c r="G255" s="534">
        <f>E255-F255</f>
        <v>85000</v>
      </c>
    </row>
    <row r="256" spans="1:7" x14ac:dyDescent="0.3">
      <c r="A256" s="535">
        <v>44012</v>
      </c>
      <c r="B256" s="533" t="s">
        <v>121</v>
      </c>
      <c r="C256" s="532"/>
      <c r="D256" s="532" t="s">
        <v>439</v>
      </c>
      <c r="E256" s="331"/>
      <c r="F256" s="331">
        <v>8200</v>
      </c>
      <c r="G256" s="534">
        <f>E256-F256</f>
        <v>-8200</v>
      </c>
    </row>
    <row r="257" spans="1:7" x14ac:dyDescent="0.3">
      <c r="A257" s="535">
        <v>44012</v>
      </c>
      <c r="B257" s="533" t="s">
        <v>121</v>
      </c>
      <c r="C257" s="532"/>
      <c r="D257" s="532" t="s">
        <v>6618</v>
      </c>
      <c r="E257" s="331"/>
      <c r="F257" s="331">
        <v>3000</v>
      </c>
      <c r="G257" s="534">
        <f>E257-F257</f>
        <v>-3000</v>
      </c>
    </row>
    <row r="258" spans="1:7" x14ac:dyDescent="0.3">
      <c r="A258" s="535">
        <v>44012</v>
      </c>
      <c r="B258" s="533" t="s">
        <v>121</v>
      </c>
      <c r="C258" s="532"/>
      <c r="D258" s="532" t="s">
        <v>6619</v>
      </c>
      <c r="E258" s="331"/>
      <c r="F258" s="331">
        <v>2000</v>
      </c>
      <c r="G258" s="534">
        <f>E258-F258</f>
        <v>-2000</v>
      </c>
    </row>
    <row r="259" spans="1:7" x14ac:dyDescent="0.3">
      <c r="A259" s="535">
        <v>44012</v>
      </c>
      <c r="B259" s="533" t="s">
        <v>121</v>
      </c>
      <c r="C259" s="532"/>
      <c r="D259" s="532" t="s">
        <v>6635</v>
      </c>
      <c r="E259" s="331"/>
      <c r="F259" s="331">
        <v>2000</v>
      </c>
      <c r="G259" s="534">
        <f>E259-F259</f>
        <v>-2000</v>
      </c>
    </row>
    <row r="260" spans="1:7" x14ac:dyDescent="0.3">
      <c r="A260" s="535">
        <v>44018</v>
      </c>
      <c r="B260" s="533" t="s">
        <v>121</v>
      </c>
      <c r="C260" s="532"/>
      <c r="D260" s="532" t="s">
        <v>5401</v>
      </c>
      <c r="E260" s="331"/>
      <c r="F260" s="331">
        <v>2000</v>
      </c>
      <c r="G260" s="534">
        <f>E260-F260</f>
        <v>-2000</v>
      </c>
    </row>
    <row r="261" spans="1:7" x14ac:dyDescent="0.3">
      <c r="A261" s="535">
        <v>44018</v>
      </c>
      <c r="B261" s="533" t="s">
        <v>121</v>
      </c>
      <c r="C261" s="532"/>
      <c r="D261" s="532" t="s">
        <v>4705</v>
      </c>
      <c r="E261" s="331"/>
      <c r="F261" s="331">
        <v>1000</v>
      </c>
      <c r="G261" s="534">
        <f>E261-F261</f>
        <v>-1000</v>
      </c>
    </row>
    <row r="262" spans="1:7" x14ac:dyDescent="0.3">
      <c r="A262" s="535">
        <v>44018</v>
      </c>
      <c r="B262" s="533" t="s">
        <v>121</v>
      </c>
      <c r="C262" s="532"/>
      <c r="D262" s="532" t="s">
        <v>6636</v>
      </c>
      <c r="E262" s="331"/>
      <c r="F262" s="331">
        <v>5000</v>
      </c>
      <c r="G262" s="534">
        <f>E262-F262</f>
        <v>-5000</v>
      </c>
    </row>
    <row r="263" spans="1:7" x14ac:dyDescent="0.3">
      <c r="A263" s="535">
        <v>44018</v>
      </c>
      <c r="B263" s="533" t="s">
        <v>121</v>
      </c>
      <c r="C263" s="532"/>
      <c r="D263" s="532" t="s">
        <v>5001</v>
      </c>
      <c r="E263" s="331"/>
      <c r="F263" s="331">
        <v>1080</v>
      </c>
      <c r="G263" s="534">
        <f>E263-F263</f>
        <v>-1080</v>
      </c>
    </row>
    <row r="264" spans="1:7" x14ac:dyDescent="0.3">
      <c r="A264" s="535">
        <v>44018</v>
      </c>
      <c r="B264" s="533" t="s">
        <v>121</v>
      </c>
      <c r="C264" s="532"/>
      <c r="D264" s="532" t="s">
        <v>4655</v>
      </c>
      <c r="E264" s="331"/>
      <c r="F264" s="331">
        <v>3000</v>
      </c>
      <c r="G264" s="534">
        <f>E264-F264</f>
        <v>-3000</v>
      </c>
    </row>
    <row r="265" spans="1:7" x14ac:dyDescent="0.3">
      <c r="A265" s="535">
        <v>44018</v>
      </c>
      <c r="B265" s="533" t="s">
        <v>121</v>
      </c>
      <c r="C265" s="532"/>
      <c r="D265" s="532" t="s">
        <v>295</v>
      </c>
      <c r="E265" s="331">
        <v>80000</v>
      </c>
      <c r="F265" s="331"/>
      <c r="G265" s="534">
        <f>E265-F265</f>
        <v>80000</v>
      </c>
    </row>
    <row r="266" spans="1:7" x14ac:dyDescent="0.3">
      <c r="A266" s="535">
        <v>44018</v>
      </c>
      <c r="B266" s="533" t="s">
        <v>121</v>
      </c>
      <c r="C266" s="532"/>
      <c r="D266" s="532" t="s">
        <v>3924</v>
      </c>
      <c r="E266" s="331"/>
      <c r="F266" s="331">
        <v>14290</v>
      </c>
      <c r="G266" s="534">
        <f>E266-F266</f>
        <v>-14290</v>
      </c>
    </row>
    <row r="267" spans="1:7" x14ac:dyDescent="0.3">
      <c r="A267" s="535">
        <v>44018</v>
      </c>
      <c r="B267" s="533" t="s">
        <v>121</v>
      </c>
      <c r="C267" s="532"/>
      <c r="D267" s="532" t="s">
        <v>5401</v>
      </c>
      <c r="E267" s="331"/>
      <c r="F267" s="331">
        <v>1000</v>
      </c>
      <c r="G267" s="534">
        <f>E267-F267</f>
        <v>-1000</v>
      </c>
    </row>
    <row r="268" spans="1:7" x14ac:dyDescent="0.3">
      <c r="A268" s="535">
        <v>44018</v>
      </c>
      <c r="B268" s="533" t="s">
        <v>121</v>
      </c>
      <c r="C268" s="532"/>
      <c r="D268" s="532" t="s">
        <v>3029</v>
      </c>
      <c r="E268" s="331"/>
      <c r="F268" s="331">
        <v>1000</v>
      </c>
      <c r="G268" s="534">
        <f>E268-F268</f>
        <v>-1000</v>
      </c>
    </row>
    <row r="269" spans="1:7" x14ac:dyDescent="0.3">
      <c r="A269" s="535">
        <v>44018</v>
      </c>
      <c r="B269" s="533" t="s">
        <v>121</v>
      </c>
      <c r="C269" s="532"/>
      <c r="D269" s="532" t="s">
        <v>32</v>
      </c>
      <c r="E269" s="331">
        <v>50000</v>
      </c>
      <c r="F269" s="331"/>
      <c r="G269" s="534">
        <f>E269-F269</f>
        <v>50000</v>
      </c>
    </row>
    <row r="270" spans="1:7" x14ac:dyDescent="0.3">
      <c r="A270" s="535">
        <v>44026</v>
      </c>
      <c r="B270" s="533" t="s">
        <v>121</v>
      </c>
      <c r="C270" s="532"/>
      <c r="D270" s="532" t="s">
        <v>6330</v>
      </c>
      <c r="E270" s="331"/>
      <c r="F270" s="331">
        <v>15000</v>
      </c>
      <c r="G270" s="534">
        <f>E270-F270</f>
        <v>-15000</v>
      </c>
    </row>
    <row r="271" spans="1:7" x14ac:dyDescent="0.3">
      <c r="A271" s="535">
        <v>44026</v>
      </c>
      <c r="B271" s="533" t="s">
        <v>121</v>
      </c>
      <c r="C271" s="532"/>
      <c r="D271" s="532" t="s">
        <v>6673</v>
      </c>
      <c r="E271" s="331"/>
      <c r="F271" s="331">
        <v>4000</v>
      </c>
      <c r="G271" s="534">
        <f>E271-F271</f>
        <v>-4000</v>
      </c>
    </row>
    <row r="272" spans="1:7" x14ac:dyDescent="0.3">
      <c r="A272" s="535">
        <v>44026</v>
      </c>
      <c r="B272" s="533" t="s">
        <v>121</v>
      </c>
      <c r="C272" s="532"/>
      <c r="D272" s="532" t="s">
        <v>6674</v>
      </c>
      <c r="E272" s="331"/>
      <c r="F272" s="331">
        <v>6000</v>
      </c>
      <c r="G272" s="534">
        <f>E272-F272</f>
        <v>-6000</v>
      </c>
    </row>
    <row r="273" spans="1:7" x14ac:dyDescent="0.3">
      <c r="A273" s="535">
        <v>44027</v>
      </c>
      <c r="B273" s="533" t="s">
        <v>121</v>
      </c>
      <c r="C273" s="532"/>
      <c r="D273" s="532" t="s">
        <v>5401</v>
      </c>
      <c r="E273" s="331"/>
      <c r="F273" s="331">
        <v>10000</v>
      </c>
      <c r="G273" s="534">
        <f>E273-F273</f>
        <v>-10000</v>
      </c>
    </row>
    <row r="274" spans="1:7" x14ac:dyDescent="0.3">
      <c r="A274" s="535">
        <v>44027</v>
      </c>
      <c r="B274" s="533" t="s">
        <v>121</v>
      </c>
      <c r="C274" s="532"/>
      <c r="D274" s="532" t="s">
        <v>6683</v>
      </c>
      <c r="E274" s="331"/>
      <c r="F274" s="331">
        <v>2000</v>
      </c>
      <c r="G274" s="534">
        <f>E274-F274</f>
        <v>-2000</v>
      </c>
    </row>
    <row r="275" spans="1:7" x14ac:dyDescent="0.3">
      <c r="A275" s="535">
        <v>44027</v>
      </c>
      <c r="B275" s="533" t="s">
        <v>121</v>
      </c>
      <c r="C275" s="532"/>
      <c r="D275" s="532" t="s">
        <v>6684</v>
      </c>
      <c r="E275" s="331"/>
      <c r="F275" s="331">
        <v>10000</v>
      </c>
      <c r="G275" s="534">
        <f>E275-F275</f>
        <v>-10000</v>
      </c>
    </row>
    <row r="276" spans="1:7" x14ac:dyDescent="0.3">
      <c r="A276" s="535">
        <v>44027</v>
      </c>
      <c r="B276" s="533" t="s">
        <v>121</v>
      </c>
      <c r="C276" s="532"/>
      <c r="D276" s="532" t="s">
        <v>6685</v>
      </c>
      <c r="E276" s="331"/>
      <c r="F276" s="331">
        <v>43800</v>
      </c>
      <c r="G276" s="534">
        <f>E276-F276</f>
        <v>-43800</v>
      </c>
    </row>
    <row r="277" spans="1:7" x14ac:dyDescent="0.3">
      <c r="A277" s="535">
        <v>44027</v>
      </c>
      <c r="B277" s="533" t="s">
        <v>121</v>
      </c>
      <c r="C277" s="532"/>
      <c r="D277" s="532" t="s">
        <v>6332</v>
      </c>
      <c r="E277" s="331"/>
      <c r="F277" s="331">
        <v>4500</v>
      </c>
      <c r="G277" s="534">
        <f>E277-F277</f>
        <v>-4500</v>
      </c>
    </row>
    <row r="278" spans="1:7" x14ac:dyDescent="0.3">
      <c r="A278" s="535">
        <v>44032</v>
      </c>
      <c r="B278" s="533" t="s">
        <v>121</v>
      </c>
      <c r="C278" s="532"/>
      <c r="D278" s="532" t="s">
        <v>6696</v>
      </c>
      <c r="E278" s="331"/>
      <c r="F278" s="331">
        <v>24600</v>
      </c>
      <c r="G278" s="534">
        <f>E278-F278</f>
        <v>-24600</v>
      </c>
    </row>
    <row r="279" spans="1:7" x14ac:dyDescent="0.3">
      <c r="A279" s="535">
        <v>44032</v>
      </c>
      <c r="B279" s="533" t="s">
        <v>121</v>
      </c>
      <c r="C279" s="532"/>
      <c r="D279" s="532" t="s">
        <v>6697</v>
      </c>
      <c r="E279" s="331"/>
      <c r="F279" s="331">
        <v>3000</v>
      </c>
      <c r="G279" s="534">
        <f>E279-F279</f>
        <v>-3000</v>
      </c>
    </row>
    <row r="280" spans="1:7" x14ac:dyDescent="0.3">
      <c r="A280" s="535">
        <v>44033</v>
      </c>
      <c r="B280" s="533" t="s">
        <v>121</v>
      </c>
      <c r="C280" s="532"/>
      <c r="D280" s="532" t="s">
        <v>6387</v>
      </c>
      <c r="E280" s="331"/>
      <c r="F280" s="331">
        <v>18972</v>
      </c>
      <c r="G280" s="534">
        <f>E280-F280</f>
        <v>-18972</v>
      </c>
    </row>
    <row r="281" spans="1:7" x14ac:dyDescent="0.3">
      <c r="A281" s="535">
        <v>44033</v>
      </c>
      <c r="B281" s="533" t="s">
        <v>121</v>
      </c>
      <c r="C281" s="532"/>
      <c r="D281" s="532" t="s">
        <v>6387</v>
      </c>
      <c r="E281" s="331"/>
      <c r="F281" s="331">
        <v>21410</v>
      </c>
      <c r="G281" s="534">
        <f>E281-F281</f>
        <v>-21410</v>
      </c>
    </row>
    <row r="282" spans="1:7" x14ac:dyDescent="0.3">
      <c r="A282" s="535">
        <v>44033</v>
      </c>
      <c r="B282" s="533" t="s">
        <v>121</v>
      </c>
      <c r="C282" s="532"/>
      <c r="D282" s="532" t="s">
        <v>6700</v>
      </c>
      <c r="E282" s="331"/>
      <c r="F282" s="331">
        <v>5000</v>
      </c>
      <c r="G282" s="534">
        <f>E282-F282</f>
        <v>-5000</v>
      </c>
    </row>
    <row r="283" spans="1:7" x14ac:dyDescent="0.3">
      <c r="A283" s="535">
        <v>44033</v>
      </c>
      <c r="B283" s="533" t="s">
        <v>121</v>
      </c>
      <c r="C283" s="532"/>
      <c r="D283" s="532" t="s">
        <v>6698</v>
      </c>
      <c r="E283" s="331"/>
      <c r="F283" s="331">
        <v>5000</v>
      </c>
      <c r="G283" s="534">
        <f>E283-F283</f>
        <v>-5000</v>
      </c>
    </row>
    <row r="284" spans="1:7" x14ac:dyDescent="0.3">
      <c r="A284" s="535">
        <v>44033</v>
      </c>
      <c r="B284" s="533" t="s">
        <v>121</v>
      </c>
      <c r="C284" s="532"/>
      <c r="D284" s="532" t="s">
        <v>6699</v>
      </c>
      <c r="E284" s="331"/>
      <c r="F284" s="331">
        <v>2000</v>
      </c>
      <c r="G284" s="534">
        <f>E284-F284</f>
        <v>-2000</v>
      </c>
    </row>
    <row r="285" spans="1:7" x14ac:dyDescent="0.3">
      <c r="A285" s="535">
        <v>44033</v>
      </c>
      <c r="B285" s="533" t="s">
        <v>121</v>
      </c>
      <c r="C285" s="532"/>
      <c r="D285" s="532" t="s">
        <v>295</v>
      </c>
      <c r="E285" s="331">
        <v>15000</v>
      </c>
      <c r="F285" s="331"/>
      <c r="G285" s="534">
        <f>E285-F285</f>
        <v>15000</v>
      </c>
    </row>
    <row r="286" spans="1:7" x14ac:dyDescent="0.3">
      <c r="A286" s="535">
        <v>44033</v>
      </c>
      <c r="B286" s="533" t="s">
        <v>121</v>
      </c>
      <c r="C286" s="532"/>
      <c r="D286" s="532" t="s">
        <v>6702</v>
      </c>
      <c r="E286" s="331"/>
      <c r="F286" s="331">
        <v>8000</v>
      </c>
      <c r="G286" s="534">
        <f>E286-F286</f>
        <v>-8000</v>
      </c>
    </row>
    <row r="287" spans="1:7" x14ac:dyDescent="0.3">
      <c r="A287" s="535">
        <v>44033</v>
      </c>
      <c r="B287" s="533" t="s">
        <v>121</v>
      </c>
      <c r="C287" s="532"/>
      <c r="D287" s="532" t="s">
        <v>6387</v>
      </c>
      <c r="E287" s="331"/>
      <c r="F287" s="331">
        <v>3715</v>
      </c>
      <c r="G287" s="534">
        <f>E287-F287</f>
        <v>-3715</v>
      </c>
    </row>
    <row r="288" spans="1:7" x14ac:dyDescent="0.3">
      <c r="A288" s="535">
        <v>44041</v>
      </c>
      <c r="B288" s="533" t="s">
        <v>121</v>
      </c>
      <c r="C288" s="532"/>
      <c r="D288" s="532" t="s">
        <v>4266</v>
      </c>
      <c r="E288" s="331"/>
      <c r="F288" s="331">
        <v>10000</v>
      </c>
      <c r="G288" s="534">
        <f>E288-F288</f>
        <v>-10000</v>
      </c>
    </row>
    <row r="289" spans="1:7" x14ac:dyDescent="0.3">
      <c r="A289" s="535">
        <v>44042</v>
      </c>
      <c r="B289" s="533" t="s">
        <v>121</v>
      </c>
      <c r="C289" s="532"/>
      <c r="D289" s="532" t="s">
        <v>6742</v>
      </c>
      <c r="E289" s="331"/>
      <c r="F289" s="331">
        <v>5000</v>
      </c>
      <c r="G289" s="534">
        <f>E289-F289</f>
        <v>-5000</v>
      </c>
    </row>
    <row r="290" spans="1:7" x14ac:dyDescent="0.3">
      <c r="A290" s="535">
        <v>44042</v>
      </c>
      <c r="B290" s="533" t="s">
        <v>121</v>
      </c>
      <c r="C290" s="532"/>
      <c r="D290" s="532" t="s">
        <v>295</v>
      </c>
      <c r="E290" s="331">
        <v>20000</v>
      </c>
      <c r="F290" s="331"/>
      <c r="G290" s="534">
        <f>E290-F290</f>
        <v>20000</v>
      </c>
    </row>
    <row r="291" spans="1:7" x14ac:dyDescent="0.3">
      <c r="A291" s="535">
        <v>44054</v>
      </c>
      <c r="B291" s="533" t="s">
        <v>121</v>
      </c>
      <c r="C291" s="532"/>
      <c r="D291" s="532" t="s">
        <v>295</v>
      </c>
      <c r="E291" s="331">
        <v>70000</v>
      </c>
      <c r="F291" s="331"/>
      <c r="G291" s="534">
        <f>E291-F291</f>
        <v>70000</v>
      </c>
    </row>
    <row r="292" spans="1:7" x14ac:dyDescent="0.3">
      <c r="A292" s="535">
        <v>44055</v>
      </c>
      <c r="B292" s="533" t="s">
        <v>121</v>
      </c>
      <c r="C292" s="532"/>
      <c r="D292" s="532" t="s">
        <v>295</v>
      </c>
      <c r="E292" s="331">
        <v>50000</v>
      </c>
      <c r="F292" s="331"/>
      <c r="G292" s="534">
        <f>E292-F292</f>
        <v>50000</v>
      </c>
    </row>
    <row r="293" spans="1:7" x14ac:dyDescent="0.3">
      <c r="A293" s="535">
        <v>44055</v>
      </c>
      <c r="B293" s="533" t="s">
        <v>121</v>
      </c>
      <c r="C293" s="532"/>
      <c r="D293" s="532" t="s">
        <v>295</v>
      </c>
      <c r="E293" s="331">
        <v>100000</v>
      </c>
      <c r="F293" s="331"/>
      <c r="G293" s="534">
        <f>E293-F293</f>
        <v>100000</v>
      </c>
    </row>
    <row r="294" spans="1:7" x14ac:dyDescent="0.3">
      <c r="A294" s="535">
        <v>44063</v>
      </c>
      <c r="B294" s="533" t="s">
        <v>121</v>
      </c>
      <c r="C294" s="532"/>
      <c r="D294" s="532" t="s">
        <v>5150</v>
      </c>
      <c r="E294" s="331"/>
      <c r="F294" s="331">
        <v>3000</v>
      </c>
      <c r="G294" s="534">
        <f>E294-F294</f>
        <v>-3000</v>
      </c>
    </row>
    <row r="295" spans="1:7" x14ac:dyDescent="0.3">
      <c r="A295" s="535">
        <v>44065</v>
      </c>
      <c r="B295" s="533" t="s">
        <v>121</v>
      </c>
      <c r="C295" s="532"/>
      <c r="D295" s="532" t="s">
        <v>295</v>
      </c>
      <c r="E295" s="331">
        <v>10000</v>
      </c>
      <c r="F295" s="331"/>
      <c r="G295" s="534">
        <f>E295-F295</f>
        <v>10000</v>
      </c>
    </row>
    <row r="296" spans="1:7" x14ac:dyDescent="0.3">
      <c r="A296" s="535">
        <v>44076</v>
      </c>
      <c r="B296" s="533" t="s">
        <v>121</v>
      </c>
      <c r="C296" s="532"/>
      <c r="D296" s="532" t="s">
        <v>295</v>
      </c>
      <c r="E296" s="331">
        <v>2000</v>
      </c>
      <c r="F296" s="331"/>
      <c r="G296" s="534">
        <f>E296-F296</f>
        <v>2000</v>
      </c>
    </row>
    <row r="297" spans="1:7" x14ac:dyDescent="0.3">
      <c r="A297" s="535">
        <v>44078</v>
      </c>
      <c r="B297" s="533" t="s">
        <v>121</v>
      </c>
      <c r="C297" s="532"/>
      <c r="D297" s="532" t="s">
        <v>6834</v>
      </c>
      <c r="E297" s="331"/>
      <c r="F297" s="331">
        <v>1000</v>
      </c>
      <c r="G297" s="534">
        <f>E297-F297</f>
        <v>-1000</v>
      </c>
    </row>
    <row r="298" spans="1:7" x14ac:dyDescent="0.3">
      <c r="A298" s="535">
        <v>44078</v>
      </c>
      <c r="B298" s="533" t="s">
        <v>121</v>
      </c>
      <c r="C298" s="532"/>
      <c r="D298" s="532" t="s">
        <v>6835</v>
      </c>
      <c r="E298" s="331"/>
      <c r="F298" s="331">
        <v>3000</v>
      </c>
      <c r="G298" s="534">
        <f>E298-F298</f>
        <v>-3000</v>
      </c>
    </row>
    <row r="299" spans="1:7" x14ac:dyDescent="0.3">
      <c r="A299" s="535">
        <v>44078</v>
      </c>
      <c r="B299" s="533" t="s">
        <v>121</v>
      </c>
      <c r="C299" s="532"/>
      <c r="D299" s="532" t="s">
        <v>6836</v>
      </c>
      <c r="E299" s="331"/>
      <c r="F299" s="331">
        <v>1000</v>
      </c>
      <c r="G299" s="534">
        <f>E299-F299</f>
        <v>-1000</v>
      </c>
    </row>
    <row r="300" spans="1:7" x14ac:dyDescent="0.3">
      <c r="A300" s="535">
        <v>44078</v>
      </c>
      <c r="B300" s="533" t="s">
        <v>121</v>
      </c>
      <c r="C300" s="532"/>
      <c r="D300" s="532" t="s">
        <v>6837</v>
      </c>
      <c r="E300" s="331"/>
      <c r="F300" s="331">
        <v>5000</v>
      </c>
      <c r="G300" s="534">
        <f>E300-F300</f>
        <v>-5000</v>
      </c>
    </row>
    <row r="301" spans="1:7" x14ac:dyDescent="0.3">
      <c r="A301" s="535">
        <v>44078</v>
      </c>
      <c r="B301" s="533" t="s">
        <v>121</v>
      </c>
      <c r="C301" s="532"/>
      <c r="D301" s="532" t="s">
        <v>6841</v>
      </c>
      <c r="E301" s="331"/>
      <c r="F301" s="331">
        <v>1000</v>
      </c>
      <c r="G301" s="534">
        <f>E301-F301</f>
        <v>-1000</v>
      </c>
    </row>
    <row r="302" spans="1:7" x14ac:dyDescent="0.3">
      <c r="A302" s="535">
        <v>44078</v>
      </c>
      <c r="B302" s="533" t="s">
        <v>121</v>
      </c>
      <c r="C302" s="532"/>
      <c r="D302" s="532" t="s">
        <v>6838</v>
      </c>
      <c r="E302" s="331"/>
      <c r="F302" s="331">
        <v>4000</v>
      </c>
      <c r="G302" s="534">
        <f>E302-F302</f>
        <v>-4000</v>
      </c>
    </row>
    <row r="303" spans="1:7" x14ac:dyDescent="0.3">
      <c r="A303" s="535">
        <v>44078</v>
      </c>
      <c r="B303" s="533" t="s">
        <v>121</v>
      </c>
      <c r="C303" s="532"/>
      <c r="D303" s="532" t="s">
        <v>6839</v>
      </c>
      <c r="E303" s="331"/>
      <c r="F303" s="331">
        <v>1000</v>
      </c>
      <c r="G303" s="534">
        <f>E303-F303</f>
        <v>-1000</v>
      </c>
    </row>
    <row r="304" spans="1:7" x14ac:dyDescent="0.3">
      <c r="A304" s="535">
        <v>44078</v>
      </c>
      <c r="B304" s="533" t="s">
        <v>121</v>
      </c>
      <c r="C304" s="532"/>
      <c r="D304" s="532" t="s">
        <v>6840</v>
      </c>
      <c r="E304" s="331"/>
      <c r="F304" s="331">
        <v>1000</v>
      </c>
      <c r="G304" s="534">
        <f>E304-F304</f>
        <v>-1000</v>
      </c>
    </row>
    <row r="305" spans="1:7" x14ac:dyDescent="0.3">
      <c r="A305" s="535">
        <v>44078</v>
      </c>
      <c r="B305" s="533" t="s">
        <v>121</v>
      </c>
      <c r="C305" s="532"/>
      <c r="D305" s="532" t="s">
        <v>6841</v>
      </c>
      <c r="E305" s="331"/>
      <c r="F305" s="331">
        <v>3000</v>
      </c>
      <c r="G305" s="534">
        <f>E305-F305</f>
        <v>-3000</v>
      </c>
    </row>
    <row r="306" spans="1:7" x14ac:dyDescent="0.3">
      <c r="A306" s="535">
        <v>44078</v>
      </c>
      <c r="B306" s="533" t="s">
        <v>121</v>
      </c>
      <c r="C306" s="532"/>
      <c r="D306" s="532" t="s">
        <v>6842</v>
      </c>
      <c r="E306" s="331"/>
      <c r="F306" s="331">
        <v>4000</v>
      </c>
      <c r="G306" s="534">
        <f>E306-F306</f>
        <v>-4000</v>
      </c>
    </row>
    <row r="307" spans="1:7" x14ac:dyDescent="0.3">
      <c r="A307" s="535">
        <v>44078</v>
      </c>
      <c r="B307" s="533" t="s">
        <v>121</v>
      </c>
      <c r="C307" s="532"/>
      <c r="D307" s="532" t="s">
        <v>6843</v>
      </c>
      <c r="E307" s="331"/>
      <c r="F307" s="331">
        <v>1000</v>
      </c>
      <c r="G307" s="534">
        <f>E307-F307</f>
        <v>-1000</v>
      </c>
    </row>
    <row r="308" spans="1:7" x14ac:dyDescent="0.3">
      <c r="A308" s="535">
        <v>44078</v>
      </c>
      <c r="B308" s="533" t="s">
        <v>121</v>
      </c>
      <c r="C308" s="532"/>
      <c r="D308" s="532" t="s">
        <v>6844</v>
      </c>
      <c r="E308" s="331"/>
      <c r="F308" s="331">
        <v>1000</v>
      </c>
      <c r="G308" s="534">
        <f>E308-F308</f>
        <v>-1000</v>
      </c>
    </row>
    <row r="309" spans="1:7" x14ac:dyDescent="0.3">
      <c r="A309" s="535">
        <v>44078</v>
      </c>
      <c r="B309" s="533" t="s">
        <v>121</v>
      </c>
      <c r="C309" s="532"/>
      <c r="D309" s="532" t="s">
        <v>6845</v>
      </c>
      <c r="E309" s="331"/>
      <c r="F309" s="331">
        <v>24000</v>
      </c>
      <c r="G309" s="534">
        <f>E309-F309</f>
        <v>-24000</v>
      </c>
    </row>
    <row r="310" spans="1:7" x14ac:dyDescent="0.3">
      <c r="A310" s="535">
        <v>44078</v>
      </c>
      <c r="B310" s="533" t="s">
        <v>121</v>
      </c>
      <c r="C310" s="532"/>
      <c r="D310" s="532" t="s">
        <v>6846</v>
      </c>
      <c r="E310" s="331"/>
      <c r="F310" s="331">
        <v>3000</v>
      </c>
      <c r="G310" s="534">
        <f>E310-F310</f>
        <v>-3000</v>
      </c>
    </row>
    <row r="311" spans="1:7" x14ac:dyDescent="0.3">
      <c r="A311" s="535">
        <v>44078</v>
      </c>
      <c r="B311" s="533" t="s">
        <v>121</v>
      </c>
      <c r="C311" s="532"/>
      <c r="D311" s="532" t="s">
        <v>6387</v>
      </c>
      <c r="E311" s="331"/>
      <c r="F311" s="331">
        <v>78710</v>
      </c>
      <c r="G311" s="534">
        <f>E311-F311</f>
        <v>-78710</v>
      </c>
    </row>
    <row r="312" spans="1:7" x14ac:dyDescent="0.3">
      <c r="A312" s="535">
        <v>44078</v>
      </c>
      <c r="B312" s="533" t="s">
        <v>121</v>
      </c>
      <c r="C312" s="532"/>
      <c r="D312" s="532" t="s">
        <v>4368</v>
      </c>
      <c r="E312" s="331"/>
      <c r="F312" s="331">
        <v>17488</v>
      </c>
      <c r="G312" s="534">
        <f>E312-F312</f>
        <v>-17488</v>
      </c>
    </row>
    <row r="313" spans="1:7" x14ac:dyDescent="0.3">
      <c r="A313" s="535">
        <v>44081</v>
      </c>
      <c r="B313" s="533" t="s">
        <v>121</v>
      </c>
      <c r="C313" s="532"/>
      <c r="D313" s="532" t="s">
        <v>6882</v>
      </c>
      <c r="E313" s="331"/>
      <c r="F313" s="331">
        <v>20000</v>
      </c>
      <c r="G313" s="534">
        <f>E313-F313</f>
        <v>-20000</v>
      </c>
    </row>
    <row r="314" spans="1:7" x14ac:dyDescent="0.3">
      <c r="A314" s="535">
        <v>44084</v>
      </c>
      <c r="B314" s="533" t="s">
        <v>121</v>
      </c>
      <c r="C314" s="532"/>
      <c r="D314" s="532" t="s">
        <v>6880</v>
      </c>
      <c r="E314" s="331"/>
      <c r="F314" s="331">
        <v>5000</v>
      </c>
      <c r="G314" s="534">
        <f>E314-F314</f>
        <v>-5000</v>
      </c>
    </row>
    <row r="315" spans="1:7" x14ac:dyDescent="0.3">
      <c r="A315" s="535">
        <v>44084</v>
      </c>
      <c r="B315" s="533" t="s">
        <v>121</v>
      </c>
      <c r="C315" s="532"/>
      <c r="D315" s="532" t="s">
        <v>6881</v>
      </c>
      <c r="E315" s="331"/>
      <c r="F315" s="331">
        <v>2000</v>
      </c>
      <c r="G315" s="534">
        <f>E315-F315</f>
        <v>-2000</v>
      </c>
    </row>
    <row r="316" spans="1:7" x14ac:dyDescent="0.3">
      <c r="A316" s="535">
        <v>44088</v>
      </c>
      <c r="B316" s="533" t="s">
        <v>121</v>
      </c>
      <c r="C316" s="532"/>
      <c r="D316" s="532" t="s">
        <v>6895</v>
      </c>
      <c r="E316" s="331"/>
      <c r="F316" s="331">
        <v>58000</v>
      </c>
      <c r="G316" s="534">
        <f>E316-F316</f>
        <v>-58000</v>
      </c>
    </row>
    <row r="317" spans="1:7" x14ac:dyDescent="0.3">
      <c r="A317" s="535">
        <v>44088</v>
      </c>
      <c r="B317" s="533" t="s">
        <v>121</v>
      </c>
      <c r="C317" s="532"/>
      <c r="D317" s="532" t="s">
        <v>295</v>
      </c>
      <c r="E317" s="331">
        <v>25000</v>
      </c>
      <c r="F317" s="331"/>
      <c r="G317" s="534">
        <f>E317-F317</f>
        <v>25000</v>
      </c>
    </row>
    <row r="318" spans="1:7" x14ac:dyDescent="0.3">
      <c r="A318" s="535">
        <v>44089</v>
      </c>
      <c r="B318" s="533" t="s">
        <v>121</v>
      </c>
      <c r="C318" s="532"/>
      <c r="D318" s="532" t="s">
        <v>295</v>
      </c>
      <c r="E318" s="331">
        <v>30000</v>
      </c>
      <c r="F318" s="331"/>
      <c r="G318" s="534">
        <f>E318-F318</f>
        <v>30000</v>
      </c>
    </row>
    <row r="319" spans="1:7" x14ac:dyDescent="0.3">
      <c r="A319" s="535">
        <v>44089</v>
      </c>
      <c r="B319" s="533" t="s">
        <v>121</v>
      </c>
      <c r="C319" s="532"/>
      <c r="D319" s="532" t="s">
        <v>6901</v>
      </c>
      <c r="E319" s="331"/>
      <c r="F319" s="331">
        <v>24300</v>
      </c>
      <c r="G319" s="534">
        <f>E319-F319</f>
        <v>-24300</v>
      </c>
    </row>
    <row r="320" spans="1:7" x14ac:dyDescent="0.3">
      <c r="A320" s="535">
        <v>44089</v>
      </c>
      <c r="B320" s="533" t="s">
        <v>121</v>
      </c>
      <c r="C320" s="532"/>
      <c r="D320" s="532" t="s">
        <v>6742</v>
      </c>
      <c r="E320" s="331"/>
      <c r="F320" s="331">
        <v>1500</v>
      </c>
      <c r="G320" s="534">
        <f>E320-F320</f>
        <v>-1500</v>
      </c>
    </row>
    <row r="321" spans="1:7" x14ac:dyDescent="0.3">
      <c r="A321" s="535">
        <v>44089</v>
      </c>
      <c r="B321" s="533" t="s">
        <v>121</v>
      </c>
      <c r="C321" s="532"/>
      <c r="D321" s="532" t="s">
        <v>6902</v>
      </c>
      <c r="E321" s="331"/>
      <c r="F321" s="331">
        <v>15000</v>
      </c>
      <c r="G321" s="534">
        <f>E321-F321</f>
        <v>-15000</v>
      </c>
    </row>
    <row r="322" spans="1:7" x14ac:dyDescent="0.3">
      <c r="A322" s="535">
        <v>44092</v>
      </c>
      <c r="B322" s="533" t="s">
        <v>121</v>
      </c>
      <c r="C322" s="532"/>
      <c r="D322" s="532" t="s">
        <v>295</v>
      </c>
      <c r="E322" s="331">
        <v>150000</v>
      </c>
      <c r="F322" s="331"/>
      <c r="G322" s="534">
        <f>E322-F322</f>
        <v>150000</v>
      </c>
    </row>
    <row r="323" spans="1:7" x14ac:dyDescent="0.3">
      <c r="A323" s="535">
        <v>44092</v>
      </c>
      <c r="B323" s="533" t="s">
        <v>121</v>
      </c>
      <c r="C323" s="532"/>
      <c r="D323" s="532" t="s">
        <v>4266</v>
      </c>
      <c r="E323" s="331"/>
      <c r="F323" s="331">
        <v>2000</v>
      </c>
      <c r="G323" s="534">
        <f>E323-F323</f>
        <v>-2000</v>
      </c>
    </row>
    <row r="324" spans="1:7" x14ac:dyDescent="0.3">
      <c r="A324" s="535">
        <v>44092</v>
      </c>
      <c r="B324" s="533" t="s">
        <v>121</v>
      </c>
      <c r="C324" s="532"/>
      <c r="D324" s="532" t="s">
        <v>6920</v>
      </c>
      <c r="E324" s="331"/>
      <c r="F324" s="331">
        <v>4000</v>
      </c>
      <c r="G324" s="534">
        <f>E324-F324</f>
        <v>-4000</v>
      </c>
    </row>
    <row r="325" spans="1:7" x14ac:dyDescent="0.3">
      <c r="A325" s="535">
        <v>44092</v>
      </c>
      <c r="B325" s="533" t="s">
        <v>121</v>
      </c>
      <c r="C325" s="532"/>
      <c r="D325" s="532" t="s">
        <v>6921</v>
      </c>
      <c r="E325" s="331"/>
      <c r="F325" s="331">
        <v>30000</v>
      </c>
      <c r="G325" s="534">
        <f>E325-F325</f>
        <v>-30000</v>
      </c>
    </row>
    <row r="326" spans="1:7" x14ac:dyDescent="0.3">
      <c r="A326" s="535">
        <v>44093</v>
      </c>
      <c r="B326" s="533" t="s">
        <v>121</v>
      </c>
      <c r="C326" s="532"/>
      <c r="D326" s="532" t="s">
        <v>295</v>
      </c>
      <c r="E326" s="331">
        <v>50000</v>
      </c>
      <c r="F326" s="331"/>
      <c r="G326" s="534">
        <f>E326-F326</f>
        <v>50000</v>
      </c>
    </row>
    <row r="327" spans="1:7" x14ac:dyDescent="0.3">
      <c r="A327" s="535">
        <v>44093</v>
      </c>
      <c r="B327" s="533" t="s">
        <v>121</v>
      </c>
      <c r="C327" s="532"/>
      <c r="D327" s="532" t="s">
        <v>6924</v>
      </c>
      <c r="E327" s="331"/>
      <c r="F327" s="331">
        <v>60000</v>
      </c>
      <c r="G327" s="534">
        <f>E327-F327</f>
        <v>-60000</v>
      </c>
    </row>
    <row r="328" spans="1:7" x14ac:dyDescent="0.3">
      <c r="A328" s="535">
        <v>44093</v>
      </c>
      <c r="B328" s="533" t="s">
        <v>121</v>
      </c>
      <c r="C328" s="532"/>
      <c r="D328" s="532" t="s">
        <v>6925</v>
      </c>
      <c r="E328" s="331"/>
      <c r="F328" s="331">
        <v>5000</v>
      </c>
      <c r="G328" s="534">
        <f>E328-F328</f>
        <v>-5000</v>
      </c>
    </row>
    <row r="329" spans="1:7" x14ac:dyDescent="0.3">
      <c r="A329" s="535">
        <v>44093</v>
      </c>
      <c r="B329" s="533" t="s">
        <v>121</v>
      </c>
      <c r="C329" s="532"/>
      <c r="D329" s="532" t="s">
        <v>295</v>
      </c>
      <c r="E329" s="331">
        <v>15000</v>
      </c>
      <c r="F329" s="331"/>
      <c r="G329" s="534">
        <f>E329-F329</f>
        <v>15000</v>
      </c>
    </row>
    <row r="330" spans="1:7" x14ac:dyDescent="0.3">
      <c r="A330" s="535">
        <v>44095</v>
      </c>
      <c r="B330" s="533" t="s">
        <v>121</v>
      </c>
      <c r="C330" s="532"/>
      <c r="D330" s="532" t="s">
        <v>295</v>
      </c>
      <c r="E330" s="331">
        <v>5000</v>
      </c>
      <c r="F330" s="331"/>
      <c r="G330" s="534">
        <f>E330-F330</f>
        <v>5000</v>
      </c>
    </row>
    <row r="331" spans="1:7" x14ac:dyDescent="0.3">
      <c r="A331" s="535">
        <v>44096</v>
      </c>
      <c r="B331" s="533" t="s">
        <v>121</v>
      </c>
      <c r="C331" s="532"/>
      <c r="D331" s="532" t="s">
        <v>295</v>
      </c>
      <c r="E331" s="331">
        <v>5000</v>
      </c>
      <c r="F331" s="331"/>
      <c r="G331" s="534">
        <f>E331-F331</f>
        <v>5000</v>
      </c>
    </row>
    <row r="332" spans="1:7" x14ac:dyDescent="0.3">
      <c r="A332" s="535">
        <v>44099</v>
      </c>
      <c r="B332" s="533" t="s">
        <v>121</v>
      </c>
      <c r="C332" s="532"/>
      <c r="D332" s="532" t="s">
        <v>6902</v>
      </c>
      <c r="E332" s="331"/>
      <c r="F332" s="331">
        <v>2000</v>
      </c>
      <c r="G332" s="534">
        <f>E332-F332</f>
        <v>-2000</v>
      </c>
    </row>
    <row r="333" spans="1:7" x14ac:dyDescent="0.3">
      <c r="A333" s="535">
        <v>44099</v>
      </c>
      <c r="B333" s="533" t="s">
        <v>121</v>
      </c>
      <c r="C333" s="532"/>
      <c r="D333" s="532" t="s">
        <v>6964</v>
      </c>
      <c r="E333" s="331"/>
      <c r="F333" s="331">
        <v>3000</v>
      </c>
      <c r="G333" s="534">
        <f>E333-F333</f>
        <v>-3000</v>
      </c>
    </row>
    <row r="334" spans="1:7" x14ac:dyDescent="0.3">
      <c r="A334" s="535">
        <v>44099</v>
      </c>
      <c r="B334" s="533" t="s">
        <v>121</v>
      </c>
      <c r="C334" s="532"/>
      <c r="D334" s="532" t="s">
        <v>5991</v>
      </c>
      <c r="E334" s="331">
        <v>100000</v>
      </c>
      <c r="F334" s="331"/>
      <c r="G334" s="534">
        <f>E334-F334</f>
        <v>100000</v>
      </c>
    </row>
    <row r="335" spans="1:7" x14ac:dyDescent="0.3">
      <c r="A335" s="535">
        <v>44099</v>
      </c>
      <c r="B335" s="533" t="s">
        <v>121</v>
      </c>
      <c r="C335" s="532"/>
      <c r="D335" s="532" t="s">
        <v>6968</v>
      </c>
      <c r="E335" s="331">
        <v>18660</v>
      </c>
      <c r="F335" s="331"/>
      <c r="G335" s="534">
        <f>E335-F335</f>
        <v>18660</v>
      </c>
    </row>
    <row r="336" spans="1:7" x14ac:dyDescent="0.3">
      <c r="A336" s="535">
        <v>44099</v>
      </c>
      <c r="B336" s="533" t="s">
        <v>121</v>
      </c>
      <c r="C336" s="532"/>
      <c r="D336" s="532" t="s">
        <v>439</v>
      </c>
      <c r="E336" s="331">
        <v>25000</v>
      </c>
      <c r="F336" s="331"/>
      <c r="G336" s="534">
        <f>E336-F336</f>
        <v>25000</v>
      </c>
    </row>
    <row r="337" spans="1:7" x14ac:dyDescent="0.3">
      <c r="A337" s="535">
        <v>44102</v>
      </c>
      <c r="B337" s="533" t="s">
        <v>121</v>
      </c>
      <c r="C337" s="532"/>
      <c r="D337" s="532" t="s">
        <v>6987</v>
      </c>
      <c r="E337" s="331"/>
      <c r="F337" s="331">
        <v>15000</v>
      </c>
      <c r="G337" s="534">
        <f>E337-F337</f>
        <v>-15000</v>
      </c>
    </row>
    <row r="338" spans="1:7" x14ac:dyDescent="0.3">
      <c r="A338" s="535">
        <v>44105</v>
      </c>
      <c r="B338" s="533" t="s">
        <v>121</v>
      </c>
      <c r="C338" s="532"/>
      <c r="D338" s="532" t="s">
        <v>295</v>
      </c>
      <c r="E338" s="331">
        <v>5000</v>
      </c>
      <c r="F338" s="331"/>
      <c r="G338" s="534">
        <f>E338-F338</f>
        <v>5000</v>
      </c>
    </row>
    <row r="339" spans="1:7" x14ac:dyDescent="0.3">
      <c r="A339" s="535">
        <v>44106</v>
      </c>
      <c r="B339" s="533" t="s">
        <v>121</v>
      </c>
      <c r="C339" s="532"/>
      <c r="D339" s="532" t="s">
        <v>4655</v>
      </c>
      <c r="E339" s="331"/>
      <c r="F339" s="331">
        <v>13720</v>
      </c>
      <c r="G339" s="534">
        <f>E339-F339</f>
        <v>-13720</v>
      </c>
    </row>
    <row r="340" spans="1:7" x14ac:dyDescent="0.3">
      <c r="A340" s="535">
        <v>44106</v>
      </c>
      <c r="B340" s="533" t="s">
        <v>121</v>
      </c>
      <c r="C340" s="532"/>
      <c r="D340" s="532" t="s">
        <v>4370</v>
      </c>
      <c r="E340" s="331"/>
      <c r="F340" s="331">
        <v>2350</v>
      </c>
      <c r="G340" s="534">
        <f>E340-F340</f>
        <v>-2350</v>
      </c>
    </row>
    <row r="341" spans="1:7" x14ac:dyDescent="0.3">
      <c r="A341" s="535">
        <v>44106</v>
      </c>
      <c r="B341" s="533" t="s">
        <v>121</v>
      </c>
      <c r="C341" s="532"/>
      <c r="D341" s="532" t="s">
        <v>5001</v>
      </c>
      <c r="E341" s="331"/>
      <c r="F341" s="331">
        <v>3550</v>
      </c>
      <c r="G341" s="534">
        <f>E341-F341</f>
        <v>-3550</v>
      </c>
    </row>
    <row r="342" spans="1:7" x14ac:dyDescent="0.3">
      <c r="A342" s="535">
        <v>44106</v>
      </c>
      <c r="B342" s="533" t="s">
        <v>121</v>
      </c>
      <c r="C342" s="532"/>
      <c r="D342" s="532" t="s">
        <v>295</v>
      </c>
      <c r="E342" s="331">
        <v>50000</v>
      </c>
      <c r="F342" s="331"/>
      <c r="G342" s="534">
        <f>E342-F342</f>
        <v>50000</v>
      </c>
    </row>
    <row r="343" spans="1:7" x14ac:dyDescent="0.3">
      <c r="A343" s="535">
        <v>44107</v>
      </c>
      <c r="B343" s="533" t="s">
        <v>121</v>
      </c>
      <c r="C343" s="532"/>
      <c r="D343" s="532" t="s">
        <v>5401</v>
      </c>
      <c r="E343" s="331"/>
      <c r="F343" s="331">
        <v>25000</v>
      </c>
      <c r="G343" s="534">
        <f>E343-F343</f>
        <v>-25000</v>
      </c>
    </row>
    <row r="344" spans="1:7" x14ac:dyDescent="0.3">
      <c r="A344" s="535">
        <v>44109</v>
      </c>
      <c r="B344" s="533" t="s">
        <v>121</v>
      </c>
      <c r="C344" s="532"/>
      <c r="D344" s="532" t="s">
        <v>7016</v>
      </c>
      <c r="E344" s="331">
        <v>23634</v>
      </c>
      <c r="F344" s="331"/>
      <c r="G344" s="534">
        <f>E344-F344</f>
        <v>23634</v>
      </c>
    </row>
    <row r="345" spans="1:7" x14ac:dyDescent="0.3">
      <c r="A345" s="535">
        <v>44110</v>
      </c>
      <c r="B345" s="533" t="s">
        <v>121</v>
      </c>
      <c r="C345" s="532"/>
      <c r="D345" s="532" t="s">
        <v>295</v>
      </c>
      <c r="E345" s="331">
        <v>50000</v>
      </c>
      <c r="F345" s="331"/>
      <c r="G345" s="534">
        <f>E345-F345</f>
        <v>50000</v>
      </c>
    </row>
    <row r="346" spans="1:7" x14ac:dyDescent="0.3">
      <c r="A346" s="535">
        <v>44112</v>
      </c>
      <c r="B346" s="533" t="s">
        <v>121</v>
      </c>
      <c r="C346" s="532"/>
      <c r="D346" s="532" t="s">
        <v>7039</v>
      </c>
      <c r="E346" s="331"/>
      <c r="F346" s="331">
        <v>50000</v>
      </c>
      <c r="G346" s="534">
        <f>E346-F346</f>
        <v>-50000</v>
      </c>
    </row>
    <row r="347" spans="1:7" x14ac:dyDescent="0.3">
      <c r="A347" s="535">
        <v>44113</v>
      </c>
      <c r="B347" s="533" t="s">
        <v>121</v>
      </c>
      <c r="C347" s="532"/>
      <c r="D347" s="532" t="s">
        <v>7044</v>
      </c>
      <c r="E347" s="331"/>
      <c r="F347" s="331">
        <v>1000</v>
      </c>
      <c r="G347" s="534">
        <f>E347-F347</f>
        <v>-1000</v>
      </c>
    </row>
    <row r="348" spans="1:7" x14ac:dyDescent="0.3">
      <c r="A348" s="535">
        <v>44113</v>
      </c>
      <c r="B348" s="533" t="s">
        <v>121</v>
      </c>
      <c r="C348" s="532"/>
      <c r="D348" s="532" t="s">
        <v>7045</v>
      </c>
      <c r="E348" s="331">
        <v>5000</v>
      </c>
      <c r="F348" s="331"/>
      <c r="G348" s="534">
        <f>E348-F348</f>
        <v>5000</v>
      </c>
    </row>
    <row r="349" spans="1:7" x14ac:dyDescent="0.3">
      <c r="A349" s="535">
        <v>44114</v>
      </c>
      <c r="B349" s="533" t="s">
        <v>121</v>
      </c>
      <c r="C349" s="532"/>
      <c r="D349" s="532" t="s">
        <v>295</v>
      </c>
      <c r="E349" s="331">
        <v>15000</v>
      </c>
      <c r="F349" s="331"/>
      <c r="G349" s="534">
        <f>E349-F349</f>
        <v>15000</v>
      </c>
    </row>
    <row r="350" spans="1:7" x14ac:dyDescent="0.3">
      <c r="A350" s="535">
        <v>44116</v>
      </c>
      <c r="B350" s="533" t="s">
        <v>121</v>
      </c>
      <c r="C350" s="532"/>
      <c r="D350" s="532" t="s">
        <v>7066</v>
      </c>
      <c r="E350" s="331">
        <v>16500</v>
      </c>
      <c r="F350" s="331"/>
      <c r="G350" s="534">
        <f>E350-F350</f>
        <v>16500</v>
      </c>
    </row>
    <row r="351" spans="1:7" x14ac:dyDescent="0.3">
      <c r="A351" s="535">
        <v>44116</v>
      </c>
      <c r="B351" s="533" t="s">
        <v>121</v>
      </c>
      <c r="C351" s="532"/>
      <c r="D351" s="532" t="s">
        <v>295</v>
      </c>
      <c r="E351" s="331">
        <v>100000</v>
      </c>
      <c r="F351" s="331"/>
      <c r="G351" s="534">
        <f>E351-F351</f>
        <v>100000</v>
      </c>
    </row>
    <row r="352" spans="1:7" x14ac:dyDescent="0.3">
      <c r="A352" s="535">
        <v>44118</v>
      </c>
      <c r="B352" s="533" t="s">
        <v>121</v>
      </c>
      <c r="C352" s="532"/>
      <c r="D352" s="532" t="s">
        <v>4370</v>
      </c>
      <c r="E352" s="331"/>
      <c r="F352" s="331">
        <v>2000</v>
      </c>
      <c r="G352" s="534">
        <f>E352-F352</f>
        <v>-2000</v>
      </c>
    </row>
    <row r="353" spans="1:7" x14ac:dyDescent="0.3">
      <c r="A353" s="535">
        <v>44118</v>
      </c>
      <c r="B353" s="533" t="s">
        <v>121</v>
      </c>
      <c r="C353" s="532"/>
      <c r="D353" s="532" t="s">
        <v>4655</v>
      </c>
      <c r="E353" s="331"/>
      <c r="F353" s="331">
        <v>8500</v>
      </c>
      <c r="G353" s="534">
        <f>E353-F353</f>
        <v>-8500</v>
      </c>
    </row>
    <row r="354" spans="1:7" x14ac:dyDescent="0.3">
      <c r="A354" s="535">
        <v>44118</v>
      </c>
      <c r="B354" s="533" t="s">
        <v>121</v>
      </c>
      <c r="C354" s="532"/>
      <c r="D354" s="532" t="s">
        <v>5337</v>
      </c>
      <c r="E354" s="331"/>
      <c r="F354" s="331">
        <v>1500</v>
      </c>
      <c r="G354" s="534">
        <f>E354-F354</f>
        <v>-1500</v>
      </c>
    </row>
    <row r="355" spans="1:7" x14ac:dyDescent="0.3">
      <c r="A355" s="535">
        <v>44119</v>
      </c>
      <c r="B355" s="533" t="s">
        <v>121</v>
      </c>
      <c r="C355" s="532"/>
      <c r="D355" s="532" t="s">
        <v>7082</v>
      </c>
      <c r="E355" s="331"/>
      <c r="F355" s="331">
        <v>1000</v>
      </c>
      <c r="G355" s="534">
        <f>E355-F355</f>
        <v>-1000</v>
      </c>
    </row>
    <row r="356" spans="1:7" x14ac:dyDescent="0.3">
      <c r="A356" s="535">
        <v>44125</v>
      </c>
      <c r="B356" s="533" t="s">
        <v>121</v>
      </c>
      <c r="C356" s="532"/>
      <c r="D356" s="532" t="s">
        <v>7122</v>
      </c>
      <c r="E356" s="331">
        <v>100000</v>
      </c>
      <c r="F356" s="331"/>
      <c r="G356" s="534">
        <f>E356-F356</f>
        <v>100000</v>
      </c>
    </row>
    <row r="357" spans="1:7" x14ac:dyDescent="0.3">
      <c r="A357" s="535">
        <v>44125</v>
      </c>
      <c r="B357" s="533" t="s">
        <v>121</v>
      </c>
      <c r="C357" s="532"/>
      <c r="D357" s="532" t="s">
        <v>7123</v>
      </c>
      <c r="E357" s="331"/>
      <c r="F357" s="331">
        <v>10000</v>
      </c>
      <c r="G357" s="534">
        <f>E357-F357</f>
        <v>-10000</v>
      </c>
    </row>
    <row r="358" spans="1:7" x14ac:dyDescent="0.3">
      <c r="A358" s="535">
        <v>44127</v>
      </c>
      <c r="B358" s="533" t="s">
        <v>121</v>
      </c>
      <c r="C358" s="532"/>
      <c r="D358" s="532" t="s">
        <v>7129</v>
      </c>
      <c r="E358" s="331"/>
      <c r="F358" s="331">
        <v>1790</v>
      </c>
      <c r="G358" s="534">
        <f>E358-F358</f>
        <v>-1790</v>
      </c>
    </row>
    <row r="359" spans="1:7" x14ac:dyDescent="0.3">
      <c r="A359" s="535">
        <v>44127</v>
      </c>
      <c r="B359" s="533" t="s">
        <v>121</v>
      </c>
      <c r="C359" s="532"/>
      <c r="D359" s="532" t="s">
        <v>7131</v>
      </c>
      <c r="E359" s="331">
        <v>150000</v>
      </c>
      <c r="F359" s="331"/>
      <c r="G359" s="534">
        <f>E359-F359</f>
        <v>150000</v>
      </c>
    </row>
    <row r="360" spans="1:7" x14ac:dyDescent="0.3">
      <c r="A360" s="535">
        <v>44127</v>
      </c>
      <c r="B360" s="533" t="s">
        <v>121</v>
      </c>
      <c r="C360" s="532"/>
      <c r="D360" s="532" t="s">
        <v>4655</v>
      </c>
      <c r="E360" s="331"/>
      <c r="F360" s="331">
        <v>37000</v>
      </c>
      <c r="G360" s="534">
        <f>E360-F360</f>
        <v>-37000</v>
      </c>
    </row>
    <row r="361" spans="1:7" x14ac:dyDescent="0.3">
      <c r="A361" s="535">
        <v>44130</v>
      </c>
      <c r="B361" s="533" t="s">
        <v>121</v>
      </c>
      <c r="C361" s="532"/>
      <c r="D361" s="532" t="s">
        <v>7137</v>
      </c>
      <c r="E361" s="331">
        <v>8371</v>
      </c>
      <c r="F361" s="331"/>
      <c r="G361" s="534">
        <f>E361-F361</f>
        <v>8371</v>
      </c>
    </row>
    <row r="362" spans="1:7" x14ac:dyDescent="0.3">
      <c r="A362" s="535">
        <v>44130</v>
      </c>
      <c r="B362" s="533" t="s">
        <v>121</v>
      </c>
      <c r="C362" s="532"/>
      <c r="D362" s="532" t="s">
        <v>7135</v>
      </c>
      <c r="E362" s="331">
        <v>350000</v>
      </c>
      <c r="F362" s="331"/>
      <c r="G362" s="534">
        <f>E362-F362</f>
        <v>350000</v>
      </c>
    </row>
    <row r="363" spans="1:7" x14ac:dyDescent="0.3">
      <c r="A363" s="535">
        <v>44131</v>
      </c>
      <c r="B363" s="533" t="s">
        <v>121</v>
      </c>
      <c r="C363" s="532"/>
      <c r="D363" s="532" t="s">
        <v>5401</v>
      </c>
      <c r="E363" s="331"/>
      <c r="F363" s="331">
        <v>80000</v>
      </c>
      <c r="G363" s="534">
        <f>E363-F363</f>
        <v>-80000</v>
      </c>
    </row>
    <row r="364" spans="1:7" x14ac:dyDescent="0.3">
      <c r="A364" s="535">
        <v>44133</v>
      </c>
      <c r="B364" s="533" t="s">
        <v>121</v>
      </c>
      <c r="C364" s="532"/>
      <c r="D364" s="532" t="s">
        <v>6503</v>
      </c>
      <c r="E364" s="331">
        <v>10000</v>
      </c>
      <c r="F364" s="331"/>
      <c r="G364" s="534">
        <f>E364-F364</f>
        <v>10000</v>
      </c>
    </row>
    <row r="365" spans="1:7" x14ac:dyDescent="0.3">
      <c r="A365" s="535">
        <v>44133</v>
      </c>
      <c r="B365" s="533" t="s">
        <v>121</v>
      </c>
      <c r="C365" s="532"/>
      <c r="D365" s="532" t="s">
        <v>7163</v>
      </c>
      <c r="E365" s="331"/>
      <c r="F365" s="331">
        <v>15000</v>
      </c>
      <c r="G365" s="534">
        <f>E365-F365</f>
        <v>-15000</v>
      </c>
    </row>
    <row r="366" spans="1:7" x14ac:dyDescent="0.3">
      <c r="A366" s="535">
        <v>44133</v>
      </c>
      <c r="B366" s="533" t="s">
        <v>121</v>
      </c>
      <c r="C366" s="532"/>
      <c r="D366" s="532" t="s">
        <v>4776</v>
      </c>
      <c r="E366" s="331"/>
      <c r="F366" s="331">
        <v>30000</v>
      </c>
      <c r="G366" s="534">
        <f>E366-F366</f>
        <v>-30000</v>
      </c>
    </row>
    <row r="367" spans="1:7" x14ac:dyDescent="0.3">
      <c r="A367" s="535">
        <v>44133</v>
      </c>
      <c r="B367" s="533" t="s">
        <v>121</v>
      </c>
      <c r="C367" s="532"/>
      <c r="D367" s="532" t="s">
        <v>4266</v>
      </c>
      <c r="E367" s="331"/>
      <c r="F367" s="331">
        <v>40000</v>
      </c>
      <c r="G367" s="534">
        <f>E367-F367</f>
        <v>-40000</v>
      </c>
    </row>
    <row r="368" spans="1:7" x14ac:dyDescent="0.3">
      <c r="A368" s="535">
        <v>44133</v>
      </c>
      <c r="B368" s="533" t="s">
        <v>121</v>
      </c>
      <c r="C368" s="532"/>
      <c r="D368" s="532" t="s">
        <v>7164</v>
      </c>
      <c r="E368" s="331"/>
      <c r="F368" s="331">
        <v>5000</v>
      </c>
      <c r="G368" s="534">
        <f>E368-F368</f>
        <v>-5000</v>
      </c>
    </row>
    <row r="369" spans="1:7" x14ac:dyDescent="0.3">
      <c r="A369" s="535">
        <v>44133</v>
      </c>
      <c r="B369" s="533" t="s">
        <v>121</v>
      </c>
      <c r="C369" s="532"/>
      <c r="D369" s="532" t="s">
        <v>7165</v>
      </c>
      <c r="E369" s="331"/>
      <c r="F369" s="331">
        <v>197612</v>
      </c>
      <c r="G369" s="534">
        <f>E369-F369</f>
        <v>-197612</v>
      </c>
    </row>
    <row r="370" spans="1:7" x14ac:dyDescent="0.3">
      <c r="A370" s="535">
        <v>44137</v>
      </c>
      <c r="B370" s="533" t="s">
        <v>121</v>
      </c>
      <c r="C370" s="532"/>
      <c r="D370" s="532" t="s">
        <v>295</v>
      </c>
      <c r="E370" s="331">
        <v>5000</v>
      </c>
      <c r="F370" s="331"/>
      <c r="G370" s="534">
        <f>E370-F370</f>
        <v>5000</v>
      </c>
    </row>
    <row r="371" spans="1:7" x14ac:dyDescent="0.3">
      <c r="A371" s="535">
        <v>44139</v>
      </c>
      <c r="B371" s="533" t="s">
        <v>121</v>
      </c>
      <c r="C371" s="532"/>
      <c r="D371" s="532" t="s">
        <v>6500</v>
      </c>
      <c r="E371" s="331">
        <v>9348</v>
      </c>
      <c r="F371" s="331"/>
      <c r="G371" s="534">
        <f>E371-F371</f>
        <v>9348</v>
      </c>
    </row>
    <row r="372" spans="1:7" x14ac:dyDescent="0.3">
      <c r="A372" s="535">
        <v>44140</v>
      </c>
      <c r="B372" s="533" t="s">
        <v>121</v>
      </c>
      <c r="C372" s="532"/>
      <c r="D372" s="532" t="s">
        <v>4369</v>
      </c>
      <c r="E372" s="331">
        <v>15000</v>
      </c>
      <c r="F372" s="331"/>
      <c r="G372" s="534">
        <f>E372-F372</f>
        <v>15000</v>
      </c>
    </row>
    <row r="373" spans="1:7" x14ac:dyDescent="0.3">
      <c r="A373" s="535">
        <v>44141</v>
      </c>
      <c r="B373" s="533" t="s">
        <v>121</v>
      </c>
      <c r="C373" s="532"/>
      <c r="D373" s="532" t="s">
        <v>7183</v>
      </c>
      <c r="E373" s="331"/>
      <c r="F373" s="331">
        <v>10000</v>
      </c>
      <c r="G373" s="534">
        <f>E373-F373</f>
        <v>-10000</v>
      </c>
    </row>
    <row r="374" spans="1:7" x14ac:dyDescent="0.3">
      <c r="A374" s="535">
        <v>44152</v>
      </c>
      <c r="B374" s="533" t="s">
        <v>121</v>
      </c>
      <c r="C374" s="532"/>
      <c r="D374" s="532" t="s">
        <v>7201</v>
      </c>
      <c r="E374" s="331"/>
      <c r="F374" s="331">
        <v>5000</v>
      </c>
      <c r="G374" s="534">
        <f>E374-F374</f>
        <v>-5000</v>
      </c>
    </row>
    <row r="375" spans="1:7" x14ac:dyDescent="0.3">
      <c r="A375" s="535">
        <v>44152</v>
      </c>
      <c r="B375" s="533" t="s">
        <v>121</v>
      </c>
      <c r="C375" s="532"/>
      <c r="D375" s="532" t="s">
        <v>7201</v>
      </c>
      <c r="E375" s="331"/>
      <c r="F375" s="331">
        <v>7000</v>
      </c>
      <c r="G375" s="534">
        <f>E375-F375</f>
        <v>-7000</v>
      </c>
    </row>
    <row r="376" spans="1:7" x14ac:dyDescent="0.3">
      <c r="A376" s="535">
        <v>44152</v>
      </c>
      <c r="B376" s="533" t="s">
        <v>121</v>
      </c>
      <c r="C376" s="532"/>
      <c r="D376" s="532" t="s">
        <v>7202</v>
      </c>
      <c r="E376" s="331">
        <v>100000</v>
      </c>
      <c r="F376" s="331"/>
      <c r="G376" s="534">
        <f>E376-F376</f>
        <v>100000</v>
      </c>
    </row>
    <row r="377" spans="1:7" x14ac:dyDescent="0.3">
      <c r="A377" s="535">
        <v>44152</v>
      </c>
      <c r="B377" s="533" t="s">
        <v>121</v>
      </c>
      <c r="C377" s="532"/>
      <c r="D377" s="532" t="s">
        <v>7211</v>
      </c>
      <c r="E377" s="331"/>
      <c r="F377" s="331">
        <v>3000</v>
      </c>
      <c r="G377" s="534">
        <f>E377-F377</f>
        <v>-3000</v>
      </c>
    </row>
    <row r="378" spans="1:7" x14ac:dyDescent="0.3">
      <c r="A378" s="535">
        <v>44153</v>
      </c>
      <c r="B378" s="533" t="s">
        <v>121</v>
      </c>
      <c r="C378" s="532"/>
      <c r="D378" s="532" t="s">
        <v>7212</v>
      </c>
      <c r="E378" s="331"/>
      <c r="F378" s="331">
        <v>15000</v>
      </c>
      <c r="G378" s="534">
        <f>E378-F378</f>
        <v>-15000</v>
      </c>
    </row>
    <row r="379" spans="1:7" x14ac:dyDescent="0.3">
      <c r="A379" s="535">
        <v>44153</v>
      </c>
      <c r="B379" s="533" t="s">
        <v>121</v>
      </c>
      <c r="C379" s="532"/>
      <c r="D379" s="532" t="s">
        <v>3914</v>
      </c>
      <c r="E379" s="331">
        <v>15000</v>
      </c>
      <c r="F379" s="331"/>
      <c r="G379" s="534">
        <f>E379-F379</f>
        <v>15000</v>
      </c>
    </row>
    <row r="380" spans="1:7" x14ac:dyDescent="0.3">
      <c r="A380" s="535">
        <v>44153</v>
      </c>
      <c r="B380" s="533" t="s">
        <v>121</v>
      </c>
      <c r="C380" s="532"/>
      <c r="D380" s="532" t="s">
        <v>7222</v>
      </c>
      <c r="E380" s="331"/>
      <c r="F380" s="331">
        <v>9815</v>
      </c>
      <c r="G380" s="534">
        <f>E380-F380</f>
        <v>-9815</v>
      </c>
    </row>
    <row r="381" spans="1:7" x14ac:dyDescent="0.3">
      <c r="A381" s="535">
        <v>44154</v>
      </c>
      <c r="B381" s="533" t="s">
        <v>121</v>
      </c>
      <c r="C381" s="532"/>
      <c r="D381" s="532" t="s">
        <v>7221</v>
      </c>
      <c r="E381" s="331"/>
      <c r="F381" s="331">
        <v>7000</v>
      </c>
      <c r="G381" s="534">
        <f>E381-F381</f>
        <v>-7000</v>
      </c>
    </row>
    <row r="382" spans="1:7" x14ac:dyDescent="0.3">
      <c r="A382" s="535">
        <v>44159</v>
      </c>
      <c r="B382" s="533" t="s">
        <v>121</v>
      </c>
      <c r="C382" s="532"/>
      <c r="D382" s="532" t="s">
        <v>295</v>
      </c>
      <c r="E382" s="331">
        <v>5000</v>
      </c>
      <c r="F382" s="331"/>
      <c r="G382" s="534">
        <f>E382-F382</f>
        <v>5000</v>
      </c>
    </row>
    <row r="383" spans="1:7" x14ac:dyDescent="0.3">
      <c r="A383" s="535">
        <v>44160</v>
      </c>
      <c r="B383" s="533" t="s">
        <v>121</v>
      </c>
      <c r="C383" s="532"/>
      <c r="D383" s="532" t="s">
        <v>7044</v>
      </c>
      <c r="E383" s="331"/>
      <c r="F383" s="331">
        <v>5000</v>
      </c>
      <c r="G383" s="534">
        <f>E383-F383</f>
        <v>-5000</v>
      </c>
    </row>
    <row r="384" spans="1:7" x14ac:dyDescent="0.3">
      <c r="A384" s="535">
        <v>44160</v>
      </c>
      <c r="B384" s="533" t="s">
        <v>121</v>
      </c>
      <c r="C384" s="532"/>
      <c r="D384" s="532" t="s">
        <v>7241</v>
      </c>
      <c r="E384" s="331"/>
      <c r="F384" s="331">
        <v>5500</v>
      </c>
      <c r="G384" s="534">
        <f>E384-F384</f>
        <v>-5500</v>
      </c>
    </row>
    <row r="385" spans="1:7" x14ac:dyDescent="0.3">
      <c r="A385" s="535">
        <v>44160</v>
      </c>
      <c r="B385" s="533" t="s">
        <v>121</v>
      </c>
      <c r="C385" s="532"/>
      <c r="D385" s="532" t="s">
        <v>7242</v>
      </c>
      <c r="E385" s="331"/>
      <c r="F385" s="331">
        <v>15000</v>
      </c>
      <c r="G385" s="534">
        <f>E385-F385</f>
        <v>-15000</v>
      </c>
    </row>
    <row r="386" spans="1:7" x14ac:dyDescent="0.3">
      <c r="A386" s="535">
        <v>44160</v>
      </c>
      <c r="B386" s="533" t="s">
        <v>121</v>
      </c>
      <c r="C386" s="532"/>
      <c r="D386" s="532" t="s">
        <v>7245</v>
      </c>
      <c r="E386" s="331">
        <v>6491</v>
      </c>
      <c r="F386" s="331"/>
      <c r="G386" s="534">
        <f>E386-F386</f>
        <v>6491</v>
      </c>
    </row>
    <row r="387" spans="1:7" x14ac:dyDescent="0.3">
      <c r="A387" s="535">
        <v>44163</v>
      </c>
      <c r="B387" s="533" t="s">
        <v>121</v>
      </c>
      <c r="C387" s="532"/>
      <c r="D387" s="532" t="s">
        <v>7256</v>
      </c>
      <c r="E387" s="331">
        <v>20000</v>
      </c>
      <c r="F387" s="331"/>
      <c r="G387" s="534">
        <f>E387-F387</f>
        <v>20000</v>
      </c>
    </row>
    <row r="388" spans="1:7" x14ac:dyDescent="0.3">
      <c r="A388" s="535">
        <v>44169</v>
      </c>
      <c r="B388" s="533" t="s">
        <v>121</v>
      </c>
      <c r="C388" s="532"/>
      <c r="D388" s="532" t="s">
        <v>7279</v>
      </c>
      <c r="E388" s="331"/>
      <c r="F388" s="331">
        <v>5000</v>
      </c>
      <c r="G388" s="534">
        <f>E388-F388</f>
        <v>-5000</v>
      </c>
    </row>
    <row r="389" spans="1:7" x14ac:dyDescent="0.3">
      <c r="A389" s="535">
        <v>44169</v>
      </c>
      <c r="B389" s="533" t="s">
        <v>121</v>
      </c>
      <c r="C389" s="532"/>
      <c r="D389" s="532" t="s">
        <v>7284</v>
      </c>
      <c r="E389" s="331"/>
      <c r="F389" s="331">
        <v>5000</v>
      </c>
      <c r="G389" s="534">
        <f>E389-F389</f>
        <v>-5000</v>
      </c>
    </row>
    <row r="390" spans="1:7" x14ac:dyDescent="0.3">
      <c r="A390" s="535">
        <v>44170</v>
      </c>
      <c r="B390" s="533" t="s">
        <v>121</v>
      </c>
      <c r="C390" s="532"/>
      <c r="D390" s="532" t="s">
        <v>7286</v>
      </c>
      <c r="E390" s="331"/>
      <c r="F390" s="331">
        <v>1000</v>
      </c>
      <c r="G390" s="534">
        <f>E390-F390</f>
        <v>-1000</v>
      </c>
    </row>
    <row r="391" spans="1:7" x14ac:dyDescent="0.3">
      <c r="A391" s="535">
        <v>44174</v>
      </c>
      <c r="B391" s="533" t="s">
        <v>121</v>
      </c>
      <c r="C391" s="532"/>
      <c r="D391" s="532" t="s">
        <v>6387</v>
      </c>
      <c r="E391" s="331"/>
      <c r="F391" s="331">
        <v>13640</v>
      </c>
      <c r="G391" s="534">
        <f>E391-F391</f>
        <v>-13640</v>
      </c>
    </row>
    <row r="392" spans="1:7" x14ac:dyDescent="0.3">
      <c r="A392" s="535">
        <v>44174</v>
      </c>
      <c r="B392" s="533" t="s">
        <v>121</v>
      </c>
      <c r="C392" s="532"/>
      <c r="D392" s="532" t="s">
        <v>4368</v>
      </c>
      <c r="E392" s="331"/>
      <c r="F392" s="331">
        <v>2000</v>
      </c>
      <c r="G392" s="534">
        <f>E392-F392</f>
        <v>-2000</v>
      </c>
    </row>
    <row r="393" spans="1:7" x14ac:dyDescent="0.3">
      <c r="A393" s="535">
        <v>44174</v>
      </c>
      <c r="B393" s="533" t="s">
        <v>121</v>
      </c>
      <c r="C393" s="532"/>
      <c r="D393" s="532" t="s">
        <v>5157</v>
      </c>
      <c r="E393" s="331"/>
      <c r="F393" s="331">
        <v>3000</v>
      </c>
      <c r="G393" s="534">
        <f>E393-F393</f>
        <v>-3000</v>
      </c>
    </row>
    <row r="394" spans="1:7" x14ac:dyDescent="0.3">
      <c r="A394" s="535">
        <v>44174</v>
      </c>
      <c r="B394" s="533" t="s">
        <v>121</v>
      </c>
      <c r="C394" s="532"/>
      <c r="D394" s="532" t="s">
        <v>5339</v>
      </c>
      <c r="E394" s="331"/>
      <c r="F394" s="331">
        <v>2000</v>
      </c>
      <c r="G394" s="534">
        <f>E394-F394</f>
        <v>-2000</v>
      </c>
    </row>
    <row r="395" spans="1:7" x14ac:dyDescent="0.3">
      <c r="A395" s="535">
        <v>44175</v>
      </c>
      <c r="B395" s="533" t="s">
        <v>121</v>
      </c>
      <c r="C395" s="532"/>
      <c r="D395" s="532" t="s">
        <v>295</v>
      </c>
      <c r="E395" s="331">
        <v>3000</v>
      </c>
      <c r="F395" s="331"/>
      <c r="G395" s="534">
        <f>E395-F395</f>
        <v>3000</v>
      </c>
    </row>
    <row r="396" spans="1:7" x14ac:dyDescent="0.3">
      <c r="A396" s="535">
        <v>44177</v>
      </c>
      <c r="B396" s="533" t="s">
        <v>121</v>
      </c>
      <c r="C396" s="532"/>
      <c r="D396" s="532" t="s">
        <v>7316</v>
      </c>
      <c r="E396" s="331"/>
      <c r="F396" s="331">
        <v>5000</v>
      </c>
      <c r="G396" s="534">
        <f>E396-F396</f>
        <v>-5000</v>
      </c>
    </row>
    <row r="397" spans="1:7" x14ac:dyDescent="0.3">
      <c r="A397" s="535">
        <v>44180</v>
      </c>
      <c r="B397" s="533" t="s">
        <v>121</v>
      </c>
      <c r="C397" s="532"/>
      <c r="D397" s="532" t="s">
        <v>295</v>
      </c>
      <c r="E397" s="331">
        <v>1000</v>
      </c>
      <c r="F397" s="331"/>
      <c r="G397" s="534">
        <f>E397-F397</f>
        <v>1000</v>
      </c>
    </row>
    <row r="398" spans="1:7" x14ac:dyDescent="0.3">
      <c r="A398" s="535">
        <v>44183</v>
      </c>
      <c r="B398" s="533" t="s">
        <v>121</v>
      </c>
      <c r="C398" s="532"/>
      <c r="D398" s="532" t="s">
        <v>295</v>
      </c>
      <c r="E398" s="331">
        <v>1000</v>
      </c>
      <c r="F398" s="331"/>
      <c r="G398" s="534">
        <f>E398-F398</f>
        <v>1000</v>
      </c>
    </row>
    <row r="399" spans="1:7" x14ac:dyDescent="0.3">
      <c r="A399" s="535">
        <v>44183</v>
      </c>
      <c r="B399" s="533" t="s">
        <v>121</v>
      </c>
      <c r="C399" s="532"/>
      <c r="D399" s="532" t="s">
        <v>295</v>
      </c>
      <c r="E399" s="331">
        <v>10000</v>
      </c>
      <c r="F399" s="331"/>
      <c r="G399" s="534">
        <f>E399-F399</f>
        <v>10000</v>
      </c>
    </row>
    <row r="400" spans="1:7" x14ac:dyDescent="0.3">
      <c r="A400" s="535">
        <v>44188</v>
      </c>
      <c r="B400" s="533" t="s">
        <v>121</v>
      </c>
      <c r="C400" s="532"/>
      <c r="D400" s="532" t="s">
        <v>7346</v>
      </c>
      <c r="E400" s="331">
        <v>100000</v>
      </c>
      <c r="F400" s="331"/>
      <c r="G400" s="534">
        <f>E400-F400</f>
        <v>100000</v>
      </c>
    </row>
    <row r="401" spans="1:7" x14ac:dyDescent="0.3">
      <c r="A401" s="535">
        <v>44188</v>
      </c>
      <c r="B401" s="533" t="s">
        <v>121</v>
      </c>
      <c r="C401" s="532"/>
      <c r="D401" s="532" t="s">
        <v>295</v>
      </c>
      <c r="E401" s="331">
        <v>1000</v>
      </c>
      <c r="F401" s="331"/>
      <c r="G401" s="534">
        <f>E401-F401</f>
        <v>1000</v>
      </c>
    </row>
    <row r="402" spans="1:7" x14ac:dyDescent="0.3">
      <c r="A402" s="535">
        <v>44189</v>
      </c>
      <c r="B402" s="533" t="s">
        <v>121</v>
      </c>
      <c r="C402" s="532"/>
      <c r="D402" s="532" t="s">
        <v>7352</v>
      </c>
      <c r="E402" s="331"/>
      <c r="F402" s="331">
        <v>40000</v>
      </c>
      <c r="G402" s="534">
        <f>E402-F402</f>
        <v>-40000</v>
      </c>
    </row>
    <row r="403" spans="1:7" x14ac:dyDescent="0.3">
      <c r="A403" s="535">
        <v>44191</v>
      </c>
      <c r="B403" s="533" t="s">
        <v>121</v>
      </c>
      <c r="C403" s="532"/>
      <c r="D403" s="532" t="s">
        <v>7365</v>
      </c>
      <c r="E403" s="331"/>
      <c r="F403" s="331">
        <v>8000</v>
      </c>
      <c r="G403" s="534">
        <f>E403-F403</f>
        <v>-8000</v>
      </c>
    </row>
    <row r="404" spans="1:7" x14ac:dyDescent="0.3">
      <c r="A404" s="535">
        <v>44191</v>
      </c>
      <c r="B404" s="533" t="s">
        <v>121</v>
      </c>
      <c r="C404" s="532"/>
      <c r="D404" s="532" t="s">
        <v>7350</v>
      </c>
      <c r="E404" s="331"/>
      <c r="F404" s="331">
        <v>20000</v>
      </c>
      <c r="G404" s="534">
        <f>E404-F404</f>
        <v>-20000</v>
      </c>
    </row>
    <row r="405" spans="1:7" x14ac:dyDescent="0.3">
      <c r="A405" s="535">
        <v>44193</v>
      </c>
      <c r="B405" s="533" t="s">
        <v>121</v>
      </c>
      <c r="C405" s="532"/>
      <c r="D405" s="532" t="s">
        <v>7353</v>
      </c>
      <c r="E405" s="331"/>
      <c r="F405" s="331">
        <v>3000</v>
      </c>
      <c r="G405" s="534">
        <f>E405-F405</f>
        <v>-3000</v>
      </c>
    </row>
    <row r="406" spans="1:7" x14ac:dyDescent="0.3">
      <c r="A406" s="535">
        <v>44193</v>
      </c>
      <c r="B406" s="533" t="s">
        <v>121</v>
      </c>
      <c r="C406" s="532"/>
      <c r="D406" s="532" t="s">
        <v>7245</v>
      </c>
      <c r="E406" s="331">
        <v>1358</v>
      </c>
      <c r="F406" s="331"/>
      <c r="G406" s="534">
        <f>E406-F406</f>
        <v>1358</v>
      </c>
    </row>
    <row r="407" spans="1:7" x14ac:dyDescent="0.3">
      <c r="A407" s="535">
        <v>44194</v>
      </c>
      <c r="B407" s="533" t="s">
        <v>121</v>
      </c>
      <c r="C407" s="532"/>
      <c r="D407" s="532" t="s">
        <v>5401</v>
      </c>
      <c r="E407" s="331"/>
      <c r="F407" s="331">
        <v>5000</v>
      </c>
      <c r="G407" s="534">
        <f>E407-F407</f>
        <v>-5000</v>
      </c>
    </row>
    <row r="408" spans="1:7" x14ac:dyDescent="0.3">
      <c r="A408" s="535">
        <v>44194</v>
      </c>
      <c r="B408" s="533" t="s">
        <v>121</v>
      </c>
      <c r="C408" s="532"/>
      <c r="D408" s="532" t="s">
        <v>7349</v>
      </c>
      <c r="E408" s="331"/>
      <c r="F408" s="331">
        <v>7000</v>
      </c>
      <c r="G408" s="534">
        <f>E408-F408</f>
        <v>-7000</v>
      </c>
    </row>
    <row r="409" spans="1:7" x14ac:dyDescent="0.3">
      <c r="A409" s="535">
        <v>44200</v>
      </c>
      <c r="B409" s="533" t="s">
        <v>121</v>
      </c>
      <c r="C409" s="532"/>
      <c r="D409" s="532" t="s">
        <v>7371</v>
      </c>
      <c r="E409" s="331"/>
      <c r="F409" s="331">
        <v>10000</v>
      </c>
      <c r="G409" s="534">
        <f>E409-F409</f>
        <v>-10000</v>
      </c>
    </row>
    <row r="410" spans="1:7" x14ac:dyDescent="0.3">
      <c r="A410" s="535">
        <v>44200</v>
      </c>
      <c r="B410" s="533" t="s">
        <v>121</v>
      </c>
      <c r="C410" s="532"/>
      <c r="D410" s="532" t="s">
        <v>7372</v>
      </c>
      <c r="E410" s="331"/>
      <c r="F410" s="331">
        <v>20000</v>
      </c>
      <c r="G410" s="534">
        <f>E410-F410</f>
        <v>-20000</v>
      </c>
    </row>
    <row r="411" spans="1:7" x14ac:dyDescent="0.3">
      <c r="A411" s="535">
        <v>44201</v>
      </c>
      <c r="B411" s="533" t="s">
        <v>121</v>
      </c>
      <c r="C411" s="532"/>
      <c r="D411" s="532" t="s">
        <v>295</v>
      </c>
      <c r="E411" s="331">
        <v>50000</v>
      </c>
      <c r="F411" s="331"/>
      <c r="G411" s="534">
        <f>E411-F411</f>
        <v>50000</v>
      </c>
    </row>
    <row r="412" spans="1:7" x14ac:dyDescent="0.3">
      <c r="A412" s="535">
        <v>44202</v>
      </c>
      <c r="B412" s="533" t="s">
        <v>121</v>
      </c>
      <c r="C412" s="532"/>
      <c r="D412" s="532" t="s">
        <v>295</v>
      </c>
      <c r="E412" s="331">
        <v>50000</v>
      </c>
      <c r="F412" s="331"/>
      <c r="G412" s="534">
        <f>E412-F412</f>
        <v>50000</v>
      </c>
    </row>
    <row r="413" spans="1:7" x14ac:dyDescent="0.3">
      <c r="A413" s="535">
        <v>44202</v>
      </c>
      <c r="B413" s="533" t="s">
        <v>121</v>
      </c>
      <c r="C413" s="532"/>
      <c r="D413" s="532" t="s">
        <v>7349</v>
      </c>
      <c r="E413" s="331"/>
      <c r="F413" s="331">
        <v>5000</v>
      </c>
      <c r="G413" s="534">
        <f>E413-F413</f>
        <v>-5000</v>
      </c>
    </row>
    <row r="414" spans="1:7" x14ac:dyDescent="0.3">
      <c r="A414" s="535">
        <v>44204</v>
      </c>
      <c r="B414" s="533" t="s">
        <v>121</v>
      </c>
      <c r="C414" s="532"/>
      <c r="D414" s="532" t="s">
        <v>7394</v>
      </c>
      <c r="E414" s="331"/>
      <c r="F414" s="331">
        <v>10000</v>
      </c>
      <c r="G414" s="534">
        <f>E414-F414</f>
        <v>-10000</v>
      </c>
    </row>
    <row r="415" spans="1:7" x14ac:dyDescent="0.3">
      <c r="A415" s="535">
        <v>44204</v>
      </c>
      <c r="B415" s="533" t="s">
        <v>121</v>
      </c>
      <c r="C415" s="532"/>
      <c r="D415" s="532" t="s">
        <v>7395</v>
      </c>
      <c r="E415" s="331"/>
      <c r="F415" s="331">
        <v>45000</v>
      </c>
      <c r="G415" s="534">
        <f>E415-F415</f>
        <v>-45000</v>
      </c>
    </row>
    <row r="416" spans="1:7" x14ac:dyDescent="0.3">
      <c r="A416" s="535">
        <v>44204</v>
      </c>
      <c r="B416" s="533" t="s">
        <v>121</v>
      </c>
      <c r="C416" s="532"/>
      <c r="D416" s="532" t="s">
        <v>7396</v>
      </c>
      <c r="E416" s="331"/>
      <c r="F416" s="331">
        <v>5000</v>
      </c>
      <c r="G416" s="534">
        <f>E416-F416</f>
        <v>-5000</v>
      </c>
    </row>
    <row r="417" spans="1:7" x14ac:dyDescent="0.3">
      <c r="A417" s="535">
        <v>44205</v>
      </c>
      <c r="B417" s="533" t="s">
        <v>121</v>
      </c>
      <c r="C417" s="532"/>
      <c r="D417" s="532" t="s">
        <v>295</v>
      </c>
      <c r="E417" s="331">
        <v>15000</v>
      </c>
      <c r="F417" s="331"/>
      <c r="G417" s="534">
        <f>E417-F417</f>
        <v>15000</v>
      </c>
    </row>
    <row r="418" spans="1:7" x14ac:dyDescent="0.3">
      <c r="A418" s="535">
        <v>44211</v>
      </c>
      <c r="B418" s="533" t="s">
        <v>121</v>
      </c>
      <c r="C418" s="532"/>
      <c r="D418" s="532" t="s">
        <v>295</v>
      </c>
      <c r="E418" s="331">
        <v>50000</v>
      </c>
      <c r="F418" s="331"/>
      <c r="G418" s="534">
        <f>E418-F418</f>
        <v>50000</v>
      </c>
    </row>
    <row r="419" spans="1:7" x14ac:dyDescent="0.3">
      <c r="A419" s="535">
        <v>44211</v>
      </c>
      <c r="B419" s="533" t="s">
        <v>121</v>
      </c>
      <c r="C419" s="532"/>
      <c r="D419" s="532" t="s">
        <v>7420</v>
      </c>
      <c r="E419" s="331"/>
      <c r="F419" s="331">
        <v>5000</v>
      </c>
      <c r="G419" s="534">
        <f>E419-F419</f>
        <v>-5000</v>
      </c>
    </row>
    <row r="420" spans="1:7" x14ac:dyDescent="0.3">
      <c r="A420" s="535">
        <v>44212</v>
      </c>
      <c r="B420" s="533" t="s">
        <v>121</v>
      </c>
      <c r="C420" s="532"/>
      <c r="D420" s="532" t="s">
        <v>295</v>
      </c>
      <c r="E420" s="331">
        <v>15000</v>
      </c>
      <c r="F420" s="331"/>
      <c r="G420" s="534">
        <f>E420-F420</f>
        <v>15000</v>
      </c>
    </row>
    <row r="421" spans="1:7" x14ac:dyDescent="0.3">
      <c r="A421" s="535">
        <v>44214</v>
      </c>
      <c r="B421" s="533" t="s">
        <v>8417</v>
      </c>
      <c r="C421" s="535"/>
      <c r="D421" s="532" t="s">
        <v>295</v>
      </c>
      <c r="E421" s="331">
        <v>100000</v>
      </c>
      <c r="F421" s="331"/>
      <c r="G421" s="534">
        <f>E421-F421</f>
        <v>100000</v>
      </c>
    </row>
    <row r="422" spans="1:7" x14ac:dyDescent="0.3">
      <c r="A422" s="535">
        <v>44214</v>
      </c>
      <c r="B422" s="533" t="s">
        <v>121</v>
      </c>
      <c r="C422" s="532"/>
      <c r="D422" s="532" t="s">
        <v>7429</v>
      </c>
      <c r="E422" s="331"/>
      <c r="F422" s="331">
        <v>13750</v>
      </c>
      <c r="G422" s="534">
        <f>E422-F422</f>
        <v>-13750</v>
      </c>
    </row>
    <row r="423" spans="1:7" x14ac:dyDescent="0.3">
      <c r="A423" s="535">
        <v>44214</v>
      </c>
      <c r="B423" s="533" t="s">
        <v>121</v>
      </c>
      <c r="C423" s="532"/>
      <c r="D423" s="532" t="s">
        <v>4655</v>
      </c>
      <c r="E423" s="331"/>
      <c r="F423" s="331">
        <v>8770</v>
      </c>
      <c r="G423" s="534">
        <f>E423-F423</f>
        <v>-8770</v>
      </c>
    </row>
    <row r="424" spans="1:7" x14ac:dyDescent="0.3">
      <c r="A424" s="535">
        <v>44214</v>
      </c>
      <c r="B424" s="533" t="s">
        <v>121</v>
      </c>
      <c r="C424" s="532"/>
      <c r="D424" s="532" t="s">
        <v>6327</v>
      </c>
      <c r="E424" s="331"/>
      <c r="F424" s="331">
        <v>2500</v>
      </c>
      <c r="G424" s="534">
        <f>E424-F424</f>
        <v>-2500</v>
      </c>
    </row>
    <row r="425" spans="1:7" x14ac:dyDescent="0.3">
      <c r="A425" s="535">
        <v>44214</v>
      </c>
      <c r="B425" s="533" t="s">
        <v>121</v>
      </c>
      <c r="C425" s="532"/>
      <c r="D425" s="532" t="s">
        <v>4370</v>
      </c>
      <c r="E425" s="331"/>
      <c r="F425" s="331">
        <v>13200</v>
      </c>
      <c r="G425" s="534">
        <f>E425-F425</f>
        <v>-13200</v>
      </c>
    </row>
    <row r="426" spans="1:7" x14ac:dyDescent="0.3">
      <c r="A426" s="535">
        <v>44216</v>
      </c>
      <c r="B426" s="533" t="s">
        <v>121</v>
      </c>
      <c r="C426" s="532"/>
      <c r="D426" s="532" t="s">
        <v>7440</v>
      </c>
      <c r="E426" s="331"/>
      <c r="F426" s="331">
        <v>1000</v>
      </c>
      <c r="G426" s="534">
        <f>E426-F426</f>
        <v>-1000</v>
      </c>
    </row>
    <row r="427" spans="1:7" x14ac:dyDescent="0.3">
      <c r="A427" s="535">
        <v>44218</v>
      </c>
      <c r="B427" s="533" t="s">
        <v>121</v>
      </c>
      <c r="C427" s="532"/>
      <c r="D427" s="532" t="s">
        <v>78</v>
      </c>
      <c r="E427" s="331">
        <v>20000</v>
      </c>
      <c r="F427" s="331"/>
      <c r="G427" s="534">
        <f>E427-F427</f>
        <v>20000</v>
      </c>
    </row>
    <row r="428" spans="1:7" x14ac:dyDescent="0.3">
      <c r="A428" s="535">
        <v>44219</v>
      </c>
      <c r="B428" s="533" t="s">
        <v>121</v>
      </c>
      <c r="C428" s="532"/>
      <c r="D428" s="532" t="s">
        <v>7476</v>
      </c>
      <c r="E428" s="331"/>
      <c r="F428" s="331">
        <v>50000</v>
      </c>
      <c r="G428" s="534">
        <f>E428-F428</f>
        <v>-50000</v>
      </c>
    </row>
    <row r="429" spans="1:7" x14ac:dyDescent="0.3">
      <c r="A429" s="535">
        <v>44219</v>
      </c>
      <c r="B429" s="533" t="s">
        <v>121</v>
      </c>
      <c r="C429" s="532"/>
      <c r="D429" s="532" t="s">
        <v>7449</v>
      </c>
      <c r="E429" s="331"/>
      <c r="F429" s="331">
        <v>30000</v>
      </c>
      <c r="G429" s="534">
        <f>E429-F429</f>
        <v>-30000</v>
      </c>
    </row>
    <row r="430" spans="1:7" x14ac:dyDescent="0.3">
      <c r="A430" s="535">
        <v>44219</v>
      </c>
      <c r="B430" s="533" t="s">
        <v>121</v>
      </c>
      <c r="C430" s="532"/>
      <c r="D430" s="532" t="s">
        <v>7450</v>
      </c>
      <c r="E430" s="331"/>
      <c r="F430" s="331">
        <v>16900</v>
      </c>
      <c r="G430" s="534">
        <f>E430-F430</f>
        <v>-16900</v>
      </c>
    </row>
    <row r="431" spans="1:7" x14ac:dyDescent="0.3">
      <c r="A431" s="535">
        <v>44229</v>
      </c>
      <c r="B431" s="533" t="s">
        <v>8417</v>
      </c>
      <c r="C431" s="535"/>
      <c r="D431" s="532" t="s">
        <v>3924</v>
      </c>
      <c r="E431" s="331"/>
      <c r="F431" s="331">
        <v>45925</v>
      </c>
      <c r="G431" s="534">
        <f>E431-F431</f>
        <v>-45925</v>
      </c>
    </row>
    <row r="432" spans="1:7" x14ac:dyDescent="0.3">
      <c r="A432" s="535">
        <v>44229</v>
      </c>
      <c r="B432" s="533" t="s">
        <v>8417</v>
      </c>
      <c r="C432" s="535"/>
      <c r="D432" s="532" t="s">
        <v>3924</v>
      </c>
      <c r="E432" s="331"/>
      <c r="F432" s="331">
        <v>47040</v>
      </c>
      <c r="G432" s="534">
        <f>E432-F432</f>
        <v>-47040</v>
      </c>
    </row>
    <row r="433" spans="1:7" x14ac:dyDescent="0.3">
      <c r="A433" s="535">
        <v>44235</v>
      </c>
      <c r="B433" s="533" t="s">
        <v>121</v>
      </c>
      <c r="C433" s="532"/>
      <c r="D433" s="532" t="s">
        <v>7496</v>
      </c>
      <c r="E433" s="331"/>
      <c r="F433" s="331">
        <v>6000</v>
      </c>
      <c r="G433" s="534">
        <f>E433-F433</f>
        <v>-6000</v>
      </c>
    </row>
    <row r="434" spans="1:7" x14ac:dyDescent="0.3">
      <c r="A434" s="535">
        <v>44236</v>
      </c>
      <c r="B434" s="533" t="s">
        <v>121</v>
      </c>
      <c r="C434" s="532"/>
      <c r="D434" s="532" t="s">
        <v>295</v>
      </c>
      <c r="E434" s="331"/>
      <c r="F434" s="331">
        <v>25000</v>
      </c>
      <c r="G434" s="534">
        <f>E434-F434</f>
        <v>-25000</v>
      </c>
    </row>
    <row r="435" spans="1:7" x14ac:dyDescent="0.3">
      <c r="A435" s="535">
        <v>44237</v>
      </c>
      <c r="B435" s="533" t="s">
        <v>121</v>
      </c>
      <c r="C435" s="532"/>
      <c r="D435" s="532" t="s">
        <v>7520</v>
      </c>
      <c r="E435" s="331"/>
      <c r="F435" s="331">
        <v>50000</v>
      </c>
      <c r="G435" s="534">
        <f>E435-F435</f>
        <v>-50000</v>
      </c>
    </row>
    <row r="436" spans="1:7" x14ac:dyDescent="0.3">
      <c r="A436" s="535">
        <v>44237</v>
      </c>
      <c r="B436" s="533" t="s">
        <v>121</v>
      </c>
      <c r="C436" s="532"/>
      <c r="D436" s="532" t="s">
        <v>7521</v>
      </c>
      <c r="E436" s="331"/>
      <c r="F436" s="331">
        <v>5000</v>
      </c>
      <c r="G436" s="534">
        <f>E436-F436</f>
        <v>-5000</v>
      </c>
    </row>
    <row r="437" spans="1:7" x14ac:dyDescent="0.3">
      <c r="A437" s="535">
        <v>44239</v>
      </c>
      <c r="B437" s="533" t="s">
        <v>121</v>
      </c>
      <c r="C437" s="532"/>
      <c r="D437" s="532" t="s">
        <v>7524</v>
      </c>
      <c r="E437" s="331"/>
      <c r="F437" s="331">
        <v>30000</v>
      </c>
      <c r="G437" s="534">
        <f>E437-F437</f>
        <v>-30000</v>
      </c>
    </row>
    <row r="438" spans="1:7" x14ac:dyDescent="0.3">
      <c r="A438" s="535">
        <v>44239</v>
      </c>
      <c r="B438" s="533" t="s">
        <v>121</v>
      </c>
      <c r="C438" s="532"/>
      <c r="D438" s="532" t="s">
        <v>295</v>
      </c>
      <c r="E438" s="331">
        <v>20000</v>
      </c>
      <c r="F438" s="331"/>
      <c r="G438" s="534">
        <f>E438-F438</f>
        <v>20000</v>
      </c>
    </row>
    <row r="439" spans="1:7" x14ac:dyDescent="0.3">
      <c r="A439" s="535">
        <v>44240</v>
      </c>
      <c r="B439" s="533" t="s">
        <v>121</v>
      </c>
      <c r="C439" s="532"/>
      <c r="D439" s="532" t="s">
        <v>295</v>
      </c>
      <c r="E439" s="331">
        <v>15000</v>
      </c>
      <c r="F439" s="331"/>
      <c r="G439" s="534">
        <f>E439-F439</f>
        <v>15000</v>
      </c>
    </row>
    <row r="440" spans="1:7" x14ac:dyDescent="0.3">
      <c r="A440" s="535">
        <v>44241</v>
      </c>
      <c r="B440" s="533" t="s">
        <v>8417</v>
      </c>
      <c r="C440" s="535"/>
      <c r="D440" s="532" t="s">
        <v>295</v>
      </c>
      <c r="E440" s="331">
        <v>20000</v>
      </c>
      <c r="F440" s="331"/>
      <c r="G440" s="534">
        <f>E440-F440</f>
        <v>20000</v>
      </c>
    </row>
    <row r="441" spans="1:7" x14ac:dyDescent="0.3">
      <c r="A441" s="535">
        <v>44242</v>
      </c>
      <c r="B441" s="533" t="s">
        <v>121</v>
      </c>
      <c r="C441" s="532"/>
      <c r="D441" s="532" t="s">
        <v>4368</v>
      </c>
      <c r="E441" s="331"/>
      <c r="F441" s="331">
        <v>10710</v>
      </c>
      <c r="G441" s="534">
        <f>E441-F441</f>
        <v>-10710</v>
      </c>
    </row>
    <row r="442" spans="1:7" x14ac:dyDescent="0.3">
      <c r="A442" s="535">
        <v>44242</v>
      </c>
      <c r="B442" s="533" t="s">
        <v>121</v>
      </c>
      <c r="C442" s="532"/>
      <c r="D442" s="532" t="s">
        <v>5157</v>
      </c>
      <c r="E442" s="331"/>
      <c r="F442" s="331">
        <v>2537</v>
      </c>
      <c r="G442" s="534">
        <f>E442-F442</f>
        <v>-2537</v>
      </c>
    </row>
    <row r="443" spans="1:7" x14ac:dyDescent="0.3">
      <c r="A443" s="535">
        <v>44242</v>
      </c>
      <c r="B443" s="533" t="s">
        <v>121</v>
      </c>
      <c r="C443" s="532"/>
      <c r="D443" s="532" t="s">
        <v>7535</v>
      </c>
      <c r="E443" s="331"/>
      <c r="F443" s="331">
        <v>12500</v>
      </c>
      <c r="G443" s="534">
        <f>E443-F443</f>
        <v>-12500</v>
      </c>
    </row>
    <row r="444" spans="1:7" x14ac:dyDescent="0.3">
      <c r="A444" s="535">
        <v>44242</v>
      </c>
      <c r="B444" s="533" t="s">
        <v>121</v>
      </c>
      <c r="C444" s="532"/>
      <c r="D444" s="532" t="s">
        <v>6387</v>
      </c>
      <c r="E444" s="331"/>
      <c r="F444" s="331">
        <v>16510</v>
      </c>
      <c r="G444" s="534">
        <f>E444-F444</f>
        <v>-16510</v>
      </c>
    </row>
    <row r="445" spans="1:7" x14ac:dyDescent="0.3">
      <c r="A445" s="535">
        <v>44243</v>
      </c>
      <c r="B445" s="533" t="s">
        <v>121</v>
      </c>
      <c r="C445" s="532"/>
      <c r="D445" s="532" t="s">
        <v>295</v>
      </c>
      <c r="E445" s="331">
        <v>10000</v>
      </c>
      <c r="F445" s="331"/>
      <c r="G445" s="534">
        <f>E445-F445</f>
        <v>10000</v>
      </c>
    </row>
    <row r="446" spans="1:7" x14ac:dyDescent="0.3">
      <c r="A446" s="535">
        <v>44245</v>
      </c>
      <c r="B446" s="533" t="s">
        <v>8417</v>
      </c>
      <c r="C446" s="535"/>
      <c r="D446" s="532" t="s">
        <v>4390</v>
      </c>
      <c r="E446" s="331"/>
      <c r="F446" s="331">
        <v>30247</v>
      </c>
      <c r="G446" s="534">
        <f>E446-F446</f>
        <v>-30247</v>
      </c>
    </row>
    <row r="447" spans="1:7" x14ac:dyDescent="0.3">
      <c r="A447" s="535">
        <v>44245</v>
      </c>
      <c r="B447" s="533" t="s">
        <v>121</v>
      </c>
      <c r="C447" s="532"/>
      <c r="D447" s="532" t="s">
        <v>7594</v>
      </c>
      <c r="E447" s="331"/>
      <c r="F447" s="331">
        <v>5000</v>
      </c>
      <c r="G447" s="534">
        <f>E447-F447</f>
        <v>-5000</v>
      </c>
    </row>
    <row r="448" spans="1:7" x14ac:dyDescent="0.3">
      <c r="A448" s="535">
        <v>44246</v>
      </c>
      <c r="B448" s="533" t="s">
        <v>121</v>
      </c>
      <c r="C448" s="532"/>
      <c r="D448" s="532" t="s">
        <v>7596</v>
      </c>
      <c r="E448" s="331"/>
      <c r="F448" s="331">
        <v>3100</v>
      </c>
      <c r="G448" s="534">
        <f>E448-F448</f>
        <v>-3100</v>
      </c>
    </row>
    <row r="449" spans="1:7" x14ac:dyDescent="0.3">
      <c r="A449" s="535">
        <v>44247</v>
      </c>
      <c r="B449" s="533" t="s">
        <v>121</v>
      </c>
      <c r="C449" s="532"/>
      <c r="D449" s="532" t="s">
        <v>5870</v>
      </c>
      <c r="E449" s="331"/>
      <c r="F449" s="331">
        <v>10000</v>
      </c>
      <c r="G449" s="534">
        <f>E449-F449</f>
        <v>-10000</v>
      </c>
    </row>
    <row r="450" spans="1:7" x14ac:dyDescent="0.3">
      <c r="A450" s="535">
        <v>44247</v>
      </c>
      <c r="B450" s="533" t="s">
        <v>121</v>
      </c>
      <c r="C450" s="532"/>
      <c r="D450" s="532" t="s">
        <v>7600</v>
      </c>
      <c r="E450" s="331"/>
      <c r="F450" s="331">
        <v>5000</v>
      </c>
      <c r="G450" s="534">
        <f>E450-F450</f>
        <v>-5000</v>
      </c>
    </row>
    <row r="451" spans="1:7" x14ac:dyDescent="0.3">
      <c r="A451" s="535">
        <v>44247</v>
      </c>
      <c r="B451" s="533" t="s">
        <v>121</v>
      </c>
      <c r="C451" s="532"/>
      <c r="D451" s="532" t="s">
        <v>7601</v>
      </c>
      <c r="E451" s="331"/>
      <c r="F451" s="331">
        <v>2000</v>
      </c>
      <c r="G451" s="534">
        <f>E451-F451</f>
        <v>-2000</v>
      </c>
    </row>
    <row r="452" spans="1:7" x14ac:dyDescent="0.3">
      <c r="A452" s="535">
        <v>44247</v>
      </c>
      <c r="B452" s="533" t="s">
        <v>121</v>
      </c>
      <c r="C452" s="532"/>
      <c r="D452" s="532" t="s">
        <v>7620</v>
      </c>
      <c r="E452" s="331"/>
      <c r="F452" s="331">
        <v>1000</v>
      </c>
      <c r="G452" s="534">
        <f>E452-F452</f>
        <v>-1000</v>
      </c>
    </row>
    <row r="453" spans="1:7" x14ac:dyDescent="0.3">
      <c r="A453" s="535">
        <v>44256</v>
      </c>
      <c r="B453" s="533" t="s">
        <v>121</v>
      </c>
      <c r="C453" s="532"/>
      <c r="D453" s="532" t="s">
        <v>7635</v>
      </c>
      <c r="E453" s="331"/>
      <c r="F453" s="331">
        <v>50000</v>
      </c>
      <c r="G453" s="534">
        <f>E453-F453</f>
        <v>-50000</v>
      </c>
    </row>
    <row r="454" spans="1:7" x14ac:dyDescent="0.3">
      <c r="A454" s="535">
        <v>44256</v>
      </c>
      <c r="B454" s="533" t="s">
        <v>121</v>
      </c>
      <c r="C454" s="532"/>
      <c r="D454" s="532" t="s">
        <v>7648</v>
      </c>
      <c r="E454" s="331"/>
      <c r="F454" s="331">
        <v>500</v>
      </c>
      <c r="G454" s="534">
        <f>E454-F454</f>
        <v>-500</v>
      </c>
    </row>
    <row r="455" spans="1:7" x14ac:dyDescent="0.3">
      <c r="A455" s="535">
        <v>44256</v>
      </c>
      <c r="B455" s="533" t="s">
        <v>121</v>
      </c>
      <c r="C455" s="532"/>
      <c r="D455" s="532" t="s">
        <v>7650</v>
      </c>
      <c r="E455" s="331"/>
      <c r="F455" s="331">
        <v>50000</v>
      </c>
      <c r="G455" s="534">
        <f>E455-F455</f>
        <v>-50000</v>
      </c>
    </row>
    <row r="456" spans="1:7" x14ac:dyDescent="0.3">
      <c r="A456" s="535">
        <v>44256</v>
      </c>
      <c r="B456" s="533" t="s">
        <v>121</v>
      </c>
      <c r="C456" s="532"/>
      <c r="D456" s="532" t="s">
        <v>7651</v>
      </c>
      <c r="E456" s="331"/>
      <c r="F456" s="331">
        <v>5000</v>
      </c>
      <c r="G456" s="534">
        <f>E456-F456</f>
        <v>-5000</v>
      </c>
    </row>
    <row r="457" spans="1:7" x14ac:dyDescent="0.3">
      <c r="A457" s="535">
        <v>44256</v>
      </c>
      <c r="B457" s="533" t="s">
        <v>121</v>
      </c>
      <c r="C457" s="532"/>
      <c r="D457" s="532" t="s">
        <v>7654</v>
      </c>
      <c r="E457" s="331"/>
      <c r="F457" s="331">
        <v>15000</v>
      </c>
      <c r="G457" s="534">
        <f>E457-F457</f>
        <v>-15000</v>
      </c>
    </row>
    <row r="458" spans="1:7" x14ac:dyDescent="0.3">
      <c r="A458" s="535">
        <v>44256</v>
      </c>
      <c r="B458" s="533" t="s">
        <v>121</v>
      </c>
      <c r="C458" s="532"/>
      <c r="D458" s="532" t="s">
        <v>7655</v>
      </c>
      <c r="E458" s="331">
        <v>1693</v>
      </c>
      <c r="F458" s="331"/>
      <c r="G458" s="534">
        <f>E458-F458</f>
        <v>1693</v>
      </c>
    </row>
    <row r="459" spans="1:7" x14ac:dyDescent="0.3">
      <c r="A459" s="542">
        <v>44257</v>
      </c>
      <c r="B459" s="533" t="s">
        <v>121</v>
      </c>
      <c r="C459" s="36"/>
      <c r="D459" s="36" t="s">
        <v>7668</v>
      </c>
      <c r="E459" s="531"/>
      <c r="F459" s="531">
        <v>5000</v>
      </c>
      <c r="G459" s="534">
        <f>E459-F459</f>
        <v>-5000</v>
      </c>
    </row>
    <row r="460" spans="1:7" x14ac:dyDescent="0.3">
      <c r="A460" s="542">
        <v>44257</v>
      </c>
      <c r="B460" s="533" t="s">
        <v>121</v>
      </c>
      <c r="C460" s="36"/>
      <c r="D460" s="36" t="s">
        <v>7669</v>
      </c>
      <c r="E460" s="531"/>
      <c r="F460" s="531">
        <v>5000</v>
      </c>
      <c r="G460" s="534">
        <f>E460-F460</f>
        <v>-5000</v>
      </c>
    </row>
    <row r="461" spans="1:7" x14ac:dyDescent="0.3">
      <c r="A461" s="542">
        <v>44257</v>
      </c>
      <c r="B461" s="533" t="s">
        <v>121</v>
      </c>
      <c r="C461" s="36"/>
      <c r="D461" s="36" t="s">
        <v>7648</v>
      </c>
      <c r="E461" s="531"/>
      <c r="F461" s="531">
        <v>2000</v>
      </c>
      <c r="G461" s="534">
        <f>E461-F461</f>
        <v>-2000</v>
      </c>
    </row>
    <row r="462" spans="1:7" x14ac:dyDescent="0.3">
      <c r="A462" s="542">
        <v>44257</v>
      </c>
      <c r="B462" s="533" t="s">
        <v>121</v>
      </c>
      <c r="C462" s="36"/>
      <c r="D462" s="36" t="s">
        <v>5401</v>
      </c>
      <c r="E462" s="531"/>
      <c r="F462" s="531">
        <v>5000</v>
      </c>
      <c r="G462" s="534">
        <f>E462-F462</f>
        <v>-5000</v>
      </c>
    </row>
    <row r="463" spans="1:7" x14ac:dyDescent="0.3">
      <c r="A463" s="542">
        <v>44258</v>
      </c>
      <c r="B463" s="533" t="s">
        <v>121</v>
      </c>
      <c r="C463" s="36"/>
      <c r="D463" s="36" t="s">
        <v>7678</v>
      </c>
      <c r="E463" s="531"/>
      <c r="F463" s="531">
        <v>3000</v>
      </c>
      <c r="G463" s="534">
        <f>E463-F463</f>
        <v>-3000</v>
      </c>
    </row>
    <row r="464" spans="1:7" x14ac:dyDescent="0.3">
      <c r="A464" s="542">
        <v>44258</v>
      </c>
      <c r="B464" s="533" t="s">
        <v>121</v>
      </c>
      <c r="C464" s="36"/>
      <c r="D464" s="36" t="s">
        <v>7679</v>
      </c>
      <c r="E464" s="531"/>
      <c r="F464" s="531">
        <v>15000</v>
      </c>
      <c r="G464" s="534">
        <f>E464-F464</f>
        <v>-15000</v>
      </c>
    </row>
    <row r="465" spans="1:7" x14ac:dyDescent="0.3">
      <c r="A465" s="542">
        <v>44258</v>
      </c>
      <c r="B465" s="533" t="s">
        <v>121</v>
      </c>
      <c r="C465" s="36"/>
      <c r="D465" s="36" t="s">
        <v>7680</v>
      </c>
      <c r="E465" s="531"/>
      <c r="F465" s="531">
        <v>20000</v>
      </c>
      <c r="G465" s="534">
        <f>E465-F465</f>
        <v>-20000</v>
      </c>
    </row>
    <row r="466" spans="1:7" x14ac:dyDescent="0.3">
      <c r="A466" s="542">
        <v>44258</v>
      </c>
      <c r="B466" s="533" t="s">
        <v>121</v>
      </c>
      <c r="C466" s="36"/>
      <c r="D466" s="36" t="s">
        <v>6503</v>
      </c>
      <c r="E466" s="531">
        <v>50000</v>
      </c>
      <c r="F466" s="531"/>
      <c r="G466" s="534">
        <f>E466-F466</f>
        <v>50000</v>
      </c>
    </row>
    <row r="467" spans="1:7" x14ac:dyDescent="0.3">
      <c r="A467" s="542">
        <v>44258</v>
      </c>
      <c r="B467" s="533" t="s">
        <v>121</v>
      </c>
      <c r="C467" s="36"/>
      <c r="D467" s="36" t="s">
        <v>6503</v>
      </c>
      <c r="E467" s="531">
        <v>20000</v>
      </c>
      <c r="F467" s="531"/>
      <c r="G467" s="534">
        <f>E467-F467</f>
        <v>20000</v>
      </c>
    </row>
    <row r="468" spans="1:7" x14ac:dyDescent="0.3">
      <c r="A468" s="542">
        <v>44259</v>
      </c>
      <c r="B468" s="533" t="s">
        <v>121</v>
      </c>
      <c r="C468" s="36"/>
      <c r="D468" s="36" t="s">
        <v>7465</v>
      </c>
      <c r="E468" s="531"/>
      <c r="F468" s="531">
        <v>3400</v>
      </c>
      <c r="G468" s="534">
        <f>E468-F468</f>
        <v>-3400</v>
      </c>
    </row>
    <row r="469" spans="1:7" x14ac:dyDescent="0.3">
      <c r="A469" s="542">
        <v>44259</v>
      </c>
      <c r="B469" s="533" t="s">
        <v>121</v>
      </c>
      <c r="C469" s="36"/>
      <c r="D469" s="36" t="s">
        <v>7700</v>
      </c>
      <c r="E469" s="531"/>
      <c r="F469" s="531">
        <v>20700</v>
      </c>
      <c r="G469" s="534">
        <f>E469-F469</f>
        <v>-20700</v>
      </c>
    </row>
    <row r="470" spans="1:7" x14ac:dyDescent="0.3">
      <c r="A470" s="542">
        <v>44259</v>
      </c>
      <c r="B470" s="533" t="s">
        <v>121</v>
      </c>
      <c r="C470" s="36"/>
      <c r="D470" s="36" t="s">
        <v>5001</v>
      </c>
      <c r="E470" s="531"/>
      <c r="F470" s="531">
        <v>132870</v>
      </c>
      <c r="G470" s="534">
        <f>E470-F470</f>
        <v>-132870</v>
      </c>
    </row>
    <row r="471" spans="1:7" x14ac:dyDescent="0.3">
      <c r="A471" s="542">
        <v>44259</v>
      </c>
      <c r="B471" s="533" t="s">
        <v>121</v>
      </c>
      <c r="C471" s="36"/>
      <c r="D471" s="36" t="s">
        <v>4655</v>
      </c>
      <c r="E471" s="531"/>
      <c r="F471" s="531">
        <v>1000</v>
      </c>
      <c r="G471" s="534">
        <f>E471-F471</f>
        <v>-1000</v>
      </c>
    </row>
    <row r="472" spans="1:7" x14ac:dyDescent="0.3">
      <c r="A472" s="542">
        <v>44259</v>
      </c>
      <c r="B472" s="533" t="s">
        <v>121</v>
      </c>
      <c r="C472" s="36"/>
      <c r="D472" s="36" t="s">
        <v>295</v>
      </c>
      <c r="E472" s="531">
        <v>100000</v>
      </c>
      <c r="F472" s="531"/>
      <c r="G472" s="534">
        <f>E472-F472</f>
        <v>100000</v>
      </c>
    </row>
    <row r="473" spans="1:7" x14ac:dyDescent="0.3">
      <c r="A473" s="542">
        <v>44259</v>
      </c>
      <c r="B473" s="533" t="s">
        <v>121</v>
      </c>
      <c r="C473" s="36"/>
      <c r="D473" s="36" t="s">
        <v>7756</v>
      </c>
      <c r="E473" s="531">
        <v>20000</v>
      </c>
      <c r="F473" s="531"/>
      <c r="G473" s="534">
        <f>E473-F473</f>
        <v>20000</v>
      </c>
    </row>
    <row r="474" spans="1:7" x14ac:dyDescent="0.3">
      <c r="A474" s="542">
        <v>44260</v>
      </c>
      <c r="B474" s="533" t="s">
        <v>121</v>
      </c>
      <c r="C474" s="36"/>
      <c r="D474" s="36" t="s">
        <v>7704</v>
      </c>
      <c r="E474" s="531"/>
      <c r="F474" s="531">
        <v>6000</v>
      </c>
      <c r="G474" s="534">
        <f>E474-F474</f>
        <v>-6000</v>
      </c>
    </row>
    <row r="475" spans="1:7" x14ac:dyDescent="0.3">
      <c r="A475" s="535">
        <v>44261</v>
      </c>
      <c r="B475" s="533" t="s">
        <v>8417</v>
      </c>
      <c r="C475" s="535"/>
      <c r="D475" s="532" t="s">
        <v>7716</v>
      </c>
      <c r="E475" s="331">
        <v>50000</v>
      </c>
      <c r="F475" s="331"/>
      <c r="G475" s="534">
        <f>E475-F475</f>
        <v>50000</v>
      </c>
    </row>
    <row r="476" spans="1:7" x14ac:dyDescent="0.3">
      <c r="A476" s="542">
        <v>44261</v>
      </c>
      <c r="B476" s="533" t="s">
        <v>121</v>
      </c>
      <c r="C476" s="36"/>
      <c r="D476" s="36" t="s">
        <v>7719</v>
      </c>
      <c r="E476" s="531"/>
      <c r="F476" s="531">
        <v>3000</v>
      </c>
      <c r="G476" s="534">
        <f>E476-F476</f>
        <v>-3000</v>
      </c>
    </row>
    <row r="477" spans="1:7" x14ac:dyDescent="0.3">
      <c r="A477" s="542">
        <v>44261</v>
      </c>
      <c r="B477" s="533" t="s">
        <v>121</v>
      </c>
      <c r="C477" s="36"/>
      <c r="D477" s="36" t="s">
        <v>7720</v>
      </c>
      <c r="E477" s="531">
        <v>15000</v>
      </c>
      <c r="F477" s="531"/>
      <c r="G477" s="534">
        <f>E477-F477</f>
        <v>15000</v>
      </c>
    </row>
    <row r="478" spans="1:7" x14ac:dyDescent="0.3">
      <c r="A478" s="542">
        <v>44263</v>
      </c>
      <c r="B478" s="533" t="s">
        <v>121</v>
      </c>
      <c r="C478" s="36"/>
      <c r="D478" s="36" t="s">
        <v>5870</v>
      </c>
      <c r="E478" s="531"/>
      <c r="F478" s="531">
        <v>15000</v>
      </c>
      <c r="G478" s="534">
        <f>E478-F478</f>
        <v>-15000</v>
      </c>
    </row>
    <row r="479" spans="1:7" x14ac:dyDescent="0.3">
      <c r="A479" s="542">
        <v>44263</v>
      </c>
      <c r="B479" s="533" t="s">
        <v>121</v>
      </c>
      <c r="C479" s="36"/>
      <c r="D479" s="36" t="s">
        <v>5870</v>
      </c>
      <c r="E479" s="531"/>
      <c r="F479" s="531">
        <v>7000</v>
      </c>
      <c r="G479" s="534">
        <f>E479-F479</f>
        <v>-7000</v>
      </c>
    </row>
    <row r="480" spans="1:7" x14ac:dyDescent="0.3">
      <c r="A480" s="542">
        <v>44263</v>
      </c>
      <c r="B480" s="533" t="s">
        <v>121</v>
      </c>
      <c r="C480" s="36"/>
      <c r="D480" s="36" t="s">
        <v>7726</v>
      </c>
      <c r="E480" s="531"/>
      <c r="F480" s="531">
        <v>5000</v>
      </c>
      <c r="G480" s="534">
        <f>E480-F480</f>
        <v>-5000</v>
      </c>
    </row>
    <row r="481" spans="1:7" x14ac:dyDescent="0.3">
      <c r="A481" s="542">
        <v>44263</v>
      </c>
      <c r="B481" s="533" t="s">
        <v>121</v>
      </c>
      <c r="C481" s="36"/>
      <c r="D481" s="36" t="s">
        <v>295</v>
      </c>
      <c r="E481" s="531">
        <v>45000</v>
      </c>
      <c r="F481" s="531"/>
      <c r="G481" s="534">
        <f>E481-F481</f>
        <v>45000</v>
      </c>
    </row>
    <row r="482" spans="1:7" x14ac:dyDescent="0.3">
      <c r="A482" s="542">
        <v>44263</v>
      </c>
      <c r="B482" s="533" t="s">
        <v>121</v>
      </c>
      <c r="C482" s="36"/>
      <c r="D482" s="36" t="s">
        <v>4705</v>
      </c>
      <c r="E482" s="531"/>
      <c r="F482" s="531">
        <v>35000</v>
      </c>
      <c r="G482" s="534">
        <f>E482-F482</f>
        <v>-35000</v>
      </c>
    </row>
    <row r="483" spans="1:7" x14ac:dyDescent="0.3">
      <c r="A483" s="542">
        <v>44263</v>
      </c>
      <c r="B483" s="533" t="s">
        <v>121</v>
      </c>
      <c r="C483" s="36"/>
      <c r="D483" s="36" t="s">
        <v>4705</v>
      </c>
      <c r="E483" s="531"/>
      <c r="F483" s="531">
        <v>10000</v>
      </c>
      <c r="G483" s="534">
        <f>E483-F483</f>
        <v>-10000</v>
      </c>
    </row>
    <row r="484" spans="1:7" x14ac:dyDescent="0.3">
      <c r="A484" s="542">
        <v>44265</v>
      </c>
      <c r="B484" s="533" t="s">
        <v>121</v>
      </c>
      <c r="C484" s="36"/>
      <c r="D484" s="36" t="s">
        <v>295</v>
      </c>
      <c r="E484" s="531">
        <v>100000</v>
      </c>
      <c r="F484" s="531"/>
      <c r="G484" s="534">
        <f>E484-F484</f>
        <v>100000</v>
      </c>
    </row>
    <row r="485" spans="1:7" x14ac:dyDescent="0.3">
      <c r="A485" s="542">
        <v>44265</v>
      </c>
      <c r="B485" s="533" t="s">
        <v>121</v>
      </c>
      <c r="C485" s="36"/>
      <c r="D485" s="36" t="s">
        <v>7758</v>
      </c>
      <c r="E485" s="531"/>
      <c r="F485" s="531">
        <v>25000</v>
      </c>
      <c r="G485" s="534">
        <f>E485-F485</f>
        <v>-25000</v>
      </c>
    </row>
    <row r="486" spans="1:7" x14ac:dyDescent="0.3">
      <c r="A486" s="542">
        <v>44265</v>
      </c>
      <c r="B486" s="533" t="s">
        <v>121</v>
      </c>
      <c r="C486" s="36"/>
      <c r="D486" s="36" t="s">
        <v>7759</v>
      </c>
      <c r="E486" s="531"/>
      <c r="F486" s="531">
        <v>3000</v>
      </c>
      <c r="G486" s="534">
        <f>E486-F486</f>
        <v>-3000</v>
      </c>
    </row>
    <row r="487" spans="1:7" x14ac:dyDescent="0.3">
      <c r="A487" s="542">
        <v>44265</v>
      </c>
      <c r="B487" s="533" t="s">
        <v>121</v>
      </c>
      <c r="C487" s="36"/>
      <c r="D487" s="36" t="s">
        <v>7761</v>
      </c>
      <c r="E487" s="531"/>
      <c r="F487" s="531">
        <v>10000</v>
      </c>
      <c r="G487" s="534">
        <f>E487-F487</f>
        <v>-10000</v>
      </c>
    </row>
    <row r="488" spans="1:7" x14ac:dyDescent="0.3">
      <c r="A488" s="542">
        <v>44265</v>
      </c>
      <c r="B488" s="533" t="s">
        <v>121</v>
      </c>
      <c r="C488" s="36"/>
      <c r="D488" s="36" t="s">
        <v>7760</v>
      </c>
      <c r="E488" s="531"/>
      <c r="F488" s="531">
        <v>68800</v>
      </c>
      <c r="G488" s="534">
        <f>E488-F488</f>
        <v>-68800</v>
      </c>
    </row>
    <row r="489" spans="1:7" x14ac:dyDescent="0.3">
      <c r="A489" s="542">
        <v>44267</v>
      </c>
      <c r="B489" s="533" t="s">
        <v>121</v>
      </c>
      <c r="C489" s="36"/>
      <c r="D489" s="36" t="s">
        <v>7648</v>
      </c>
      <c r="E489" s="531"/>
      <c r="F489" s="531">
        <v>6000</v>
      </c>
      <c r="G489" s="534">
        <f>E489-F489</f>
        <v>-6000</v>
      </c>
    </row>
    <row r="490" spans="1:7" x14ac:dyDescent="0.3">
      <c r="A490" s="542">
        <v>44270</v>
      </c>
      <c r="B490" s="533" t="s">
        <v>121</v>
      </c>
      <c r="C490" s="36"/>
      <c r="D490" s="36" t="s">
        <v>7795</v>
      </c>
      <c r="E490" s="531"/>
      <c r="F490" s="531">
        <v>25000</v>
      </c>
      <c r="G490" s="534">
        <f>E490-F490</f>
        <v>-25000</v>
      </c>
    </row>
    <row r="491" spans="1:7" x14ac:dyDescent="0.3">
      <c r="A491" s="535">
        <v>44272</v>
      </c>
      <c r="B491" s="533" t="s">
        <v>8417</v>
      </c>
      <c r="C491" s="535"/>
      <c r="D491" s="536" t="s">
        <v>295</v>
      </c>
      <c r="E491" s="537">
        <v>20000</v>
      </c>
      <c r="F491" s="537"/>
      <c r="G491" s="534">
        <f>E491-F491</f>
        <v>20000</v>
      </c>
    </row>
    <row r="492" spans="1:7" x14ac:dyDescent="0.3">
      <c r="A492" s="535">
        <v>44272</v>
      </c>
      <c r="B492" s="533" t="s">
        <v>8417</v>
      </c>
      <c r="C492" s="535"/>
      <c r="D492" s="532" t="s">
        <v>4390</v>
      </c>
      <c r="E492" s="331"/>
      <c r="F492" s="331">
        <v>75516</v>
      </c>
      <c r="G492" s="534">
        <f>E492-F492</f>
        <v>-75516</v>
      </c>
    </row>
    <row r="493" spans="1:7" x14ac:dyDescent="0.3">
      <c r="A493" s="542">
        <v>44273</v>
      </c>
      <c r="B493" s="533" t="s">
        <v>121</v>
      </c>
      <c r="C493" s="36"/>
      <c r="D493" s="36" t="s">
        <v>7833</v>
      </c>
      <c r="E493" s="531"/>
      <c r="F493" s="531">
        <v>2000</v>
      </c>
      <c r="G493" s="534">
        <f>E493-F493</f>
        <v>-2000</v>
      </c>
    </row>
    <row r="494" spans="1:7" x14ac:dyDescent="0.3">
      <c r="A494" s="542">
        <v>44273</v>
      </c>
      <c r="B494" s="533" t="s">
        <v>121</v>
      </c>
      <c r="C494" s="36"/>
      <c r="D494" s="36" t="s">
        <v>1192</v>
      </c>
      <c r="E494" s="531"/>
      <c r="F494" s="531">
        <v>1500</v>
      </c>
      <c r="G494" s="534">
        <f>E494-F494</f>
        <v>-1500</v>
      </c>
    </row>
    <row r="495" spans="1:7" x14ac:dyDescent="0.3">
      <c r="A495" s="542">
        <v>44274</v>
      </c>
      <c r="B495" s="533" t="s">
        <v>121</v>
      </c>
      <c r="C495" s="36"/>
      <c r="D495" s="36" t="s">
        <v>7830</v>
      </c>
      <c r="E495" s="531"/>
      <c r="F495" s="531">
        <v>10200</v>
      </c>
      <c r="G495" s="534">
        <f>E495-F495</f>
        <v>-10200</v>
      </c>
    </row>
    <row r="496" spans="1:7" x14ac:dyDescent="0.3">
      <c r="A496" s="542">
        <v>44274</v>
      </c>
      <c r="B496" s="533" t="s">
        <v>121</v>
      </c>
      <c r="C496" s="36"/>
      <c r="D496" s="36" t="s">
        <v>295</v>
      </c>
      <c r="E496" s="531">
        <v>10000</v>
      </c>
      <c r="F496" s="531"/>
      <c r="G496" s="534">
        <f>E496-F496</f>
        <v>10000</v>
      </c>
    </row>
    <row r="497" spans="1:7" x14ac:dyDescent="0.3">
      <c r="A497" s="542">
        <v>44274</v>
      </c>
      <c r="B497" s="533" t="s">
        <v>121</v>
      </c>
      <c r="C497" s="36"/>
      <c r="D497" s="36" t="s">
        <v>7836</v>
      </c>
      <c r="E497" s="531"/>
      <c r="F497" s="531">
        <v>1000</v>
      </c>
      <c r="G497" s="534">
        <f>E497-F497</f>
        <v>-1000</v>
      </c>
    </row>
    <row r="498" spans="1:7" x14ac:dyDescent="0.3">
      <c r="A498" s="542">
        <v>44274</v>
      </c>
      <c r="B498" s="533" t="s">
        <v>121</v>
      </c>
      <c r="C498" s="36"/>
      <c r="D498" s="36" t="s">
        <v>295</v>
      </c>
      <c r="E498" s="531">
        <v>25000</v>
      </c>
      <c r="F498" s="531"/>
      <c r="G498" s="534">
        <f>E498-F498</f>
        <v>25000</v>
      </c>
    </row>
    <row r="499" spans="1:7" x14ac:dyDescent="0.3">
      <c r="A499" s="535">
        <v>44277</v>
      </c>
      <c r="B499" s="533" t="s">
        <v>8417</v>
      </c>
      <c r="C499" s="535"/>
      <c r="D499" s="532" t="s">
        <v>295</v>
      </c>
      <c r="E499" s="331">
        <v>20000</v>
      </c>
      <c r="F499" s="331"/>
      <c r="G499" s="534">
        <f>E499-F499</f>
        <v>20000</v>
      </c>
    </row>
    <row r="500" spans="1:7" x14ac:dyDescent="0.3">
      <c r="A500" s="535">
        <v>44281</v>
      </c>
      <c r="B500" s="533" t="s">
        <v>8417</v>
      </c>
      <c r="C500" s="535"/>
      <c r="D500" s="536" t="s">
        <v>3924</v>
      </c>
      <c r="E500" s="537"/>
      <c r="F500" s="537">
        <v>94340</v>
      </c>
      <c r="G500" s="534">
        <f>E500-F500</f>
        <v>-94340</v>
      </c>
    </row>
    <row r="501" spans="1:7" x14ac:dyDescent="0.3">
      <c r="A501" s="542">
        <v>44281</v>
      </c>
      <c r="B501" s="533" t="s">
        <v>121</v>
      </c>
      <c r="C501" s="36"/>
      <c r="D501" s="36" t="s">
        <v>295</v>
      </c>
      <c r="E501" s="531">
        <v>1500</v>
      </c>
      <c r="F501" s="531"/>
      <c r="G501" s="534">
        <f>E501-F501</f>
        <v>1500</v>
      </c>
    </row>
    <row r="502" spans="1:7" x14ac:dyDescent="0.3">
      <c r="A502" s="542">
        <v>44281</v>
      </c>
      <c r="B502" s="533" t="s">
        <v>121</v>
      </c>
      <c r="C502" s="36"/>
      <c r="D502" s="36" t="s">
        <v>4705</v>
      </c>
      <c r="E502" s="531"/>
      <c r="F502" s="531">
        <v>1000</v>
      </c>
      <c r="G502" s="534">
        <f>E502-F502</f>
        <v>-1000</v>
      </c>
    </row>
    <row r="503" spans="1:7" x14ac:dyDescent="0.3">
      <c r="A503" s="535">
        <v>44282</v>
      </c>
      <c r="B503" s="533" t="s">
        <v>8417</v>
      </c>
      <c r="C503" s="535"/>
      <c r="D503" s="536" t="s">
        <v>7716</v>
      </c>
      <c r="E503" s="537">
        <v>5000</v>
      </c>
      <c r="F503" s="537"/>
      <c r="G503" s="534">
        <f>E503-F503</f>
        <v>5000</v>
      </c>
    </row>
    <row r="504" spans="1:7" x14ac:dyDescent="0.3">
      <c r="A504" s="542">
        <v>44284</v>
      </c>
      <c r="B504" s="533" t="s">
        <v>121</v>
      </c>
      <c r="C504" s="36"/>
      <c r="D504" s="36" t="s">
        <v>295</v>
      </c>
      <c r="E504" s="531">
        <v>15000</v>
      </c>
      <c r="F504" s="531"/>
      <c r="G504" s="534">
        <f>E504-F504</f>
        <v>15000</v>
      </c>
    </row>
    <row r="505" spans="1:7" x14ac:dyDescent="0.3">
      <c r="A505" s="542">
        <v>44285</v>
      </c>
      <c r="B505" s="533" t="s">
        <v>121</v>
      </c>
      <c r="C505" s="36"/>
      <c r="D505" s="36" t="s">
        <v>7887</v>
      </c>
      <c r="E505" s="531"/>
      <c r="F505" s="531">
        <v>1000</v>
      </c>
      <c r="G505" s="534">
        <f>E505-F505</f>
        <v>-1000</v>
      </c>
    </row>
    <row r="506" spans="1:7" x14ac:dyDescent="0.3">
      <c r="A506" s="542">
        <v>44285</v>
      </c>
      <c r="B506" s="533" t="s">
        <v>121</v>
      </c>
      <c r="C506" s="36"/>
      <c r="D506" s="36" t="s">
        <v>7888</v>
      </c>
      <c r="E506" s="531"/>
      <c r="F506" s="531">
        <v>7000</v>
      </c>
      <c r="G506" s="534">
        <f>E506-F506</f>
        <v>-7000</v>
      </c>
    </row>
    <row r="507" spans="1:7" x14ac:dyDescent="0.3">
      <c r="A507" s="542">
        <v>44286</v>
      </c>
      <c r="B507" s="533" t="s">
        <v>121</v>
      </c>
      <c r="C507" s="36"/>
      <c r="D507" s="36" t="s">
        <v>295</v>
      </c>
      <c r="E507" s="531">
        <v>5000</v>
      </c>
      <c r="F507" s="531"/>
      <c r="G507" s="534">
        <f>E507-F507</f>
        <v>5000</v>
      </c>
    </row>
    <row r="508" spans="1:7" x14ac:dyDescent="0.3">
      <c r="A508" s="535">
        <v>44287</v>
      </c>
      <c r="B508" s="533" t="s">
        <v>8417</v>
      </c>
      <c r="C508" s="535"/>
      <c r="D508" s="536" t="s">
        <v>295</v>
      </c>
      <c r="E508" s="537">
        <v>100000</v>
      </c>
      <c r="F508" s="537"/>
      <c r="G508" s="534">
        <f>E508-F508</f>
        <v>100000</v>
      </c>
    </row>
    <row r="509" spans="1:7" x14ac:dyDescent="0.3">
      <c r="A509" s="542">
        <v>44288</v>
      </c>
      <c r="B509" s="533" t="s">
        <v>121</v>
      </c>
      <c r="C509" s="36"/>
      <c r="D509" s="36" t="s">
        <v>7830</v>
      </c>
      <c r="E509" s="531"/>
      <c r="F509" s="531">
        <v>44030</v>
      </c>
      <c r="G509" s="534">
        <f>E509-F509</f>
        <v>-44030</v>
      </c>
    </row>
    <row r="510" spans="1:7" x14ac:dyDescent="0.3">
      <c r="A510" s="535">
        <v>44290</v>
      </c>
      <c r="B510" s="533" t="s">
        <v>8417</v>
      </c>
      <c r="C510" s="535"/>
      <c r="D510" s="532" t="s">
        <v>7374</v>
      </c>
      <c r="E510" s="331">
        <v>20000</v>
      </c>
      <c r="F510" s="331"/>
      <c r="G510" s="534">
        <f>E510-F510</f>
        <v>20000</v>
      </c>
    </row>
    <row r="511" spans="1:7" x14ac:dyDescent="0.3">
      <c r="A511" s="542">
        <v>44292</v>
      </c>
      <c r="B511" s="533" t="s">
        <v>121</v>
      </c>
      <c r="C511" s="36"/>
      <c r="D511" s="36" t="s">
        <v>7929</v>
      </c>
      <c r="E511" s="531">
        <v>20000</v>
      </c>
      <c r="F511" s="531"/>
      <c r="G511" s="534">
        <f>E511-F511</f>
        <v>20000</v>
      </c>
    </row>
    <row r="512" spans="1:7" x14ac:dyDescent="0.3">
      <c r="A512" s="542">
        <v>44293</v>
      </c>
      <c r="B512" s="533" t="s">
        <v>121</v>
      </c>
      <c r="C512" s="36"/>
      <c r="D512" s="36" t="s">
        <v>295</v>
      </c>
      <c r="E512" s="531">
        <v>15000</v>
      </c>
      <c r="F512" s="531"/>
      <c r="G512" s="534">
        <f>E512-F512</f>
        <v>15000</v>
      </c>
    </row>
    <row r="513" spans="1:7" x14ac:dyDescent="0.3">
      <c r="A513" s="542">
        <v>44294</v>
      </c>
      <c r="B513" s="533" t="s">
        <v>121</v>
      </c>
      <c r="C513" s="36"/>
      <c r="D513" s="36" t="s">
        <v>7942</v>
      </c>
      <c r="E513" s="531"/>
      <c r="F513" s="531">
        <v>50000</v>
      </c>
      <c r="G513" s="534">
        <f>E513-F513</f>
        <v>-50000</v>
      </c>
    </row>
    <row r="514" spans="1:7" x14ac:dyDescent="0.3">
      <c r="A514" s="542">
        <v>44294</v>
      </c>
      <c r="B514" s="533" t="s">
        <v>121</v>
      </c>
      <c r="C514" s="36"/>
      <c r="D514" s="36" t="s">
        <v>7943</v>
      </c>
      <c r="E514" s="531"/>
      <c r="F514" s="531">
        <v>5000</v>
      </c>
      <c r="G514" s="534">
        <f>E514-F514</f>
        <v>-5000</v>
      </c>
    </row>
    <row r="515" spans="1:7" x14ac:dyDescent="0.3">
      <c r="A515" s="542">
        <v>44294</v>
      </c>
      <c r="B515" s="533" t="s">
        <v>121</v>
      </c>
      <c r="C515" s="36"/>
      <c r="D515" s="36" t="s">
        <v>5231</v>
      </c>
      <c r="E515" s="531"/>
      <c r="F515" s="531">
        <v>1000</v>
      </c>
      <c r="G515" s="534">
        <f>E515-F515</f>
        <v>-1000</v>
      </c>
    </row>
    <row r="516" spans="1:7" x14ac:dyDescent="0.3">
      <c r="A516" s="542">
        <v>44294</v>
      </c>
      <c r="B516" s="533" t="s">
        <v>121</v>
      </c>
      <c r="C516" s="36"/>
      <c r="D516" s="36" t="s">
        <v>7429</v>
      </c>
      <c r="E516" s="531"/>
      <c r="F516" s="531">
        <v>7650</v>
      </c>
      <c r="G516" s="534">
        <f>E516-F516</f>
        <v>-7650</v>
      </c>
    </row>
    <row r="517" spans="1:7" x14ac:dyDescent="0.3">
      <c r="A517" s="542">
        <v>44294</v>
      </c>
      <c r="B517" s="533" t="s">
        <v>121</v>
      </c>
      <c r="C517" s="36"/>
      <c r="D517" s="36" t="s">
        <v>5001</v>
      </c>
      <c r="E517" s="531"/>
      <c r="F517" s="531">
        <v>3000</v>
      </c>
      <c r="G517" s="534">
        <f>E517-F517</f>
        <v>-3000</v>
      </c>
    </row>
    <row r="518" spans="1:7" x14ac:dyDescent="0.3">
      <c r="A518" s="535">
        <v>44298</v>
      </c>
      <c r="B518" s="533" t="s">
        <v>8417</v>
      </c>
      <c r="C518" s="535"/>
      <c r="D518" s="536" t="s">
        <v>3924</v>
      </c>
      <c r="E518" s="537"/>
      <c r="F518" s="537">
        <v>64875</v>
      </c>
      <c r="G518" s="534">
        <f>E518-F518</f>
        <v>-64875</v>
      </c>
    </row>
    <row r="519" spans="1:7" x14ac:dyDescent="0.3">
      <c r="A519" s="542">
        <v>44299</v>
      </c>
      <c r="B519" s="533" t="s">
        <v>121</v>
      </c>
      <c r="C519" s="36"/>
      <c r="D519" s="36" t="s">
        <v>295</v>
      </c>
      <c r="E519" s="531">
        <v>15000</v>
      </c>
      <c r="F519" s="531"/>
      <c r="G519" s="534">
        <f>E519-F519</f>
        <v>15000</v>
      </c>
    </row>
    <row r="520" spans="1:7" x14ac:dyDescent="0.3">
      <c r="A520" s="535">
        <v>44301</v>
      </c>
      <c r="B520" s="533" t="s">
        <v>8417</v>
      </c>
      <c r="C520" s="535"/>
      <c r="D520" s="536" t="s">
        <v>295</v>
      </c>
      <c r="E520" s="537">
        <v>30000</v>
      </c>
      <c r="F520" s="537"/>
      <c r="G520" s="534">
        <f>E520-F520</f>
        <v>30000</v>
      </c>
    </row>
    <row r="521" spans="1:7" x14ac:dyDescent="0.3">
      <c r="A521" s="535">
        <v>44301</v>
      </c>
      <c r="B521" s="533" t="s">
        <v>8417</v>
      </c>
      <c r="C521" s="535"/>
      <c r="D521" s="536" t="s">
        <v>3924</v>
      </c>
      <c r="E521" s="537"/>
      <c r="F521" s="537">
        <v>21336</v>
      </c>
      <c r="G521" s="534">
        <f>E521-F521</f>
        <v>-21336</v>
      </c>
    </row>
    <row r="522" spans="1:7" x14ac:dyDescent="0.3">
      <c r="A522" s="535">
        <v>44301</v>
      </c>
      <c r="B522" s="533" t="s">
        <v>8417</v>
      </c>
      <c r="C522" s="535"/>
      <c r="D522" s="536" t="s">
        <v>295</v>
      </c>
      <c r="E522" s="537">
        <v>22000</v>
      </c>
      <c r="F522" s="537"/>
      <c r="G522" s="534">
        <f>E522-F522</f>
        <v>22000</v>
      </c>
    </row>
    <row r="523" spans="1:7" x14ac:dyDescent="0.3">
      <c r="A523" s="542">
        <v>44301</v>
      </c>
      <c r="B523" s="533" t="s">
        <v>121</v>
      </c>
      <c r="C523" s="36"/>
      <c r="D523" s="36" t="s">
        <v>7991</v>
      </c>
      <c r="E523" s="531"/>
      <c r="F523" s="531">
        <v>4000</v>
      </c>
      <c r="G523" s="534">
        <f>E523-F523</f>
        <v>-4000</v>
      </c>
    </row>
    <row r="524" spans="1:7" x14ac:dyDescent="0.3">
      <c r="A524" s="535">
        <v>44302</v>
      </c>
      <c r="B524" s="533" t="s">
        <v>8417</v>
      </c>
      <c r="C524" s="535"/>
      <c r="D524" s="536" t="s">
        <v>295</v>
      </c>
      <c r="E524" s="537">
        <v>20000</v>
      </c>
      <c r="F524" s="537"/>
      <c r="G524" s="534">
        <f>E524-F524</f>
        <v>20000</v>
      </c>
    </row>
    <row r="525" spans="1:7" x14ac:dyDescent="0.3">
      <c r="A525" s="535">
        <v>44302</v>
      </c>
      <c r="B525" s="533" t="s">
        <v>8417</v>
      </c>
      <c r="C525" s="535"/>
      <c r="D525" s="532" t="s">
        <v>3924</v>
      </c>
      <c r="E525" s="331"/>
      <c r="F525" s="331">
        <v>27935</v>
      </c>
      <c r="G525" s="534">
        <f>E525-F525</f>
        <v>-27935</v>
      </c>
    </row>
    <row r="526" spans="1:7" x14ac:dyDescent="0.3">
      <c r="A526" s="542">
        <v>44314</v>
      </c>
      <c r="B526" s="533" t="s">
        <v>121</v>
      </c>
      <c r="C526" s="36"/>
      <c r="D526" s="36" t="s">
        <v>7648</v>
      </c>
      <c r="E526" s="531"/>
      <c r="F526" s="531">
        <v>1000</v>
      </c>
      <c r="G526" s="534">
        <f>E526-F526</f>
        <v>-1000</v>
      </c>
    </row>
    <row r="527" spans="1:7" x14ac:dyDescent="0.3">
      <c r="A527" s="535">
        <v>44317</v>
      </c>
      <c r="B527" s="533" t="s">
        <v>8417</v>
      </c>
      <c r="C527" s="532"/>
      <c r="D527" s="532" t="s">
        <v>4390</v>
      </c>
      <c r="E527" s="331"/>
      <c r="F527" s="331">
        <v>38342</v>
      </c>
      <c r="G527" s="534">
        <f>E527-F527</f>
        <v>-38342</v>
      </c>
    </row>
    <row r="528" spans="1:7" x14ac:dyDescent="0.3">
      <c r="A528" s="535">
        <v>44319</v>
      </c>
      <c r="B528" s="533" t="s">
        <v>8417</v>
      </c>
      <c r="C528" s="535"/>
      <c r="D528" s="536" t="s">
        <v>7716</v>
      </c>
      <c r="E528" s="537">
        <v>40000</v>
      </c>
      <c r="F528" s="537"/>
      <c r="G528" s="534">
        <f>E528-F528</f>
        <v>40000</v>
      </c>
    </row>
    <row r="529" spans="1:7" x14ac:dyDescent="0.3">
      <c r="A529" s="542">
        <v>44319</v>
      </c>
      <c r="B529" s="533" t="s">
        <v>121</v>
      </c>
      <c r="C529" s="36"/>
      <c r="D529" s="36" t="s">
        <v>8038</v>
      </c>
      <c r="E529" s="531">
        <v>6503</v>
      </c>
      <c r="F529" s="531"/>
      <c r="G529" s="534">
        <f>E529-F529</f>
        <v>6503</v>
      </c>
    </row>
    <row r="530" spans="1:7" x14ac:dyDescent="0.3">
      <c r="A530" s="535">
        <v>44321</v>
      </c>
      <c r="B530" s="533" t="s">
        <v>8417</v>
      </c>
      <c r="C530" s="532"/>
      <c r="D530" s="538" t="s">
        <v>4390</v>
      </c>
      <c r="E530" s="539"/>
      <c r="F530" s="539">
        <v>65310</v>
      </c>
      <c r="G530" s="534">
        <f>E530-F530</f>
        <v>-65310</v>
      </c>
    </row>
    <row r="531" spans="1:7" x14ac:dyDescent="0.3">
      <c r="A531" s="542">
        <v>44322</v>
      </c>
      <c r="B531" s="533" t="s">
        <v>121</v>
      </c>
      <c r="C531" s="36"/>
      <c r="D531" s="36" t="s">
        <v>8065</v>
      </c>
      <c r="E531" s="531"/>
      <c r="F531" s="531">
        <v>5000</v>
      </c>
      <c r="G531" s="534">
        <f>E531-F531</f>
        <v>-5000</v>
      </c>
    </row>
    <row r="532" spans="1:7" x14ac:dyDescent="0.3">
      <c r="A532" s="542">
        <v>44323</v>
      </c>
      <c r="B532" s="533" t="s">
        <v>121</v>
      </c>
      <c r="C532" s="36"/>
      <c r="D532" s="36" t="s">
        <v>8080</v>
      </c>
      <c r="E532" s="531"/>
      <c r="F532" s="531">
        <v>3000</v>
      </c>
      <c r="G532" s="534">
        <f>E532-F532</f>
        <v>-3000</v>
      </c>
    </row>
    <row r="533" spans="1:7" x14ac:dyDescent="0.3">
      <c r="A533" s="542">
        <v>44323</v>
      </c>
      <c r="B533" s="533" t="s">
        <v>121</v>
      </c>
      <c r="C533" s="36"/>
      <c r="D533" s="36" t="s">
        <v>8081</v>
      </c>
      <c r="E533" s="531"/>
      <c r="F533" s="531">
        <v>4200</v>
      </c>
      <c r="G533" s="534">
        <f>E533-F533</f>
        <v>-4200</v>
      </c>
    </row>
    <row r="534" spans="1:7" x14ac:dyDescent="0.3">
      <c r="A534" s="542">
        <v>44323</v>
      </c>
      <c r="B534" s="533" t="s">
        <v>121</v>
      </c>
      <c r="C534" s="36"/>
      <c r="D534" s="36" t="s">
        <v>5337</v>
      </c>
      <c r="E534" s="531"/>
      <c r="F534" s="531">
        <v>2000</v>
      </c>
      <c r="G534" s="534">
        <f>E534-F534</f>
        <v>-2000</v>
      </c>
    </row>
    <row r="535" spans="1:7" x14ac:dyDescent="0.3">
      <c r="A535" s="542">
        <v>44323</v>
      </c>
      <c r="B535" s="533" t="s">
        <v>121</v>
      </c>
      <c r="C535" s="36"/>
      <c r="D535" s="36" t="s">
        <v>8082</v>
      </c>
      <c r="E535" s="531"/>
      <c r="F535" s="531">
        <v>50000</v>
      </c>
      <c r="G535" s="534">
        <f>E535-F535</f>
        <v>-50000</v>
      </c>
    </row>
    <row r="536" spans="1:7" x14ac:dyDescent="0.3">
      <c r="A536" s="542">
        <v>44323</v>
      </c>
      <c r="B536" s="533" t="s">
        <v>121</v>
      </c>
      <c r="C536" s="36"/>
      <c r="D536" s="36" t="s">
        <v>8083</v>
      </c>
      <c r="E536" s="531"/>
      <c r="F536" s="531">
        <v>5000</v>
      </c>
      <c r="G536" s="534">
        <f>E536-F536</f>
        <v>-5000</v>
      </c>
    </row>
    <row r="537" spans="1:7" x14ac:dyDescent="0.3">
      <c r="A537" s="542">
        <v>44323</v>
      </c>
      <c r="B537" s="533" t="s">
        <v>121</v>
      </c>
      <c r="C537" s="36"/>
      <c r="D537" s="36" t="s">
        <v>295</v>
      </c>
      <c r="E537" s="531">
        <v>10000</v>
      </c>
      <c r="F537" s="531"/>
      <c r="G537" s="534">
        <f>E537-F537</f>
        <v>10000</v>
      </c>
    </row>
    <row r="538" spans="1:7" x14ac:dyDescent="0.3">
      <c r="A538" s="542">
        <v>44324</v>
      </c>
      <c r="B538" s="533" t="s">
        <v>121</v>
      </c>
      <c r="C538" s="36"/>
      <c r="D538" s="36" t="s">
        <v>8089</v>
      </c>
      <c r="E538" s="531">
        <v>15000</v>
      </c>
      <c r="F538" s="531"/>
      <c r="G538" s="534">
        <f>E538-F538</f>
        <v>15000</v>
      </c>
    </row>
    <row r="539" spans="1:7" x14ac:dyDescent="0.3">
      <c r="A539" s="542">
        <v>44333</v>
      </c>
      <c r="B539" s="533" t="s">
        <v>121</v>
      </c>
      <c r="C539" s="36"/>
      <c r="D539" s="36" t="s">
        <v>295</v>
      </c>
      <c r="E539" s="531">
        <v>20000</v>
      </c>
      <c r="F539" s="531"/>
      <c r="G539" s="534">
        <f>E539-F539</f>
        <v>20000</v>
      </c>
    </row>
    <row r="540" spans="1:7" x14ac:dyDescent="0.3">
      <c r="A540" s="535">
        <v>44336</v>
      </c>
      <c r="B540" s="533" t="s">
        <v>8417</v>
      </c>
      <c r="C540" s="532"/>
      <c r="D540" s="532" t="s">
        <v>8127</v>
      </c>
      <c r="E540" s="331">
        <v>20000</v>
      </c>
      <c r="F540" s="331"/>
      <c r="G540" s="534">
        <f>E540-F540</f>
        <v>20000</v>
      </c>
    </row>
    <row r="541" spans="1:7" x14ac:dyDescent="0.3">
      <c r="A541" s="542">
        <v>44336</v>
      </c>
      <c r="B541" s="533" t="s">
        <v>121</v>
      </c>
      <c r="C541" s="36"/>
      <c r="D541" s="36" t="s">
        <v>8123</v>
      </c>
      <c r="E541" s="531"/>
      <c r="F541" s="531">
        <v>15000</v>
      </c>
      <c r="G541" s="534">
        <f>E541-F541</f>
        <v>-15000</v>
      </c>
    </row>
    <row r="542" spans="1:7" x14ac:dyDescent="0.3">
      <c r="A542" s="542">
        <v>44341</v>
      </c>
      <c r="B542" s="533" t="s">
        <v>121</v>
      </c>
      <c r="C542" s="36"/>
      <c r="D542" s="36" t="s">
        <v>295</v>
      </c>
      <c r="E542" s="531">
        <v>5000</v>
      </c>
      <c r="F542" s="531"/>
      <c r="G542" s="534">
        <f>E542-F542</f>
        <v>5000</v>
      </c>
    </row>
    <row r="543" spans="1:7" x14ac:dyDescent="0.3">
      <c r="A543" s="542">
        <v>44343</v>
      </c>
      <c r="B543" s="533" t="s">
        <v>121</v>
      </c>
      <c r="C543" s="36"/>
      <c r="D543" s="36" t="s">
        <v>295</v>
      </c>
      <c r="E543" s="531">
        <v>5000</v>
      </c>
      <c r="F543" s="531"/>
      <c r="G543" s="534">
        <f>E543-F543</f>
        <v>5000</v>
      </c>
    </row>
    <row r="544" spans="1:7" x14ac:dyDescent="0.3">
      <c r="A544" s="542">
        <v>44347</v>
      </c>
      <c r="B544" s="533" t="s">
        <v>121</v>
      </c>
      <c r="C544" s="36"/>
      <c r="D544" s="36" t="s">
        <v>8178</v>
      </c>
      <c r="E544" s="531">
        <v>32235</v>
      </c>
      <c r="F544" s="531"/>
      <c r="G544" s="534">
        <f>E544-F544</f>
        <v>32235</v>
      </c>
    </row>
    <row r="545" spans="1:7" x14ac:dyDescent="0.3">
      <c r="A545" s="542">
        <v>44349</v>
      </c>
      <c r="B545" s="533" t="s">
        <v>121</v>
      </c>
      <c r="C545" s="36"/>
      <c r="D545" s="36" t="s">
        <v>8182</v>
      </c>
      <c r="E545" s="531"/>
      <c r="F545" s="531">
        <v>50000</v>
      </c>
      <c r="G545" s="534">
        <f>E545-F545</f>
        <v>-50000</v>
      </c>
    </row>
    <row r="546" spans="1:7" x14ac:dyDescent="0.3">
      <c r="A546" s="542">
        <v>44349</v>
      </c>
      <c r="B546" s="533" t="s">
        <v>121</v>
      </c>
      <c r="C546" s="36"/>
      <c r="D546" s="36" t="s">
        <v>8183</v>
      </c>
      <c r="E546" s="531"/>
      <c r="F546" s="531">
        <v>5000</v>
      </c>
      <c r="G546" s="534">
        <f>E546-F546</f>
        <v>-5000</v>
      </c>
    </row>
    <row r="547" spans="1:7" x14ac:dyDescent="0.3">
      <c r="A547" s="535">
        <v>44350</v>
      </c>
      <c r="B547" s="533" t="s">
        <v>8417</v>
      </c>
      <c r="C547" s="532"/>
      <c r="D547" s="532" t="s">
        <v>7716</v>
      </c>
      <c r="E547" s="331">
        <v>20000</v>
      </c>
      <c r="F547" s="331"/>
      <c r="G547" s="534">
        <f>E547-F547</f>
        <v>20000</v>
      </c>
    </row>
    <row r="548" spans="1:7" x14ac:dyDescent="0.3">
      <c r="A548" s="542">
        <v>44350</v>
      </c>
      <c r="B548" s="533" t="s">
        <v>121</v>
      </c>
      <c r="C548" s="36"/>
      <c r="D548" s="36" t="s">
        <v>8191</v>
      </c>
      <c r="E548" s="531">
        <v>20000</v>
      </c>
      <c r="F548" s="531"/>
      <c r="G548" s="534">
        <f>E548-F548</f>
        <v>20000</v>
      </c>
    </row>
    <row r="549" spans="1:7" x14ac:dyDescent="0.3">
      <c r="A549" s="535">
        <v>44352</v>
      </c>
      <c r="B549" s="533" t="s">
        <v>8417</v>
      </c>
      <c r="C549" s="532"/>
      <c r="D549" s="532" t="s">
        <v>7716</v>
      </c>
      <c r="E549" s="331">
        <v>70000</v>
      </c>
      <c r="F549" s="331"/>
      <c r="G549" s="534">
        <f>E549-F549</f>
        <v>70000</v>
      </c>
    </row>
    <row r="550" spans="1:7" x14ac:dyDescent="0.3">
      <c r="A550" s="535">
        <v>44355</v>
      </c>
      <c r="B550" s="533" t="s">
        <v>8417</v>
      </c>
      <c r="C550" s="532"/>
      <c r="D550" s="532" t="s">
        <v>4390</v>
      </c>
      <c r="E550" s="331"/>
      <c r="F550" s="331">
        <v>62305</v>
      </c>
      <c r="G550" s="534">
        <f>E550-F550</f>
        <v>-62305</v>
      </c>
    </row>
    <row r="551" spans="1:7" x14ac:dyDescent="0.3">
      <c r="A551" s="542">
        <v>44356</v>
      </c>
      <c r="B551" s="533" t="s">
        <v>121</v>
      </c>
      <c r="C551" s="36"/>
      <c r="D551" s="36" t="s">
        <v>8228</v>
      </c>
      <c r="E551" s="531"/>
      <c r="F551" s="531">
        <v>2000</v>
      </c>
      <c r="G551" s="534">
        <f>E551-F551</f>
        <v>-2000</v>
      </c>
    </row>
    <row r="552" spans="1:7" x14ac:dyDescent="0.3">
      <c r="A552" s="535">
        <v>44361</v>
      </c>
      <c r="B552" s="533" t="s">
        <v>8417</v>
      </c>
      <c r="C552" s="532"/>
      <c r="D552" s="532" t="s">
        <v>8237</v>
      </c>
      <c r="E552" s="331">
        <v>15000</v>
      </c>
      <c r="F552" s="331"/>
      <c r="G552" s="534">
        <f>E552-F552</f>
        <v>15000</v>
      </c>
    </row>
    <row r="553" spans="1:7" x14ac:dyDescent="0.3">
      <c r="A553" s="542">
        <v>44361</v>
      </c>
      <c r="B553" s="533" t="s">
        <v>121</v>
      </c>
      <c r="C553" s="36"/>
      <c r="D553" s="36" t="s">
        <v>8232</v>
      </c>
      <c r="E553" s="531">
        <v>50000</v>
      </c>
      <c r="F553" s="531"/>
      <c r="G553" s="534">
        <f>E553-F553</f>
        <v>50000</v>
      </c>
    </row>
    <row r="554" spans="1:7" x14ac:dyDescent="0.3">
      <c r="A554" s="542">
        <v>44362</v>
      </c>
      <c r="B554" s="533" t="s">
        <v>121</v>
      </c>
      <c r="C554" s="36"/>
      <c r="D554" s="36" t="s">
        <v>5150</v>
      </c>
      <c r="E554" s="531"/>
      <c r="F554" s="531">
        <v>10000</v>
      </c>
      <c r="G554" s="534">
        <f>E554-F554</f>
        <v>-10000</v>
      </c>
    </row>
    <row r="555" spans="1:7" x14ac:dyDescent="0.3">
      <c r="A555" s="535">
        <v>44366</v>
      </c>
      <c r="B555" s="533" t="s">
        <v>8417</v>
      </c>
      <c r="C555" s="532"/>
      <c r="D555" s="532" t="s">
        <v>8237</v>
      </c>
      <c r="E555" s="331">
        <v>20000</v>
      </c>
      <c r="F555" s="331"/>
      <c r="G555" s="534">
        <f>E555-F555</f>
        <v>20000</v>
      </c>
    </row>
    <row r="556" spans="1:7" x14ac:dyDescent="0.3">
      <c r="A556" s="542">
        <v>44366</v>
      </c>
      <c r="B556" s="533" t="s">
        <v>121</v>
      </c>
      <c r="C556" s="36"/>
      <c r="D556" s="36" t="s">
        <v>4369</v>
      </c>
      <c r="E556" s="531">
        <v>5000</v>
      </c>
      <c r="F556" s="531"/>
      <c r="G556" s="534">
        <f>E556-F556</f>
        <v>5000</v>
      </c>
    </row>
    <row r="557" spans="1:7" x14ac:dyDescent="0.3">
      <c r="A557" s="535">
        <v>44370</v>
      </c>
      <c r="B557" s="533" t="s">
        <v>8417</v>
      </c>
      <c r="C557" s="532"/>
      <c r="D557" s="532" t="s">
        <v>8283</v>
      </c>
      <c r="E557" s="331">
        <v>14000</v>
      </c>
      <c r="F557" s="331"/>
      <c r="G557" s="534">
        <f>E557-F557</f>
        <v>14000</v>
      </c>
    </row>
    <row r="558" spans="1:7" x14ac:dyDescent="0.3">
      <c r="A558" s="535">
        <v>44371</v>
      </c>
      <c r="B558" s="533" t="s">
        <v>8417</v>
      </c>
      <c r="C558" s="532"/>
      <c r="D558" s="532" t="s">
        <v>8294</v>
      </c>
      <c r="E558" s="331"/>
      <c r="F558" s="331">
        <v>35000</v>
      </c>
      <c r="G558" s="534">
        <f>E558-F558</f>
        <v>-35000</v>
      </c>
    </row>
    <row r="559" spans="1:7" x14ac:dyDescent="0.3">
      <c r="A559" s="535">
        <v>44371</v>
      </c>
      <c r="B559" s="533" t="s">
        <v>8417</v>
      </c>
      <c r="C559" s="532"/>
      <c r="D559" s="532" t="s">
        <v>439</v>
      </c>
      <c r="E559" s="331">
        <v>10000</v>
      </c>
      <c r="F559" s="331"/>
      <c r="G559" s="534">
        <f>E559-F559</f>
        <v>10000</v>
      </c>
    </row>
    <row r="560" spans="1:7" x14ac:dyDescent="0.3">
      <c r="A560" s="542">
        <v>44372</v>
      </c>
      <c r="B560" s="533" t="s">
        <v>121</v>
      </c>
      <c r="C560" s="36"/>
      <c r="D560" s="36" t="s">
        <v>295</v>
      </c>
      <c r="E560" s="531">
        <v>5000</v>
      </c>
      <c r="F560" s="531"/>
      <c r="G560" s="534">
        <f>E560-F560</f>
        <v>5000</v>
      </c>
    </row>
    <row r="561" spans="1:7" x14ac:dyDescent="0.3">
      <c r="A561" s="535">
        <v>44373</v>
      </c>
      <c r="B561" s="533" t="s">
        <v>8417</v>
      </c>
      <c r="C561" s="532"/>
      <c r="D561" s="532" t="s">
        <v>439</v>
      </c>
      <c r="E561" s="331">
        <v>20000</v>
      </c>
      <c r="F561" s="331"/>
      <c r="G561" s="534">
        <f>E561-F561</f>
        <v>20000</v>
      </c>
    </row>
    <row r="562" spans="1:7" x14ac:dyDescent="0.3">
      <c r="A562" s="535">
        <v>44373</v>
      </c>
      <c r="B562" s="533" t="s">
        <v>8417</v>
      </c>
      <c r="C562" s="532"/>
      <c r="D562" s="532" t="s">
        <v>8312</v>
      </c>
      <c r="E562" s="331">
        <v>3000</v>
      </c>
      <c r="F562" s="331"/>
      <c r="G562" s="534">
        <f>E562-F562</f>
        <v>3000</v>
      </c>
    </row>
    <row r="563" spans="1:7" x14ac:dyDescent="0.3">
      <c r="A563" s="535">
        <v>44373</v>
      </c>
      <c r="B563" s="533" t="s">
        <v>8417</v>
      </c>
      <c r="C563" s="532"/>
      <c r="D563" s="532" t="s">
        <v>3924</v>
      </c>
      <c r="E563" s="331"/>
      <c r="F563" s="331">
        <v>57729</v>
      </c>
      <c r="G563" s="534">
        <f>E563-F563</f>
        <v>-57729</v>
      </c>
    </row>
    <row r="564" spans="1:7" x14ac:dyDescent="0.3">
      <c r="A564" s="535">
        <v>44377</v>
      </c>
      <c r="B564" s="533" t="s">
        <v>8417</v>
      </c>
      <c r="C564" s="532"/>
      <c r="D564" s="532" t="s">
        <v>439</v>
      </c>
      <c r="E564" s="331">
        <v>30000</v>
      </c>
      <c r="F564" s="331"/>
      <c r="G564" s="534">
        <f>E564-F564</f>
        <v>30000</v>
      </c>
    </row>
    <row r="565" spans="1:7" x14ac:dyDescent="0.3">
      <c r="A565" s="542">
        <v>44379</v>
      </c>
      <c r="B565" s="533" t="s">
        <v>121</v>
      </c>
      <c r="C565" s="36"/>
      <c r="D565" s="36" t="s">
        <v>7756</v>
      </c>
      <c r="E565" s="531">
        <v>20000</v>
      </c>
      <c r="F565" s="531"/>
      <c r="G565" s="534">
        <f>E565-F565</f>
        <v>20000</v>
      </c>
    </row>
    <row r="566" spans="1:7" x14ac:dyDescent="0.3">
      <c r="A566" s="535">
        <v>44380</v>
      </c>
      <c r="B566" s="533" t="s">
        <v>8417</v>
      </c>
      <c r="C566" s="532"/>
      <c r="D566" s="532" t="s">
        <v>7716</v>
      </c>
      <c r="E566" s="331">
        <v>5000</v>
      </c>
      <c r="F566" s="331"/>
      <c r="G566" s="534">
        <f>E566-F566</f>
        <v>5000</v>
      </c>
    </row>
    <row r="567" spans="1:7" x14ac:dyDescent="0.3">
      <c r="A567" s="542">
        <v>44380</v>
      </c>
      <c r="B567" s="533" t="s">
        <v>121</v>
      </c>
      <c r="C567" s="36"/>
      <c r="D567" s="36" t="s">
        <v>295</v>
      </c>
      <c r="E567" s="531">
        <v>5000</v>
      </c>
      <c r="F567" s="531"/>
      <c r="G567" s="534">
        <f>E567-F567</f>
        <v>5000</v>
      </c>
    </row>
    <row r="568" spans="1:7" x14ac:dyDescent="0.3">
      <c r="A568" s="542">
        <v>44381</v>
      </c>
      <c r="B568" s="533" t="s">
        <v>121</v>
      </c>
      <c r="C568" s="36"/>
      <c r="D568" s="36" t="s">
        <v>7201</v>
      </c>
      <c r="E568" s="531"/>
      <c r="F568" s="531">
        <v>5000</v>
      </c>
      <c r="G568" s="534">
        <f>E568-F568</f>
        <v>-5000</v>
      </c>
    </row>
    <row r="569" spans="1:7" x14ac:dyDescent="0.3">
      <c r="A569" s="542">
        <v>44382</v>
      </c>
      <c r="B569" s="533" t="s">
        <v>121</v>
      </c>
      <c r="C569" s="36"/>
      <c r="D569" s="36" t="s">
        <v>8390</v>
      </c>
      <c r="E569" s="531"/>
      <c r="F569" s="531">
        <v>50000</v>
      </c>
      <c r="G569" s="534">
        <f>E569-F569</f>
        <v>-50000</v>
      </c>
    </row>
    <row r="570" spans="1:7" x14ac:dyDescent="0.3">
      <c r="A570" s="542">
        <v>44382</v>
      </c>
      <c r="B570" s="533" t="s">
        <v>121</v>
      </c>
      <c r="C570" s="36"/>
      <c r="D570" s="36" t="s">
        <v>8391</v>
      </c>
      <c r="E570" s="531"/>
      <c r="F570" s="531">
        <v>5000</v>
      </c>
      <c r="G570" s="534">
        <f>E570-F570</f>
        <v>-5000</v>
      </c>
    </row>
    <row r="571" spans="1:7" x14ac:dyDescent="0.3">
      <c r="A571" s="542">
        <v>44382</v>
      </c>
      <c r="B571" s="533" t="s">
        <v>121</v>
      </c>
      <c r="C571" s="36"/>
      <c r="D571" s="36" t="s">
        <v>8392</v>
      </c>
      <c r="E571" s="531">
        <v>16341</v>
      </c>
      <c r="F571" s="531"/>
      <c r="G571" s="534">
        <f>E571-F571</f>
        <v>16341</v>
      </c>
    </row>
    <row r="572" spans="1:7" x14ac:dyDescent="0.3">
      <c r="A572" s="542">
        <v>44382</v>
      </c>
      <c r="B572" s="533" t="s">
        <v>121</v>
      </c>
      <c r="C572" s="36"/>
      <c r="D572" s="36" t="s">
        <v>8396</v>
      </c>
      <c r="E572" s="531">
        <v>25000</v>
      </c>
      <c r="F572" s="531"/>
      <c r="G572" s="534">
        <f>E572-F572</f>
        <v>25000</v>
      </c>
    </row>
    <row r="573" spans="1:7" x14ac:dyDescent="0.3">
      <c r="A573" s="542">
        <v>44383</v>
      </c>
      <c r="B573" s="533" t="s">
        <v>121</v>
      </c>
      <c r="C573" s="36"/>
      <c r="D573" s="36" t="s">
        <v>4705</v>
      </c>
      <c r="E573" s="531"/>
      <c r="F573" s="531">
        <v>5000</v>
      </c>
      <c r="G573" s="534">
        <f>E573-F573</f>
        <v>-5000</v>
      </c>
    </row>
    <row r="574" spans="1:7" x14ac:dyDescent="0.3">
      <c r="A574" s="542">
        <v>44383</v>
      </c>
      <c r="B574" s="533" t="s">
        <v>121</v>
      </c>
      <c r="C574" s="36"/>
      <c r="D574" s="36" t="s">
        <v>295</v>
      </c>
      <c r="E574" s="531">
        <v>10000</v>
      </c>
      <c r="F574" s="531"/>
      <c r="G574" s="534">
        <f>E574-F574</f>
        <v>10000</v>
      </c>
    </row>
    <row r="575" spans="1:7" x14ac:dyDescent="0.3">
      <c r="A575" s="542">
        <v>44385</v>
      </c>
      <c r="B575" s="533" t="s">
        <v>121</v>
      </c>
      <c r="C575" s="36"/>
      <c r="D575" s="36" t="s">
        <v>8428</v>
      </c>
      <c r="E575" s="531"/>
      <c r="F575" s="531">
        <v>2000</v>
      </c>
      <c r="G575" s="534">
        <f>E575-F575</f>
        <v>-2000</v>
      </c>
    </row>
    <row r="576" spans="1:7" x14ac:dyDescent="0.3">
      <c r="A576" s="542">
        <v>44385</v>
      </c>
      <c r="B576" s="533" t="s">
        <v>121</v>
      </c>
      <c r="C576" s="36"/>
      <c r="D576" s="36" t="s">
        <v>8429</v>
      </c>
      <c r="E576" s="531"/>
      <c r="F576" s="531">
        <v>4000</v>
      </c>
      <c r="G576" s="534">
        <f>E576-F576</f>
        <v>-4000</v>
      </c>
    </row>
    <row r="577" spans="1:7" x14ac:dyDescent="0.3">
      <c r="A577" s="542">
        <v>44386</v>
      </c>
      <c r="B577" s="533" t="s">
        <v>121</v>
      </c>
      <c r="C577" s="36"/>
      <c r="D577" s="36" t="s">
        <v>295</v>
      </c>
      <c r="E577" s="531">
        <v>5000</v>
      </c>
      <c r="F577" s="531"/>
      <c r="G577" s="534">
        <f>E577-F577</f>
        <v>5000</v>
      </c>
    </row>
    <row r="578" spans="1:7" x14ac:dyDescent="0.3">
      <c r="A578" s="535">
        <v>44387</v>
      </c>
      <c r="B578" s="533" t="s">
        <v>8417</v>
      </c>
      <c r="C578" s="532"/>
      <c r="D578" s="532" t="s">
        <v>7878</v>
      </c>
      <c r="E578" s="331">
        <v>10000</v>
      </c>
      <c r="F578" s="331"/>
      <c r="G578" s="534">
        <f>E578-F578</f>
        <v>10000</v>
      </c>
    </row>
    <row r="579" spans="1:7" x14ac:dyDescent="0.3">
      <c r="A579" s="535">
        <v>44387</v>
      </c>
      <c r="B579" s="533" t="s">
        <v>121</v>
      </c>
      <c r="C579" s="532"/>
      <c r="D579" s="532" t="s">
        <v>8476</v>
      </c>
      <c r="E579" s="331">
        <v>80000</v>
      </c>
      <c r="F579" s="331"/>
      <c r="G579" s="534">
        <f>E579-F579</f>
        <v>80000</v>
      </c>
    </row>
    <row r="580" spans="1:7" x14ac:dyDescent="0.3">
      <c r="A580" s="542">
        <v>44390</v>
      </c>
      <c r="B580" s="533" t="s">
        <v>121</v>
      </c>
      <c r="C580" s="36"/>
      <c r="D580" s="36" t="s">
        <v>295</v>
      </c>
      <c r="E580" s="531">
        <v>5000</v>
      </c>
      <c r="F580" s="531"/>
      <c r="G580" s="534">
        <f>E580-F580</f>
        <v>5000</v>
      </c>
    </row>
    <row r="581" spans="1:7" x14ac:dyDescent="0.3">
      <c r="A581" s="542">
        <v>44390</v>
      </c>
      <c r="B581" s="533" t="s">
        <v>121</v>
      </c>
      <c r="C581" s="36"/>
      <c r="D581" s="36" t="s">
        <v>8441</v>
      </c>
      <c r="E581" s="531"/>
      <c r="F581" s="531">
        <v>2000</v>
      </c>
      <c r="G581" s="534">
        <f>E581-F581</f>
        <v>-2000</v>
      </c>
    </row>
    <row r="582" spans="1:7" x14ac:dyDescent="0.3">
      <c r="A582" s="542">
        <v>44391</v>
      </c>
      <c r="B582" s="533" t="s">
        <v>121</v>
      </c>
      <c r="C582" s="36"/>
      <c r="D582" s="36" t="s">
        <v>7201</v>
      </c>
      <c r="E582" s="531"/>
      <c r="F582" s="531">
        <v>2000</v>
      </c>
      <c r="G582" s="534">
        <f>E582-F582</f>
        <v>-2000</v>
      </c>
    </row>
    <row r="583" spans="1:7" x14ac:dyDescent="0.3">
      <c r="A583" s="542">
        <v>44392</v>
      </c>
      <c r="B583" s="533" t="s">
        <v>121</v>
      </c>
      <c r="C583" s="36"/>
      <c r="D583" s="36" t="s">
        <v>295</v>
      </c>
      <c r="E583" s="531">
        <v>25000</v>
      </c>
      <c r="F583" s="531"/>
      <c r="G583" s="534">
        <f>E583-F583</f>
        <v>25000</v>
      </c>
    </row>
    <row r="584" spans="1:7" x14ac:dyDescent="0.3">
      <c r="A584" s="533">
        <v>44393</v>
      </c>
      <c r="B584" s="533" t="s">
        <v>6831</v>
      </c>
      <c r="C584" s="36"/>
      <c r="D584" s="36" t="s">
        <v>8473</v>
      </c>
      <c r="E584" s="531"/>
      <c r="F584" s="531">
        <v>5000</v>
      </c>
      <c r="G584" s="534">
        <f>E584-F584</f>
        <v>-5000</v>
      </c>
    </row>
    <row r="585" spans="1:7" x14ac:dyDescent="0.3">
      <c r="A585" s="533">
        <v>44387</v>
      </c>
      <c r="B585" s="533" t="s">
        <v>40</v>
      </c>
      <c r="C585" s="36"/>
      <c r="D585" s="543" t="s">
        <v>295</v>
      </c>
      <c r="E585" s="531">
        <v>2000</v>
      </c>
      <c r="F585" s="531"/>
      <c r="G585" s="534">
        <f>E585-F585</f>
        <v>2000</v>
      </c>
    </row>
    <row r="586" spans="1:7" x14ac:dyDescent="0.3">
      <c r="A586" s="533">
        <v>44392</v>
      </c>
      <c r="B586" s="533" t="s">
        <v>40</v>
      </c>
      <c r="C586" s="36"/>
      <c r="D586" s="543" t="s">
        <v>295</v>
      </c>
      <c r="E586" s="531">
        <v>55000</v>
      </c>
      <c r="F586" s="531"/>
      <c r="G586" s="534">
        <f>E586-F586</f>
        <v>55000</v>
      </c>
    </row>
    <row r="587" spans="1:7" x14ac:dyDescent="0.3">
      <c r="A587" s="533">
        <v>44392</v>
      </c>
      <c r="B587" s="533" t="s">
        <v>40</v>
      </c>
      <c r="C587" s="36"/>
      <c r="D587" s="543" t="s">
        <v>3924</v>
      </c>
      <c r="E587" s="531"/>
      <c r="F587" s="531">
        <v>1540</v>
      </c>
      <c r="G587" s="534">
        <f>E587-F587</f>
        <v>-1540</v>
      </c>
    </row>
    <row r="588" spans="1:7" x14ac:dyDescent="0.3">
      <c r="A588" s="533">
        <v>44392</v>
      </c>
      <c r="B588" s="533" t="s">
        <v>40</v>
      </c>
      <c r="C588" s="36"/>
      <c r="D588" s="543" t="s">
        <v>3924</v>
      </c>
      <c r="E588" s="531"/>
      <c r="F588" s="531">
        <v>26156</v>
      </c>
      <c r="G588" s="534">
        <f>E588-F588</f>
        <v>-26156</v>
      </c>
    </row>
    <row r="589" spans="1:7" x14ac:dyDescent="0.3">
      <c r="A589" s="533">
        <v>44392</v>
      </c>
      <c r="B589" s="533" t="s">
        <v>8418</v>
      </c>
      <c r="C589" s="36"/>
      <c r="D589" s="543" t="s">
        <v>8484</v>
      </c>
      <c r="E589" s="531">
        <v>5300</v>
      </c>
      <c r="F589" s="531"/>
      <c r="G589" s="534">
        <f>E589-F589</f>
        <v>5300</v>
      </c>
    </row>
    <row r="590" spans="1:7" x14ac:dyDescent="0.3">
      <c r="A590" s="533">
        <v>44392</v>
      </c>
      <c r="B590" s="533" t="s">
        <v>174</v>
      </c>
      <c r="C590" s="36"/>
      <c r="D590" s="543" t="s">
        <v>8484</v>
      </c>
      <c r="E590" s="531">
        <v>16940</v>
      </c>
      <c r="F590" s="531"/>
      <c r="G590" s="534">
        <f>E590-F590</f>
        <v>16940</v>
      </c>
    </row>
    <row r="591" spans="1:7" x14ac:dyDescent="0.3">
      <c r="A591" s="533">
        <v>44392</v>
      </c>
      <c r="B591" s="533" t="s">
        <v>157</v>
      </c>
      <c r="C591" s="36"/>
      <c r="D591" s="543" t="s">
        <v>8484</v>
      </c>
      <c r="E591" s="531">
        <v>16240</v>
      </c>
      <c r="F591" s="531"/>
      <c r="G591" s="534">
        <f>E591-F591</f>
        <v>16240</v>
      </c>
    </row>
    <row r="592" spans="1:7" x14ac:dyDescent="0.3">
      <c r="A592" s="533">
        <v>44392</v>
      </c>
      <c r="B592" s="533" t="s">
        <v>8483</v>
      </c>
      <c r="C592" s="36"/>
      <c r="D592" s="543" t="s">
        <v>8484</v>
      </c>
      <c r="E592" s="531">
        <v>5650</v>
      </c>
      <c r="F592" s="531"/>
      <c r="G592" s="534">
        <f>E592-F592</f>
        <v>5650</v>
      </c>
    </row>
    <row r="593" spans="1:7" x14ac:dyDescent="0.3">
      <c r="A593" s="533">
        <v>44392</v>
      </c>
      <c r="B593" s="533" t="s">
        <v>38</v>
      </c>
      <c r="C593" s="36"/>
      <c r="D593" s="543" t="s">
        <v>8484</v>
      </c>
      <c r="E593" s="531">
        <v>66000</v>
      </c>
      <c r="F593" s="531"/>
      <c r="G593" s="534">
        <f>E593-F593</f>
        <v>66000</v>
      </c>
    </row>
    <row r="594" spans="1:7" x14ac:dyDescent="0.3">
      <c r="A594" s="533">
        <v>44392</v>
      </c>
      <c r="B594" s="36" t="s">
        <v>8422</v>
      </c>
      <c r="C594" s="36"/>
      <c r="D594" s="543" t="s">
        <v>8484</v>
      </c>
      <c r="E594" s="531">
        <v>3880</v>
      </c>
      <c r="F594" s="531"/>
      <c r="G594" s="531">
        <f>E594-F594</f>
        <v>3880</v>
      </c>
    </row>
    <row r="595" spans="1:7" x14ac:dyDescent="0.3">
      <c r="A595" s="36"/>
      <c r="B595" s="36"/>
      <c r="C595" s="36"/>
      <c r="D595" s="36"/>
      <c r="E595" s="531"/>
      <c r="F595" s="531"/>
      <c r="G595" s="531"/>
    </row>
    <row r="596" spans="1:7" x14ac:dyDescent="0.3">
      <c r="A596" s="36"/>
      <c r="B596" s="36"/>
      <c r="C596" s="36"/>
      <c r="D596" s="36"/>
      <c r="E596" s="531"/>
      <c r="F596" s="531"/>
      <c r="G596" s="531"/>
    </row>
    <row r="597" spans="1:7" x14ac:dyDescent="0.3">
      <c r="A597" s="36"/>
      <c r="B597" s="36"/>
      <c r="C597" s="36"/>
      <c r="D597" s="36"/>
      <c r="E597" s="531"/>
      <c r="F597" s="531"/>
      <c r="G597" s="531"/>
    </row>
    <row r="598" spans="1:7" x14ac:dyDescent="0.3">
      <c r="A598" s="36"/>
      <c r="B598" s="36"/>
      <c r="C598" s="36"/>
      <c r="D598" s="36"/>
      <c r="E598" s="531"/>
      <c r="F598" s="531"/>
      <c r="G598" s="531"/>
    </row>
    <row r="599" spans="1:7" x14ac:dyDescent="0.3">
      <c r="A599" s="36"/>
      <c r="B599" s="36"/>
      <c r="C599" s="36"/>
      <c r="D599" s="36"/>
      <c r="E599" s="531"/>
      <c r="F599" s="531"/>
      <c r="G599" s="531"/>
    </row>
    <row r="600" spans="1:7" x14ac:dyDescent="0.3">
      <c r="A600" s="36"/>
      <c r="B600" s="36"/>
      <c r="C600" s="36"/>
      <c r="D600" s="36"/>
      <c r="E600" s="531"/>
      <c r="F600" s="531"/>
      <c r="G600" s="531"/>
    </row>
    <row r="601" spans="1:7" x14ac:dyDescent="0.3">
      <c r="A601" s="36"/>
      <c r="B601" s="36"/>
      <c r="C601" s="36"/>
      <c r="D601" s="36"/>
      <c r="E601" s="531"/>
      <c r="F601" s="531"/>
      <c r="G601" s="531"/>
    </row>
    <row r="602" spans="1:7" x14ac:dyDescent="0.3">
      <c r="A602" s="36"/>
      <c r="B602" s="36"/>
      <c r="C602" s="36"/>
      <c r="D602" s="36"/>
      <c r="E602" s="531"/>
      <c r="F602" s="531"/>
      <c r="G602" s="531"/>
    </row>
    <row r="603" spans="1:7" x14ac:dyDescent="0.3">
      <c r="A603" s="36"/>
      <c r="B603" s="36"/>
      <c r="C603" s="36"/>
      <c r="D603" s="36"/>
      <c r="E603" s="531"/>
      <c r="F603" s="531"/>
      <c r="G603" s="531"/>
    </row>
    <row r="604" spans="1:7" x14ac:dyDescent="0.3">
      <c r="A604" s="36"/>
      <c r="B604" s="36"/>
      <c r="C604" s="36"/>
      <c r="D604" s="36"/>
      <c r="E604" s="531"/>
      <c r="F604" s="531"/>
      <c r="G604" s="531"/>
    </row>
    <row r="605" spans="1:7" x14ac:dyDescent="0.3">
      <c r="A605" s="36"/>
      <c r="B605" s="36"/>
      <c r="C605" s="36"/>
      <c r="D605" s="36"/>
      <c r="E605" s="531"/>
      <c r="F605" s="531"/>
      <c r="G605" s="531"/>
    </row>
    <row r="606" spans="1:7" x14ac:dyDescent="0.3">
      <c r="A606" s="36"/>
      <c r="B606" s="36"/>
      <c r="C606" s="36"/>
      <c r="D606" s="36"/>
      <c r="E606" s="531"/>
      <c r="F606" s="531"/>
      <c r="G606" s="531"/>
    </row>
    <row r="607" spans="1:7" x14ac:dyDescent="0.3">
      <c r="A607" s="36"/>
      <c r="B607" s="36"/>
      <c r="C607" s="36"/>
      <c r="D607" s="36"/>
      <c r="E607" s="531"/>
      <c r="F607" s="531"/>
      <c r="G607" s="531"/>
    </row>
    <row r="608" spans="1:7" x14ac:dyDescent="0.3">
      <c r="A608" s="36"/>
      <c r="B608" s="36"/>
      <c r="C608" s="36"/>
      <c r="D608" s="36"/>
      <c r="E608" s="531"/>
      <c r="F608" s="531"/>
      <c r="G608" s="531"/>
    </row>
    <row r="609" spans="1:7" x14ac:dyDescent="0.3">
      <c r="A609" s="36"/>
      <c r="B609" s="36"/>
      <c r="C609" s="36"/>
      <c r="D609" s="36"/>
      <c r="E609" s="531"/>
      <c r="F609" s="531"/>
      <c r="G609" s="531"/>
    </row>
    <row r="610" spans="1:7" x14ac:dyDescent="0.3">
      <c r="A610" s="36"/>
      <c r="B610" s="36"/>
      <c r="C610" s="36"/>
      <c r="D610" s="36"/>
      <c r="E610" s="531"/>
      <c r="F610" s="531"/>
      <c r="G610" s="531"/>
    </row>
    <row r="611" spans="1:7" x14ac:dyDescent="0.3">
      <c r="A611" s="36"/>
      <c r="B611" s="36"/>
      <c r="C611" s="36"/>
      <c r="D611" s="36"/>
      <c r="E611" s="531"/>
      <c r="F611" s="531"/>
      <c r="G611" s="531"/>
    </row>
    <row r="612" spans="1:7" x14ac:dyDescent="0.3">
      <c r="A612" s="36"/>
      <c r="B612" s="36"/>
      <c r="C612" s="36"/>
      <c r="D612" s="36"/>
      <c r="E612" s="531"/>
      <c r="F612" s="531"/>
      <c r="G612" s="531"/>
    </row>
    <row r="613" spans="1:7" x14ac:dyDescent="0.3">
      <c r="A613" s="36"/>
      <c r="B613" s="36"/>
      <c r="C613" s="36"/>
      <c r="D613" s="36"/>
      <c r="E613" s="531"/>
      <c r="F613" s="531"/>
      <c r="G613" s="531"/>
    </row>
    <row r="614" spans="1:7" x14ac:dyDescent="0.3">
      <c r="A614" s="36"/>
      <c r="B614" s="36"/>
      <c r="C614" s="36"/>
      <c r="D614" s="36"/>
      <c r="E614" s="531"/>
      <c r="F614" s="531"/>
      <c r="G614" s="531"/>
    </row>
    <row r="615" spans="1:7" x14ac:dyDescent="0.3">
      <c r="A615" s="36"/>
      <c r="B615" s="36"/>
      <c r="C615" s="36"/>
      <c r="D615" s="36"/>
      <c r="E615" s="531"/>
      <c r="F615" s="531"/>
      <c r="G615" s="531"/>
    </row>
    <row r="616" spans="1:7" x14ac:dyDescent="0.3">
      <c r="A616" s="36"/>
      <c r="B616" s="36"/>
      <c r="C616" s="36"/>
      <c r="D616" s="36"/>
      <c r="E616" s="531"/>
      <c r="F616" s="531"/>
      <c r="G616" s="531"/>
    </row>
    <row r="617" spans="1:7" x14ac:dyDescent="0.3">
      <c r="A617" s="36"/>
      <c r="B617" s="36"/>
      <c r="C617" s="36"/>
      <c r="D617" s="36"/>
      <c r="E617" s="531"/>
      <c r="F617" s="531"/>
      <c r="G617" s="531"/>
    </row>
    <row r="618" spans="1:7" x14ac:dyDescent="0.3">
      <c r="A618" s="36"/>
      <c r="B618" s="36"/>
      <c r="C618" s="36"/>
      <c r="D618" s="36"/>
      <c r="E618" s="531"/>
      <c r="F618" s="531"/>
      <c r="G618" s="531"/>
    </row>
    <row r="619" spans="1:7" x14ac:dyDescent="0.3">
      <c r="A619" s="36"/>
      <c r="B619" s="36"/>
      <c r="C619" s="36"/>
      <c r="D619" s="36"/>
      <c r="E619" s="531"/>
      <c r="F619" s="531"/>
      <c r="G619" s="531"/>
    </row>
    <row r="620" spans="1:7" x14ac:dyDescent="0.3">
      <c r="A620" s="36"/>
      <c r="B620" s="36"/>
      <c r="C620" s="36"/>
      <c r="D620" s="36"/>
      <c r="E620" s="531"/>
      <c r="F620" s="531"/>
      <c r="G620" s="531"/>
    </row>
    <row r="621" spans="1:7" x14ac:dyDescent="0.3">
      <c r="A621" s="36"/>
      <c r="B621" s="36"/>
      <c r="C621" s="36"/>
      <c r="D621" s="36"/>
      <c r="E621" s="531"/>
      <c r="F621" s="531"/>
      <c r="G621" s="531"/>
    </row>
    <row r="622" spans="1:7" x14ac:dyDescent="0.3">
      <c r="A622" s="36"/>
      <c r="B622" s="36"/>
      <c r="C622" s="36"/>
      <c r="D622" s="36"/>
      <c r="E622" s="531"/>
      <c r="F622" s="531"/>
      <c r="G622" s="531"/>
    </row>
    <row r="623" spans="1:7" x14ac:dyDescent="0.3">
      <c r="A623" s="36"/>
      <c r="B623" s="36"/>
      <c r="C623" s="36"/>
      <c r="D623" s="36"/>
      <c r="E623" s="531"/>
      <c r="F623" s="531"/>
      <c r="G623" s="531"/>
    </row>
    <row r="624" spans="1:7" x14ac:dyDescent="0.3">
      <c r="A624" s="36"/>
      <c r="B624" s="36"/>
      <c r="C624" s="36"/>
      <c r="D624" s="36"/>
      <c r="E624" s="531"/>
      <c r="F624" s="531"/>
      <c r="G624" s="531"/>
    </row>
    <row r="625" spans="1:7" x14ac:dyDescent="0.3">
      <c r="A625" s="36"/>
      <c r="B625" s="36"/>
      <c r="C625" s="36"/>
      <c r="D625" s="36"/>
      <c r="E625" s="531"/>
      <c r="F625" s="531"/>
      <c r="G625" s="531"/>
    </row>
    <row r="626" spans="1:7" x14ac:dyDescent="0.3">
      <c r="A626" s="36"/>
      <c r="B626" s="36"/>
      <c r="C626" s="36"/>
      <c r="D626" s="36"/>
      <c r="E626" s="531"/>
      <c r="F626" s="531"/>
      <c r="G626" s="531"/>
    </row>
    <row r="627" spans="1:7" x14ac:dyDescent="0.3">
      <c r="A627" s="36"/>
      <c r="B627" s="36"/>
      <c r="C627" s="36"/>
      <c r="D627" s="36"/>
      <c r="E627" s="531"/>
      <c r="F627" s="531"/>
      <c r="G627" s="531"/>
    </row>
    <row r="628" spans="1:7" x14ac:dyDescent="0.3">
      <c r="A628" s="36"/>
      <c r="B628" s="36"/>
      <c r="C628" s="36"/>
      <c r="D628" s="36"/>
      <c r="E628" s="531"/>
      <c r="F628" s="531"/>
      <c r="G628" s="531"/>
    </row>
    <row r="629" spans="1:7" x14ac:dyDescent="0.3">
      <c r="A629" s="36"/>
      <c r="B629" s="36"/>
      <c r="C629" s="36"/>
      <c r="D629" s="36"/>
      <c r="E629" s="531"/>
      <c r="F629" s="531"/>
      <c r="G629" s="531"/>
    </row>
    <row r="630" spans="1:7" x14ac:dyDescent="0.3">
      <c r="A630" s="36"/>
      <c r="B630" s="36"/>
      <c r="C630" s="36"/>
      <c r="D630" s="36"/>
      <c r="E630" s="531"/>
      <c r="F630" s="531"/>
      <c r="G630" s="531"/>
    </row>
    <row r="631" spans="1:7" x14ac:dyDescent="0.3">
      <c r="A631" s="36"/>
      <c r="B631" s="36"/>
      <c r="C631" s="36"/>
      <c r="D631" s="36"/>
      <c r="E631" s="531"/>
      <c r="F631" s="531"/>
      <c r="G631" s="531"/>
    </row>
    <row r="632" spans="1:7" x14ac:dyDescent="0.3">
      <c r="A632" s="36"/>
      <c r="B632" s="36"/>
      <c r="C632" s="36"/>
      <c r="D632" s="36"/>
      <c r="E632" s="531"/>
      <c r="F632" s="531"/>
      <c r="G632" s="531"/>
    </row>
    <row r="633" spans="1:7" x14ac:dyDescent="0.3">
      <c r="A633" s="36"/>
      <c r="B633" s="36"/>
      <c r="C633" s="36"/>
      <c r="D633" s="36"/>
      <c r="E633" s="531"/>
      <c r="F633" s="531"/>
      <c r="G633" s="531"/>
    </row>
    <row r="634" spans="1:7" x14ac:dyDescent="0.3">
      <c r="A634" s="36"/>
      <c r="B634" s="36"/>
      <c r="C634" s="36"/>
      <c r="D634" s="36"/>
      <c r="E634" s="531"/>
      <c r="F634" s="531"/>
      <c r="G634" s="531"/>
    </row>
    <row r="635" spans="1:7" x14ac:dyDescent="0.3">
      <c r="A635" s="36"/>
      <c r="B635" s="36"/>
      <c r="C635" s="36"/>
      <c r="D635" s="36"/>
      <c r="E635" s="531"/>
      <c r="F635" s="531"/>
      <c r="G635" s="531"/>
    </row>
    <row r="636" spans="1:7" x14ac:dyDescent="0.3">
      <c r="A636" s="36"/>
      <c r="B636" s="36"/>
      <c r="C636" s="36"/>
      <c r="D636" s="36"/>
      <c r="E636" s="531"/>
      <c r="F636" s="531"/>
      <c r="G636" s="531"/>
    </row>
    <row r="637" spans="1:7" x14ac:dyDescent="0.3">
      <c r="A637" s="36"/>
      <c r="B637" s="36"/>
      <c r="C637" s="36"/>
      <c r="D637" s="36"/>
      <c r="E637" s="531"/>
      <c r="F637" s="531"/>
      <c r="G637" s="531"/>
    </row>
    <row r="638" spans="1:7" x14ac:dyDescent="0.3">
      <c r="A638" s="36"/>
      <c r="B638" s="36"/>
      <c r="C638" s="36"/>
      <c r="D638" s="36"/>
      <c r="E638" s="531"/>
      <c r="F638" s="531"/>
      <c r="G638" s="531"/>
    </row>
    <row r="639" spans="1:7" x14ac:dyDescent="0.3">
      <c r="A639" s="36"/>
      <c r="B639" s="36"/>
      <c r="C639" s="36"/>
      <c r="D639" s="36"/>
      <c r="E639" s="531"/>
      <c r="F639" s="531"/>
      <c r="G639" s="531"/>
    </row>
    <row r="640" spans="1:7" x14ac:dyDescent="0.3">
      <c r="A640" s="36"/>
      <c r="B640" s="36"/>
      <c r="C640" s="36"/>
      <c r="D640" s="36"/>
      <c r="E640" s="531"/>
      <c r="F640" s="531"/>
      <c r="G640" s="531"/>
    </row>
    <row r="641" spans="1:7" x14ac:dyDescent="0.3">
      <c r="A641" s="36"/>
      <c r="B641" s="36"/>
      <c r="C641" s="36"/>
      <c r="D641" s="36"/>
      <c r="E641" s="531"/>
      <c r="F641" s="531"/>
      <c r="G641" s="531"/>
    </row>
    <row r="642" spans="1:7" x14ac:dyDescent="0.3">
      <c r="A642" s="36"/>
      <c r="B642" s="36"/>
      <c r="C642" s="36"/>
      <c r="D642" s="36"/>
      <c r="E642" s="531"/>
      <c r="F642" s="531"/>
      <c r="G642" s="531"/>
    </row>
    <row r="643" spans="1:7" x14ac:dyDescent="0.3">
      <c r="A643" s="36"/>
      <c r="B643" s="36"/>
      <c r="C643" s="36"/>
      <c r="D643" s="36"/>
      <c r="E643" s="531"/>
      <c r="F643" s="531"/>
      <c r="G643" s="531"/>
    </row>
    <row r="644" spans="1:7" x14ac:dyDescent="0.3">
      <c r="A644" s="36"/>
      <c r="B644" s="36"/>
      <c r="C644" s="36"/>
      <c r="D644" s="36"/>
      <c r="E644" s="531"/>
      <c r="F644" s="531"/>
      <c r="G644" s="531"/>
    </row>
    <row r="645" spans="1:7" x14ac:dyDescent="0.3">
      <c r="A645" s="36"/>
      <c r="B645" s="36"/>
      <c r="C645" s="36"/>
      <c r="D645" s="36"/>
      <c r="E645" s="531"/>
      <c r="F645" s="531"/>
      <c r="G645" s="531"/>
    </row>
    <row r="646" spans="1:7" x14ac:dyDescent="0.3">
      <c r="A646" s="36"/>
      <c r="B646" s="36"/>
      <c r="C646" s="36"/>
      <c r="D646" s="36"/>
      <c r="E646" s="531"/>
      <c r="F646" s="531"/>
      <c r="G646" s="531"/>
    </row>
    <row r="647" spans="1:7" x14ac:dyDescent="0.3">
      <c r="A647" s="36"/>
      <c r="B647" s="36"/>
      <c r="C647" s="36"/>
      <c r="D647" s="36"/>
      <c r="E647" s="531"/>
      <c r="F647" s="531"/>
      <c r="G647" s="531"/>
    </row>
    <row r="648" spans="1:7" x14ac:dyDescent="0.3">
      <c r="A648" s="36"/>
      <c r="B648" s="36"/>
      <c r="C648" s="36"/>
      <c r="D648" s="36"/>
      <c r="E648" s="531"/>
      <c r="F648" s="531"/>
      <c r="G648" s="531"/>
    </row>
    <row r="649" spans="1:7" x14ac:dyDescent="0.3">
      <c r="A649" s="36"/>
      <c r="B649" s="36"/>
      <c r="C649" s="36"/>
      <c r="D649" s="36"/>
      <c r="E649" s="531"/>
      <c r="F649" s="531"/>
      <c r="G649" s="531"/>
    </row>
    <row r="650" spans="1:7" x14ac:dyDescent="0.3">
      <c r="A650" s="36"/>
      <c r="B650" s="36"/>
      <c r="C650" s="36"/>
      <c r="D650" s="36"/>
      <c r="E650" s="531"/>
      <c r="F650" s="531"/>
      <c r="G650" s="531"/>
    </row>
    <row r="651" spans="1:7" x14ac:dyDescent="0.3">
      <c r="A651" s="36"/>
      <c r="B651" s="36"/>
      <c r="C651" s="36"/>
      <c r="D651" s="36"/>
      <c r="E651" s="531"/>
      <c r="F651" s="531"/>
      <c r="G651" s="531"/>
    </row>
    <row r="652" spans="1:7" x14ac:dyDescent="0.3">
      <c r="A652" s="36"/>
      <c r="B652" s="36"/>
      <c r="C652" s="36"/>
      <c r="D652" s="36"/>
      <c r="E652" s="531"/>
      <c r="F652" s="531"/>
      <c r="G652" s="531"/>
    </row>
    <row r="653" spans="1:7" x14ac:dyDescent="0.3">
      <c r="A653" s="36"/>
      <c r="B653" s="36"/>
      <c r="C653" s="36"/>
      <c r="D653" s="36"/>
      <c r="E653" s="531"/>
      <c r="F653" s="531"/>
      <c r="G653" s="531"/>
    </row>
    <row r="654" spans="1:7" x14ac:dyDescent="0.3">
      <c r="A654" s="36"/>
      <c r="B654" s="36"/>
      <c r="C654" s="36"/>
      <c r="D654" s="36"/>
      <c r="E654" s="531"/>
      <c r="F654" s="531"/>
      <c r="G654" s="531"/>
    </row>
    <row r="655" spans="1:7" x14ac:dyDescent="0.3">
      <c r="A655" s="36"/>
      <c r="B655" s="36"/>
      <c r="C655" s="36"/>
      <c r="D655" s="36"/>
      <c r="E655" s="531"/>
      <c r="F655" s="531"/>
      <c r="G655" s="531"/>
    </row>
    <row r="656" spans="1:7" x14ac:dyDescent="0.3">
      <c r="A656" s="36"/>
      <c r="B656" s="36"/>
      <c r="C656" s="36"/>
      <c r="D656" s="36"/>
      <c r="E656" s="531"/>
      <c r="F656" s="531"/>
      <c r="G656" s="531"/>
    </row>
    <row r="657" spans="1:7" x14ac:dyDescent="0.3">
      <c r="A657" s="36"/>
      <c r="B657" s="36"/>
      <c r="C657" s="36"/>
      <c r="D657" s="36"/>
      <c r="E657" s="531"/>
      <c r="F657" s="531"/>
      <c r="G657" s="531"/>
    </row>
    <row r="658" spans="1:7" x14ac:dyDescent="0.3">
      <c r="A658" s="36"/>
      <c r="B658" s="36"/>
      <c r="C658" s="36"/>
      <c r="D658" s="36"/>
      <c r="E658" s="531"/>
      <c r="F658" s="531"/>
      <c r="G658" s="531"/>
    </row>
    <row r="659" spans="1:7" x14ac:dyDescent="0.3">
      <c r="A659" s="36"/>
      <c r="B659" s="36"/>
      <c r="C659" s="36"/>
      <c r="D659" s="36"/>
      <c r="E659" s="531"/>
      <c r="F659" s="531"/>
      <c r="G659" s="531"/>
    </row>
    <row r="660" spans="1:7" x14ac:dyDescent="0.3">
      <c r="A660" s="36"/>
      <c r="B660" s="36"/>
      <c r="C660" s="36"/>
      <c r="D660" s="36"/>
      <c r="E660" s="531"/>
      <c r="F660" s="531"/>
      <c r="G660" s="531"/>
    </row>
    <row r="661" spans="1:7" x14ac:dyDescent="0.3">
      <c r="A661" s="36"/>
      <c r="B661" s="36"/>
      <c r="C661" s="36"/>
      <c r="D661" s="36"/>
      <c r="E661" s="531"/>
      <c r="F661" s="531"/>
      <c r="G661" s="531"/>
    </row>
    <row r="662" spans="1:7" x14ac:dyDescent="0.3">
      <c r="A662" s="36"/>
      <c r="B662" s="36"/>
      <c r="C662" s="36"/>
      <c r="D662" s="36"/>
      <c r="E662" s="531"/>
      <c r="F662" s="531"/>
      <c r="G662" s="531"/>
    </row>
    <row r="663" spans="1:7" x14ac:dyDescent="0.3">
      <c r="A663" s="36"/>
      <c r="B663" s="36"/>
      <c r="C663" s="36"/>
      <c r="D663" s="36"/>
      <c r="E663" s="531"/>
      <c r="F663" s="531"/>
      <c r="G663" s="531"/>
    </row>
    <row r="664" spans="1:7" x14ac:dyDescent="0.3">
      <c r="A664" s="36"/>
      <c r="B664" s="36"/>
      <c r="C664" s="36"/>
      <c r="D664" s="36"/>
      <c r="E664" s="531"/>
      <c r="F664" s="531"/>
      <c r="G664" s="531"/>
    </row>
    <row r="665" spans="1:7" x14ac:dyDescent="0.3">
      <c r="A665" s="36"/>
      <c r="B665" s="36"/>
      <c r="C665" s="36"/>
      <c r="D665" s="36"/>
      <c r="E665" s="531"/>
      <c r="F665" s="531"/>
      <c r="G665" s="531"/>
    </row>
    <row r="666" spans="1:7" x14ac:dyDescent="0.3">
      <c r="A666" s="36"/>
      <c r="B666" s="36"/>
      <c r="C666" s="36"/>
      <c r="D666" s="36"/>
      <c r="E666" s="531"/>
      <c r="F666" s="531"/>
      <c r="G666" s="531"/>
    </row>
    <row r="667" spans="1:7" x14ac:dyDescent="0.3">
      <c r="A667" s="36"/>
      <c r="B667" s="36"/>
      <c r="C667" s="36"/>
      <c r="D667" s="36"/>
      <c r="E667" s="531"/>
      <c r="F667" s="531"/>
      <c r="G667" s="531"/>
    </row>
    <row r="668" spans="1:7" x14ac:dyDescent="0.3">
      <c r="A668" s="36"/>
      <c r="B668" s="36"/>
      <c r="C668" s="36"/>
      <c r="D668" s="36"/>
      <c r="E668" s="531"/>
      <c r="F668" s="531"/>
      <c r="G668" s="531"/>
    </row>
    <row r="669" spans="1:7" x14ac:dyDescent="0.3">
      <c r="A669" s="36"/>
      <c r="B669" s="36"/>
      <c r="C669" s="36"/>
      <c r="D669" s="36"/>
      <c r="E669" s="531"/>
      <c r="F669" s="531"/>
      <c r="G669" s="531"/>
    </row>
    <row r="670" spans="1:7" x14ac:dyDescent="0.3">
      <c r="A670" s="36"/>
      <c r="B670" s="36"/>
      <c r="C670" s="36"/>
      <c r="D670" s="36"/>
      <c r="E670" s="531"/>
      <c r="F670" s="531"/>
      <c r="G670" s="531"/>
    </row>
    <row r="671" spans="1:7" x14ac:dyDescent="0.3">
      <c r="A671" s="36"/>
      <c r="B671" s="36"/>
      <c r="C671" s="36"/>
      <c r="D671" s="36"/>
      <c r="E671" s="531"/>
      <c r="F671" s="531"/>
      <c r="G671" s="531"/>
    </row>
    <row r="672" spans="1:7" x14ac:dyDescent="0.3">
      <c r="A672" s="36"/>
      <c r="B672" s="36"/>
      <c r="C672" s="36"/>
      <c r="D672" s="36"/>
      <c r="E672" s="531"/>
      <c r="F672" s="531"/>
      <c r="G672" s="531"/>
    </row>
    <row r="673" spans="1:7" x14ac:dyDescent="0.3">
      <c r="A673" s="36"/>
      <c r="B673" s="36"/>
      <c r="C673" s="36"/>
      <c r="D673" s="36"/>
      <c r="E673" s="531"/>
      <c r="F673" s="531"/>
      <c r="G673" s="531"/>
    </row>
    <row r="674" spans="1:7" x14ac:dyDescent="0.3">
      <c r="A674" s="36"/>
      <c r="B674" s="36"/>
      <c r="C674" s="36"/>
      <c r="D674" s="36"/>
      <c r="E674" s="531"/>
      <c r="F674" s="531"/>
      <c r="G674" s="531"/>
    </row>
    <row r="675" spans="1:7" x14ac:dyDescent="0.3">
      <c r="A675" s="36"/>
      <c r="B675" s="36"/>
      <c r="C675" s="36"/>
      <c r="D675" s="36"/>
      <c r="E675" s="531"/>
      <c r="F675" s="531"/>
      <c r="G675" s="531"/>
    </row>
    <row r="676" spans="1:7" x14ac:dyDescent="0.3">
      <c r="A676" s="36"/>
      <c r="B676" s="36"/>
      <c r="C676" s="36"/>
      <c r="D676" s="36"/>
      <c r="E676" s="531"/>
      <c r="F676" s="531"/>
      <c r="G676" s="531"/>
    </row>
    <row r="677" spans="1:7" x14ac:dyDescent="0.3">
      <c r="A677" s="36"/>
      <c r="B677" s="36"/>
      <c r="C677" s="36"/>
      <c r="D677" s="36"/>
      <c r="E677" s="531"/>
      <c r="F677" s="531"/>
      <c r="G677" s="531"/>
    </row>
    <row r="678" spans="1:7" x14ac:dyDescent="0.3">
      <c r="A678" s="36"/>
      <c r="B678" s="36"/>
      <c r="C678" s="36"/>
      <c r="D678" s="36"/>
      <c r="E678" s="531"/>
      <c r="F678" s="531"/>
      <c r="G678" s="531"/>
    </row>
    <row r="679" spans="1:7" x14ac:dyDescent="0.3">
      <c r="A679" s="36"/>
      <c r="B679" s="36"/>
      <c r="C679" s="36"/>
      <c r="D679" s="36"/>
      <c r="E679" s="531"/>
      <c r="F679" s="531"/>
      <c r="G679" s="531"/>
    </row>
    <row r="680" spans="1:7" x14ac:dyDescent="0.3">
      <c r="A680" s="36"/>
      <c r="B680" s="36"/>
      <c r="C680" s="36"/>
      <c r="D680" s="36"/>
      <c r="E680" s="531"/>
      <c r="F680" s="531"/>
      <c r="G680" s="531"/>
    </row>
    <row r="681" spans="1:7" x14ac:dyDescent="0.3">
      <c r="A681" s="36"/>
      <c r="B681" s="36"/>
      <c r="C681" s="36"/>
      <c r="D681" s="36"/>
      <c r="E681" s="531"/>
      <c r="F681" s="531"/>
      <c r="G681" s="531"/>
    </row>
    <row r="682" spans="1:7" x14ac:dyDescent="0.3">
      <c r="A682" s="36"/>
      <c r="B682" s="36"/>
      <c r="C682" s="36"/>
      <c r="D682" s="36"/>
      <c r="E682" s="531"/>
      <c r="F682" s="531"/>
      <c r="G682" s="531"/>
    </row>
    <row r="683" spans="1:7" x14ac:dyDescent="0.3">
      <c r="A683" s="36"/>
      <c r="B683" s="36"/>
      <c r="C683" s="36"/>
      <c r="D683" s="36"/>
      <c r="E683" s="531"/>
      <c r="F683" s="531"/>
      <c r="G683" s="531"/>
    </row>
    <row r="684" spans="1:7" x14ac:dyDescent="0.3">
      <c r="A684" s="36"/>
      <c r="B684" s="36"/>
      <c r="C684" s="36"/>
      <c r="D684" s="36"/>
      <c r="E684" s="531"/>
      <c r="F684" s="531"/>
      <c r="G684" s="531"/>
    </row>
    <row r="685" spans="1:7" x14ac:dyDescent="0.3">
      <c r="A685" s="36"/>
      <c r="B685" s="36"/>
      <c r="C685" s="36"/>
      <c r="D685" s="36"/>
      <c r="E685" s="531"/>
      <c r="F685" s="531"/>
      <c r="G685" s="531"/>
    </row>
    <row r="686" spans="1:7" x14ac:dyDescent="0.3">
      <c r="A686" s="36"/>
      <c r="B686" s="36"/>
      <c r="C686" s="36"/>
      <c r="D686" s="36"/>
      <c r="E686" s="531"/>
      <c r="F686" s="531"/>
      <c r="G686" s="531"/>
    </row>
    <row r="687" spans="1:7" x14ac:dyDescent="0.3">
      <c r="A687" s="36"/>
      <c r="B687" s="36"/>
      <c r="C687" s="36"/>
      <c r="D687" s="36"/>
      <c r="E687" s="531"/>
      <c r="F687" s="531"/>
      <c r="G687" s="531"/>
    </row>
    <row r="688" spans="1:7" x14ac:dyDescent="0.3">
      <c r="A688" s="36"/>
      <c r="B688" s="36"/>
      <c r="C688" s="36"/>
      <c r="D688" s="36"/>
      <c r="E688" s="531"/>
      <c r="F688" s="531"/>
      <c r="G688" s="531"/>
    </row>
    <row r="689" spans="1:7" x14ac:dyDescent="0.3">
      <c r="A689" s="36"/>
      <c r="B689" s="36"/>
      <c r="C689" s="36"/>
      <c r="D689" s="36"/>
      <c r="E689" s="531"/>
      <c r="F689" s="531"/>
      <c r="G689" s="531"/>
    </row>
    <row r="690" spans="1:7" x14ac:dyDescent="0.3">
      <c r="A690" s="36"/>
      <c r="B690" s="36"/>
      <c r="C690" s="36"/>
      <c r="D690" s="36"/>
      <c r="E690" s="531"/>
      <c r="F690" s="531"/>
      <c r="G690" s="531"/>
    </row>
    <row r="691" spans="1:7" x14ac:dyDescent="0.3">
      <c r="A691" s="36"/>
      <c r="B691" s="36"/>
      <c r="C691" s="36"/>
      <c r="D691" s="36"/>
      <c r="E691" s="531"/>
      <c r="F691" s="531"/>
      <c r="G691" s="531"/>
    </row>
    <row r="692" spans="1:7" x14ac:dyDescent="0.3">
      <c r="A692" s="36"/>
      <c r="B692" s="36"/>
      <c r="C692" s="36"/>
      <c r="D692" s="36"/>
      <c r="E692" s="531"/>
      <c r="F692" s="531"/>
      <c r="G692" s="531"/>
    </row>
    <row r="693" spans="1:7" x14ac:dyDescent="0.3">
      <c r="A693" s="36"/>
      <c r="B693" s="36"/>
      <c r="C693" s="36"/>
      <c r="D693" s="36"/>
      <c r="E693" s="531"/>
      <c r="F693" s="531"/>
      <c r="G693" s="531"/>
    </row>
    <row r="694" spans="1:7" x14ac:dyDescent="0.3">
      <c r="A694" s="36"/>
      <c r="B694" s="36"/>
      <c r="C694" s="36"/>
      <c r="D694" s="36"/>
      <c r="E694" s="531"/>
      <c r="F694" s="531"/>
      <c r="G694" s="531"/>
    </row>
    <row r="695" spans="1:7" x14ac:dyDescent="0.3">
      <c r="A695" s="36"/>
      <c r="B695" s="36"/>
      <c r="C695" s="36"/>
      <c r="D695" s="36"/>
      <c r="E695" s="531"/>
      <c r="F695" s="531"/>
      <c r="G695" s="531"/>
    </row>
    <row r="696" spans="1:7" x14ac:dyDescent="0.3">
      <c r="A696" s="36"/>
      <c r="B696" s="36"/>
      <c r="C696" s="36"/>
      <c r="D696" s="36"/>
      <c r="E696" s="531"/>
      <c r="F696" s="531"/>
      <c r="G696" s="531"/>
    </row>
    <row r="697" spans="1:7" x14ac:dyDescent="0.3">
      <c r="A697" s="36"/>
      <c r="B697" s="36"/>
      <c r="C697" s="36"/>
      <c r="D697" s="36"/>
      <c r="E697" s="531"/>
      <c r="F697" s="531"/>
      <c r="G697" s="531"/>
    </row>
    <row r="698" spans="1:7" x14ac:dyDescent="0.3">
      <c r="A698" s="36"/>
      <c r="B698" s="36"/>
      <c r="C698" s="36"/>
      <c r="D698" s="36"/>
      <c r="E698" s="531"/>
      <c r="F698" s="531"/>
      <c r="G698" s="531"/>
    </row>
    <row r="699" spans="1:7" x14ac:dyDescent="0.3">
      <c r="A699" s="36"/>
      <c r="B699" s="36"/>
      <c r="C699" s="36"/>
      <c r="D699" s="36"/>
      <c r="E699" s="531"/>
      <c r="F699" s="531"/>
      <c r="G699" s="531"/>
    </row>
    <row r="700" spans="1:7" x14ac:dyDescent="0.3">
      <c r="A700" s="36"/>
      <c r="B700" s="36"/>
      <c r="C700" s="36"/>
      <c r="D700" s="36"/>
      <c r="E700" s="531"/>
      <c r="F700" s="531"/>
      <c r="G700" s="531"/>
    </row>
    <row r="701" spans="1:7" x14ac:dyDescent="0.3">
      <c r="A701" s="36"/>
      <c r="B701" s="36"/>
      <c r="C701" s="36"/>
      <c r="D701" s="36"/>
      <c r="E701" s="531"/>
      <c r="F701" s="531"/>
      <c r="G701" s="531"/>
    </row>
    <row r="702" spans="1:7" x14ac:dyDescent="0.3">
      <c r="A702" s="36"/>
      <c r="B702" s="36"/>
      <c r="C702" s="36"/>
      <c r="D702" s="36"/>
      <c r="E702" s="531"/>
      <c r="F702" s="531"/>
      <c r="G702" s="531"/>
    </row>
    <row r="703" spans="1:7" x14ac:dyDescent="0.3">
      <c r="A703" s="36"/>
      <c r="B703" s="36"/>
      <c r="C703" s="36"/>
      <c r="D703" s="36"/>
      <c r="E703" s="531"/>
      <c r="F703" s="531"/>
      <c r="G703" s="531"/>
    </row>
    <row r="704" spans="1:7" x14ac:dyDescent="0.3">
      <c r="A704" s="36"/>
      <c r="B704" s="36"/>
      <c r="C704" s="36"/>
      <c r="D704" s="36"/>
      <c r="E704" s="531"/>
      <c r="F704" s="531"/>
      <c r="G704" s="531"/>
    </row>
    <row r="705" spans="1:7" x14ac:dyDescent="0.3">
      <c r="A705" s="36"/>
      <c r="B705" s="36"/>
      <c r="C705" s="36"/>
      <c r="D705" s="36"/>
      <c r="E705" s="531"/>
      <c r="F705" s="531"/>
      <c r="G705" s="531"/>
    </row>
    <row r="706" spans="1:7" x14ac:dyDescent="0.3">
      <c r="A706" s="36"/>
      <c r="B706" s="36"/>
      <c r="C706" s="36"/>
      <c r="D706" s="36"/>
      <c r="E706" s="531"/>
      <c r="F706" s="531"/>
      <c r="G706" s="531"/>
    </row>
    <row r="707" spans="1:7" x14ac:dyDescent="0.3">
      <c r="A707" s="36"/>
      <c r="B707" s="36"/>
      <c r="C707" s="36"/>
      <c r="D707" s="36"/>
      <c r="E707" s="531"/>
      <c r="F707" s="531"/>
      <c r="G707" s="531"/>
    </row>
    <row r="708" spans="1:7" x14ac:dyDescent="0.3">
      <c r="A708" s="36"/>
      <c r="B708" s="36"/>
      <c r="C708" s="36"/>
      <c r="D708" s="36"/>
      <c r="E708" s="531"/>
      <c r="F708" s="531"/>
      <c r="G708" s="531"/>
    </row>
    <row r="709" spans="1:7" x14ac:dyDescent="0.3">
      <c r="A709" s="36"/>
      <c r="B709" s="36"/>
      <c r="C709" s="36"/>
      <c r="D709" s="36"/>
      <c r="E709" s="531"/>
      <c r="F709" s="531"/>
      <c r="G709" s="531"/>
    </row>
    <row r="710" spans="1:7" x14ac:dyDescent="0.3">
      <c r="A710" s="36"/>
      <c r="B710" s="36"/>
      <c r="C710" s="36"/>
      <c r="D710" s="36"/>
      <c r="E710" s="531"/>
      <c r="F710" s="531"/>
      <c r="G710" s="531"/>
    </row>
    <row r="711" spans="1:7" x14ac:dyDescent="0.3">
      <c r="A711" s="36"/>
      <c r="B711" s="36"/>
      <c r="C711" s="36"/>
      <c r="D711" s="36"/>
      <c r="E711" s="531"/>
      <c r="F711" s="531"/>
      <c r="G711" s="531"/>
    </row>
    <row r="712" spans="1:7" x14ac:dyDescent="0.3">
      <c r="A712" s="36"/>
      <c r="B712" s="36"/>
      <c r="C712" s="36"/>
      <c r="D712" s="36"/>
      <c r="E712" s="531"/>
      <c r="F712" s="531"/>
      <c r="G712" s="531"/>
    </row>
    <row r="713" spans="1:7" x14ac:dyDescent="0.3">
      <c r="A713" s="36"/>
      <c r="B713" s="36"/>
      <c r="C713" s="36"/>
      <c r="D713" s="36"/>
      <c r="E713" s="531"/>
      <c r="F713" s="531"/>
      <c r="G713" s="531"/>
    </row>
    <row r="714" spans="1:7" x14ac:dyDescent="0.3">
      <c r="A714" s="36"/>
      <c r="B714" s="36"/>
      <c r="C714" s="36"/>
      <c r="D714" s="36"/>
      <c r="E714" s="531"/>
      <c r="F714" s="531"/>
      <c r="G714" s="531"/>
    </row>
    <row r="715" spans="1:7" x14ac:dyDescent="0.3">
      <c r="A715" s="36"/>
      <c r="B715" s="36"/>
      <c r="C715" s="36"/>
      <c r="D715" s="36"/>
      <c r="E715" s="531"/>
      <c r="F715" s="531"/>
      <c r="G715" s="531"/>
    </row>
    <row r="716" spans="1:7" x14ac:dyDescent="0.3">
      <c r="A716" s="36"/>
      <c r="B716" s="36"/>
      <c r="C716" s="36"/>
      <c r="D716" s="36"/>
      <c r="E716" s="531"/>
      <c r="F716" s="531"/>
      <c r="G716" s="531"/>
    </row>
    <row r="717" spans="1:7" x14ac:dyDescent="0.3">
      <c r="A717" s="36"/>
      <c r="B717" s="36"/>
      <c r="C717" s="36"/>
      <c r="D717" s="36"/>
      <c r="E717" s="531"/>
      <c r="F717" s="531"/>
      <c r="G717" s="531"/>
    </row>
    <row r="718" spans="1:7" x14ac:dyDescent="0.3">
      <c r="A718" s="36"/>
      <c r="B718" s="36"/>
      <c r="C718" s="36"/>
      <c r="D718" s="36"/>
      <c r="E718" s="531"/>
      <c r="F718" s="531"/>
      <c r="G718" s="531"/>
    </row>
    <row r="719" spans="1:7" x14ac:dyDescent="0.3">
      <c r="A719" s="36"/>
      <c r="B719" s="36"/>
      <c r="C719" s="36"/>
      <c r="D719" s="36"/>
      <c r="E719" s="531"/>
      <c r="F719" s="531"/>
      <c r="G719" s="531"/>
    </row>
    <row r="720" spans="1:7" x14ac:dyDescent="0.3">
      <c r="A720" s="36"/>
      <c r="B720" s="36"/>
      <c r="C720" s="36"/>
      <c r="D720" s="36"/>
      <c r="E720" s="531"/>
      <c r="F720" s="531"/>
      <c r="G720" s="531"/>
    </row>
    <row r="721" spans="1:7" x14ac:dyDescent="0.3">
      <c r="A721" s="36"/>
      <c r="B721" s="36"/>
      <c r="C721" s="36"/>
      <c r="D721" s="36"/>
      <c r="E721" s="531"/>
      <c r="F721" s="531"/>
      <c r="G721" s="531"/>
    </row>
    <row r="722" spans="1:7" x14ac:dyDescent="0.3">
      <c r="A722" s="36"/>
      <c r="B722" s="36"/>
      <c r="C722" s="36"/>
      <c r="D722" s="36"/>
      <c r="E722" s="531"/>
      <c r="F722" s="531"/>
      <c r="G722" s="531"/>
    </row>
    <row r="723" spans="1:7" x14ac:dyDescent="0.3">
      <c r="A723" s="36"/>
      <c r="B723" s="36"/>
      <c r="C723" s="36"/>
      <c r="D723" s="36"/>
      <c r="E723" s="531"/>
      <c r="F723" s="531"/>
      <c r="G723" s="531"/>
    </row>
    <row r="724" spans="1:7" x14ac:dyDescent="0.3">
      <c r="A724" s="36"/>
      <c r="B724" s="36"/>
      <c r="C724" s="36"/>
      <c r="D724" s="36"/>
      <c r="E724" s="531"/>
      <c r="F724" s="531"/>
      <c r="G724" s="531"/>
    </row>
    <row r="725" spans="1:7" x14ac:dyDescent="0.3">
      <c r="A725" s="36"/>
      <c r="B725" s="36"/>
      <c r="C725" s="36"/>
      <c r="D725" s="36"/>
      <c r="E725" s="531"/>
      <c r="F725" s="531"/>
      <c r="G725" s="531"/>
    </row>
    <row r="726" spans="1:7" x14ac:dyDescent="0.3">
      <c r="A726" s="36"/>
      <c r="B726" s="36"/>
      <c r="C726" s="36"/>
      <c r="D726" s="36"/>
      <c r="E726" s="531"/>
      <c r="F726" s="531"/>
      <c r="G726" s="531"/>
    </row>
    <row r="727" spans="1:7" x14ac:dyDescent="0.3">
      <c r="A727" s="36"/>
      <c r="B727" s="36"/>
      <c r="C727" s="36"/>
      <c r="D727" s="36"/>
      <c r="E727" s="531"/>
      <c r="F727" s="531"/>
      <c r="G727" s="531"/>
    </row>
    <row r="728" spans="1:7" x14ac:dyDescent="0.3">
      <c r="A728" s="36"/>
      <c r="B728" s="36"/>
      <c r="C728" s="36"/>
      <c r="D728" s="36"/>
      <c r="E728" s="531"/>
      <c r="F728" s="531"/>
      <c r="G728" s="531"/>
    </row>
    <row r="729" spans="1:7" x14ac:dyDescent="0.3">
      <c r="A729" s="36"/>
      <c r="B729" s="36"/>
      <c r="C729" s="36"/>
      <c r="D729" s="36"/>
      <c r="E729" s="531"/>
      <c r="F729" s="531"/>
      <c r="G729" s="531"/>
    </row>
    <row r="730" spans="1:7" x14ac:dyDescent="0.3">
      <c r="A730" s="36"/>
      <c r="B730" s="36"/>
      <c r="C730" s="36"/>
      <c r="D730" s="36"/>
      <c r="E730" s="531"/>
      <c r="F730" s="531"/>
      <c r="G730" s="531"/>
    </row>
    <row r="731" spans="1:7" x14ac:dyDescent="0.3">
      <c r="A731" s="36"/>
      <c r="B731" s="36"/>
      <c r="C731" s="36"/>
      <c r="D731" s="36"/>
      <c r="E731" s="531"/>
      <c r="F731" s="531"/>
      <c r="G731" s="531"/>
    </row>
    <row r="732" spans="1:7" x14ac:dyDescent="0.3">
      <c r="A732" s="36"/>
      <c r="B732" s="36"/>
      <c r="C732" s="36"/>
      <c r="D732" s="36"/>
      <c r="E732" s="531"/>
      <c r="F732" s="531"/>
      <c r="G732" s="531"/>
    </row>
    <row r="733" spans="1:7" x14ac:dyDescent="0.3">
      <c r="A733" s="36"/>
      <c r="B733" s="36"/>
      <c r="C733" s="36"/>
      <c r="D733" s="36"/>
      <c r="E733" s="531"/>
      <c r="F733" s="531"/>
      <c r="G733" s="531"/>
    </row>
    <row r="734" spans="1:7" x14ac:dyDescent="0.3">
      <c r="A734" s="36"/>
      <c r="B734" s="36"/>
      <c r="C734" s="36"/>
      <c r="D734" s="36"/>
      <c r="E734" s="531"/>
      <c r="F734" s="531"/>
      <c r="G734" s="531"/>
    </row>
    <row r="735" spans="1:7" x14ac:dyDescent="0.3">
      <c r="A735" s="36"/>
      <c r="B735" s="36"/>
      <c r="C735" s="36"/>
      <c r="D735" s="36"/>
      <c r="E735" s="531"/>
      <c r="F735" s="531"/>
      <c r="G735" s="531"/>
    </row>
    <row r="736" spans="1:7" x14ac:dyDescent="0.3">
      <c r="A736" s="36"/>
      <c r="B736" s="36"/>
      <c r="C736" s="36"/>
      <c r="D736" s="36"/>
      <c r="E736" s="531"/>
      <c r="F736" s="531"/>
      <c r="G736" s="531"/>
    </row>
    <row r="737" spans="1:7" x14ac:dyDescent="0.3">
      <c r="A737" s="36"/>
      <c r="B737" s="36"/>
      <c r="C737" s="36"/>
      <c r="D737" s="36"/>
      <c r="E737" s="531"/>
      <c r="F737" s="531"/>
      <c r="G737" s="531"/>
    </row>
    <row r="738" spans="1:7" x14ac:dyDescent="0.3">
      <c r="A738" s="36"/>
      <c r="B738" s="36"/>
      <c r="C738" s="36"/>
      <c r="D738" s="36"/>
      <c r="E738" s="531"/>
      <c r="F738" s="531"/>
      <c r="G738" s="531"/>
    </row>
    <row r="739" spans="1:7" x14ac:dyDescent="0.3">
      <c r="A739" s="36"/>
      <c r="B739" s="36"/>
      <c r="C739" s="36"/>
      <c r="D739" s="36"/>
      <c r="E739" s="531"/>
      <c r="F739" s="531"/>
      <c r="G739" s="531"/>
    </row>
    <row r="740" spans="1:7" x14ac:dyDescent="0.3">
      <c r="A740" s="36"/>
      <c r="B740" s="36"/>
      <c r="C740" s="36"/>
      <c r="D740" s="36"/>
      <c r="E740" s="531"/>
      <c r="F740" s="531"/>
      <c r="G740" s="531"/>
    </row>
    <row r="741" spans="1:7" x14ac:dyDescent="0.3">
      <c r="A741" s="36"/>
      <c r="B741" s="36"/>
      <c r="C741" s="36"/>
      <c r="D741" s="36"/>
      <c r="E741" s="531"/>
      <c r="F741" s="531"/>
      <c r="G741" s="531"/>
    </row>
    <row r="742" spans="1:7" x14ac:dyDescent="0.3">
      <c r="A742" s="36"/>
      <c r="B742" s="36"/>
      <c r="C742" s="36"/>
      <c r="D742" s="36"/>
      <c r="E742" s="531"/>
      <c r="F742" s="531"/>
      <c r="G742" s="531"/>
    </row>
    <row r="743" spans="1:7" x14ac:dyDescent="0.3">
      <c r="A743" s="36"/>
      <c r="B743" s="36"/>
      <c r="C743" s="36"/>
      <c r="D743" s="36"/>
      <c r="E743" s="531"/>
      <c r="F743" s="531"/>
      <c r="G743" s="531"/>
    </row>
    <row r="744" spans="1:7" x14ac:dyDescent="0.3">
      <c r="A744" s="36"/>
      <c r="B744" s="36"/>
      <c r="C744" s="36"/>
      <c r="D744" s="36"/>
      <c r="E744" s="531"/>
      <c r="F744" s="531"/>
      <c r="G744" s="531"/>
    </row>
    <row r="745" spans="1:7" x14ac:dyDescent="0.3">
      <c r="A745" s="36"/>
      <c r="B745" s="36"/>
      <c r="C745" s="36"/>
      <c r="D745" s="36"/>
      <c r="E745" s="531"/>
      <c r="F745" s="531"/>
      <c r="G745" s="531"/>
    </row>
    <row r="746" spans="1:7" x14ac:dyDescent="0.3">
      <c r="A746" s="36"/>
      <c r="B746" s="36"/>
      <c r="C746" s="36"/>
      <c r="D746" s="36"/>
      <c r="E746" s="531"/>
      <c r="F746" s="531"/>
      <c r="G746" s="531"/>
    </row>
    <row r="747" spans="1:7" x14ac:dyDescent="0.3">
      <c r="A747" s="36"/>
      <c r="B747" s="36"/>
      <c r="C747" s="36"/>
      <c r="D747" s="36"/>
      <c r="E747" s="531"/>
      <c r="F747" s="531"/>
      <c r="G747" s="531"/>
    </row>
    <row r="748" spans="1:7" x14ac:dyDescent="0.3">
      <c r="A748" s="36"/>
      <c r="B748" s="36"/>
      <c r="C748" s="36"/>
      <c r="D748" s="36"/>
      <c r="E748" s="531"/>
      <c r="F748" s="531"/>
      <c r="G748" s="531"/>
    </row>
    <row r="749" spans="1:7" x14ac:dyDescent="0.3">
      <c r="A749" s="36"/>
      <c r="B749" s="36"/>
      <c r="C749" s="36"/>
      <c r="D749" s="36"/>
      <c r="E749" s="531"/>
      <c r="F749" s="531"/>
      <c r="G749" s="531"/>
    </row>
    <row r="750" spans="1:7" x14ac:dyDescent="0.3">
      <c r="A750" s="36"/>
      <c r="B750" s="36"/>
      <c r="C750" s="36"/>
      <c r="D750" s="36"/>
      <c r="E750" s="531"/>
      <c r="F750" s="531"/>
      <c r="G750" s="531"/>
    </row>
    <row r="751" spans="1:7" x14ac:dyDescent="0.3">
      <c r="A751" s="36"/>
      <c r="B751" s="36"/>
      <c r="C751" s="36"/>
      <c r="D751" s="36"/>
      <c r="E751" s="531"/>
      <c r="F751" s="531"/>
      <c r="G751" s="531"/>
    </row>
    <row r="752" spans="1:7" x14ac:dyDescent="0.3">
      <c r="A752" s="36"/>
      <c r="B752" s="36"/>
      <c r="C752" s="36"/>
      <c r="D752" s="36"/>
      <c r="E752" s="531"/>
      <c r="F752" s="531"/>
      <c r="G752" s="531"/>
    </row>
    <row r="753" spans="1:7" x14ac:dyDescent="0.3">
      <c r="A753" s="36"/>
      <c r="B753" s="36"/>
      <c r="C753" s="36"/>
      <c r="D753" s="36"/>
      <c r="E753" s="531"/>
      <c r="F753" s="531"/>
      <c r="G753" s="531"/>
    </row>
    <row r="754" spans="1:7" x14ac:dyDescent="0.3">
      <c r="A754" s="36"/>
      <c r="B754" s="36"/>
      <c r="C754" s="36"/>
      <c r="D754" s="36"/>
      <c r="E754" s="531"/>
      <c r="F754" s="531"/>
      <c r="G754" s="531"/>
    </row>
    <row r="755" spans="1:7" x14ac:dyDescent="0.3">
      <c r="A755" s="36"/>
      <c r="B755" s="36"/>
      <c r="C755" s="36"/>
      <c r="D755" s="36"/>
      <c r="E755" s="531"/>
      <c r="F755" s="531"/>
      <c r="G755" s="531"/>
    </row>
    <row r="756" spans="1:7" x14ac:dyDescent="0.3">
      <c r="A756" s="36"/>
      <c r="B756" s="36"/>
      <c r="C756" s="36"/>
      <c r="D756" s="36"/>
      <c r="E756" s="531"/>
      <c r="F756" s="531"/>
      <c r="G756" s="531"/>
    </row>
    <row r="757" spans="1:7" x14ac:dyDescent="0.3">
      <c r="A757" s="36"/>
      <c r="B757" s="36"/>
      <c r="C757" s="36"/>
      <c r="D757" s="36"/>
      <c r="E757" s="531"/>
      <c r="F757" s="531"/>
      <c r="G757" s="531"/>
    </row>
    <row r="758" spans="1:7" x14ac:dyDescent="0.3">
      <c r="A758" s="36"/>
      <c r="B758" s="36"/>
      <c r="C758" s="36"/>
      <c r="D758" s="36"/>
      <c r="E758" s="531"/>
      <c r="F758" s="531"/>
      <c r="G758" s="531"/>
    </row>
    <row r="759" spans="1:7" x14ac:dyDescent="0.3">
      <c r="A759" s="36"/>
      <c r="B759" s="36"/>
      <c r="C759" s="36"/>
      <c r="D759" s="36"/>
      <c r="E759" s="531"/>
      <c r="F759" s="531"/>
      <c r="G759" s="531"/>
    </row>
    <row r="760" spans="1:7" x14ac:dyDescent="0.3">
      <c r="A760" s="36"/>
      <c r="B760" s="36"/>
      <c r="C760" s="36"/>
      <c r="D760" s="36"/>
      <c r="E760" s="531"/>
      <c r="F760" s="531"/>
      <c r="G760" s="531"/>
    </row>
    <row r="761" spans="1:7" x14ac:dyDescent="0.3">
      <c r="A761" s="36"/>
      <c r="B761" s="36"/>
      <c r="C761" s="36"/>
      <c r="D761" s="36"/>
      <c r="E761" s="531"/>
      <c r="F761" s="531"/>
      <c r="G761" s="531"/>
    </row>
    <row r="762" spans="1:7" x14ac:dyDescent="0.3">
      <c r="A762" s="36"/>
      <c r="B762" s="36"/>
      <c r="C762" s="36"/>
      <c r="D762" s="36"/>
      <c r="E762" s="531"/>
      <c r="F762" s="531"/>
      <c r="G762" s="531"/>
    </row>
    <row r="763" spans="1:7" x14ac:dyDescent="0.3">
      <c r="A763" s="36"/>
      <c r="B763" s="36"/>
      <c r="C763" s="36"/>
      <c r="D763" s="36"/>
      <c r="E763" s="531"/>
      <c r="F763" s="531"/>
      <c r="G763" s="531"/>
    </row>
    <row r="764" spans="1:7" x14ac:dyDescent="0.3">
      <c r="A764" s="36"/>
      <c r="B764" s="36"/>
      <c r="C764" s="36"/>
      <c r="D764" s="36"/>
      <c r="E764" s="531"/>
      <c r="F764" s="531"/>
      <c r="G764" s="531"/>
    </row>
    <row r="765" spans="1:7" x14ac:dyDescent="0.3">
      <c r="A765" s="36"/>
      <c r="B765" s="36"/>
      <c r="C765" s="36"/>
      <c r="D765" s="36"/>
      <c r="E765" s="531"/>
      <c r="F765" s="531"/>
      <c r="G765" s="531"/>
    </row>
    <row r="766" spans="1:7" x14ac:dyDescent="0.3">
      <c r="A766" s="36"/>
      <c r="B766" s="36"/>
      <c r="C766" s="36"/>
      <c r="D766" s="36"/>
      <c r="E766" s="531"/>
      <c r="F766" s="531"/>
      <c r="G766" s="531"/>
    </row>
    <row r="767" spans="1:7" x14ac:dyDescent="0.3">
      <c r="A767" s="36"/>
      <c r="B767" s="36"/>
      <c r="C767" s="36"/>
      <c r="D767" s="36"/>
      <c r="E767" s="531"/>
      <c r="F767" s="531"/>
      <c r="G767" s="531"/>
    </row>
    <row r="768" spans="1:7" x14ac:dyDescent="0.3">
      <c r="A768" s="36"/>
      <c r="B768" s="36"/>
      <c r="C768" s="36"/>
      <c r="D768" s="36"/>
      <c r="E768" s="531"/>
      <c r="F768" s="531"/>
      <c r="G768" s="531"/>
    </row>
    <row r="769" spans="1:7" x14ac:dyDescent="0.3">
      <c r="A769" s="36"/>
      <c r="B769" s="36"/>
      <c r="C769" s="36"/>
      <c r="D769" s="36"/>
      <c r="E769" s="531"/>
      <c r="F769" s="531"/>
      <c r="G769" s="531"/>
    </row>
    <row r="770" spans="1:7" x14ac:dyDescent="0.3">
      <c r="A770" s="36"/>
      <c r="B770" s="36"/>
      <c r="C770" s="36"/>
      <c r="D770" s="36"/>
      <c r="E770" s="531"/>
      <c r="F770" s="531"/>
      <c r="G770" s="531"/>
    </row>
    <row r="771" spans="1:7" x14ac:dyDescent="0.3">
      <c r="A771" s="36"/>
      <c r="B771" s="36"/>
      <c r="C771" s="36"/>
      <c r="D771" s="36"/>
      <c r="E771" s="531"/>
      <c r="F771" s="531"/>
      <c r="G771" s="531"/>
    </row>
    <row r="772" spans="1:7" x14ac:dyDescent="0.3">
      <c r="A772" s="36"/>
      <c r="B772" s="36"/>
      <c r="C772" s="36"/>
      <c r="D772" s="36"/>
      <c r="E772" s="531"/>
      <c r="F772" s="531"/>
      <c r="G772" s="531"/>
    </row>
    <row r="773" spans="1:7" x14ac:dyDescent="0.3">
      <c r="A773" s="36"/>
      <c r="B773" s="36"/>
      <c r="C773" s="36"/>
      <c r="D773" s="36"/>
      <c r="E773" s="531"/>
      <c r="F773" s="531"/>
      <c r="G773" s="531"/>
    </row>
    <row r="774" spans="1:7" x14ac:dyDescent="0.3">
      <c r="A774" s="36"/>
      <c r="B774" s="36"/>
      <c r="C774" s="36"/>
      <c r="D774" s="36"/>
      <c r="E774" s="531"/>
      <c r="F774" s="531"/>
      <c r="G774" s="531"/>
    </row>
    <row r="775" spans="1:7" x14ac:dyDescent="0.3">
      <c r="A775" s="36"/>
      <c r="B775" s="36"/>
      <c r="C775" s="36"/>
      <c r="D775" s="36"/>
      <c r="E775" s="531"/>
      <c r="F775" s="531"/>
      <c r="G775" s="531"/>
    </row>
    <row r="776" spans="1:7" x14ac:dyDescent="0.3">
      <c r="A776" s="36"/>
      <c r="B776" s="36"/>
      <c r="C776" s="36"/>
      <c r="D776" s="36"/>
      <c r="E776" s="531"/>
      <c r="F776" s="531"/>
      <c r="G776" s="531"/>
    </row>
    <row r="777" spans="1:7" x14ac:dyDescent="0.3">
      <c r="A777" s="36"/>
      <c r="B777" s="36"/>
      <c r="C777" s="36"/>
      <c r="D777" s="36"/>
      <c r="E777" s="531"/>
      <c r="F777" s="531"/>
      <c r="G777" s="531"/>
    </row>
    <row r="778" spans="1:7" x14ac:dyDescent="0.3">
      <c r="A778" s="36"/>
      <c r="B778" s="36"/>
      <c r="C778" s="36"/>
      <c r="D778" s="36"/>
      <c r="E778" s="531"/>
      <c r="F778" s="531"/>
      <c r="G778" s="531"/>
    </row>
    <row r="779" spans="1:7" x14ac:dyDescent="0.3">
      <c r="A779" s="36"/>
      <c r="B779" s="36"/>
      <c r="C779" s="36"/>
      <c r="D779" s="36"/>
      <c r="E779" s="531"/>
      <c r="F779" s="531"/>
      <c r="G779" s="531"/>
    </row>
    <row r="780" spans="1:7" x14ac:dyDescent="0.3">
      <c r="A780" s="36"/>
      <c r="B780" s="36"/>
      <c r="C780" s="36"/>
      <c r="D780" s="36"/>
      <c r="E780" s="531"/>
      <c r="F780" s="531"/>
      <c r="G780" s="531"/>
    </row>
    <row r="781" spans="1:7" x14ac:dyDescent="0.3">
      <c r="A781" s="36"/>
      <c r="B781" s="36"/>
      <c r="C781" s="36"/>
      <c r="D781" s="36"/>
      <c r="E781" s="531"/>
      <c r="F781" s="531"/>
      <c r="G781" s="531"/>
    </row>
    <row r="782" spans="1:7" x14ac:dyDescent="0.3">
      <c r="A782" s="36"/>
      <c r="B782" s="36"/>
      <c r="C782" s="36"/>
      <c r="D782" s="36"/>
      <c r="E782" s="531"/>
      <c r="F782" s="531"/>
      <c r="G782" s="531"/>
    </row>
    <row r="783" spans="1:7" x14ac:dyDescent="0.3">
      <c r="A783" s="36"/>
      <c r="B783" s="36"/>
      <c r="C783" s="36"/>
      <c r="D783" s="36"/>
      <c r="E783" s="531"/>
      <c r="F783" s="531"/>
      <c r="G783" s="531"/>
    </row>
    <row r="784" spans="1:7" x14ac:dyDescent="0.3">
      <c r="A784" s="36"/>
      <c r="B784" s="36"/>
      <c r="C784" s="36"/>
      <c r="D784" s="36"/>
      <c r="E784" s="531"/>
      <c r="F784" s="531"/>
      <c r="G784" s="531"/>
    </row>
    <row r="785" spans="1:7" x14ac:dyDescent="0.3">
      <c r="A785" s="36"/>
      <c r="B785" s="36"/>
      <c r="C785" s="36"/>
      <c r="D785" s="36"/>
      <c r="E785" s="531"/>
      <c r="F785" s="531"/>
      <c r="G785" s="531"/>
    </row>
    <row r="786" spans="1:7" x14ac:dyDescent="0.3">
      <c r="A786" s="36"/>
      <c r="B786" s="36"/>
      <c r="C786" s="36"/>
      <c r="D786" s="36"/>
      <c r="E786" s="531"/>
      <c r="F786" s="531"/>
      <c r="G786" s="531"/>
    </row>
    <row r="787" spans="1:7" x14ac:dyDescent="0.3">
      <c r="A787" s="36"/>
      <c r="B787" s="36"/>
      <c r="C787" s="36"/>
      <c r="D787" s="36"/>
      <c r="E787" s="531"/>
      <c r="F787" s="531"/>
      <c r="G787" s="531"/>
    </row>
    <row r="788" spans="1:7" x14ac:dyDescent="0.3">
      <c r="A788" s="36"/>
      <c r="B788" s="36"/>
      <c r="C788" s="36"/>
      <c r="D788" s="36"/>
      <c r="E788" s="531"/>
      <c r="F788" s="531"/>
      <c r="G788" s="531"/>
    </row>
    <row r="789" spans="1:7" x14ac:dyDescent="0.3">
      <c r="A789" s="36"/>
      <c r="B789" s="36"/>
      <c r="C789" s="36"/>
      <c r="D789" s="36"/>
      <c r="E789" s="531"/>
      <c r="F789" s="531"/>
      <c r="G789" s="531"/>
    </row>
    <row r="790" spans="1:7" x14ac:dyDescent="0.3">
      <c r="A790" s="36"/>
      <c r="B790" s="36"/>
      <c r="C790" s="36"/>
      <c r="D790" s="36"/>
      <c r="E790" s="531"/>
      <c r="F790" s="531"/>
      <c r="G790" s="531"/>
    </row>
    <row r="791" spans="1:7" x14ac:dyDescent="0.3">
      <c r="A791" s="36"/>
      <c r="B791" s="36"/>
      <c r="C791" s="36"/>
      <c r="D791" s="36"/>
      <c r="E791" s="531"/>
      <c r="F791" s="531"/>
      <c r="G791" s="531"/>
    </row>
    <row r="792" spans="1:7" x14ac:dyDescent="0.3">
      <c r="A792" s="36"/>
      <c r="B792" s="36"/>
      <c r="C792" s="36"/>
      <c r="D792" s="36"/>
      <c r="E792" s="531"/>
      <c r="F792" s="531"/>
      <c r="G792" s="531"/>
    </row>
    <row r="793" spans="1:7" x14ac:dyDescent="0.3">
      <c r="A793" s="36"/>
      <c r="B793" s="36"/>
      <c r="C793" s="36"/>
      <c r="D793" s="36"/>
      <c r="E793" s="531"/>
      <c r="F793" s="531"/>
      <c r="G793" s="531"/>
    </row>
    <row r="794" spans="1:7" x14ac:dyDescent="0.3">
      <c r="A794" s="36"/>
      <c r="B794" s="36"/>
      <c r="C794" s="36"/>
      <c r="D794" s="36"/>
      <c r="E794" s="531"/>
      <c r="F794" s="531"/>
      <c r="G794" s="531"/>
    </row>
    <row r="795" spans="1:7" x14ac:dyDescent="0.3">
      <c r="A795" s="36"/>
      <c r="B795" s="36"/>
      <c r="C795" s="36"/>
      <c r="D795" s="36"/>
      <c r="E795" s="531"/>
      <c r="F795" s="531"/>
      <c r="G795" s="531"/>
    </row>
    <row r="796" spans="1:7" x14ac:dyDescent="0.3">
      <c r="A796" s="36"/>
      <c r="B796" s="36"/>
      <c r="C796" s="36"/>
      <c r="D796" s="36"/>
      <c r="E796" s="531"/>
      <c r="F796" s="531"/>
      <c r="G796" s="531"/>
    </row>
    <row r="797" spans="1:7" x14ac:dyDescent="0.3">
      <c r="A797" s="36"/>
      <c r="B797" s="36"/>
      <c r="C797" s="36"/>
      <c r="D797" s="36"/>
      <c r="E797" s="531"/>
      <c r="F797" s="531"/>
      <c r="G797" s="531"/>
    </row>
    <row r="798" spans="1:7" x14ac:dyDescent="0.3">
      <c r="A798" s="36"/>
      <c r="B798" s="36"/>
      <c r="C798" s="36"/>
      <c r="D798" s="36"/>
      <c r="E798" s="531"/>
      <c r="F798" s="531"/>
      <c r="G798" s="531"/>
    </row>
    <row r="799" spans="1:7" x14ac:dyDescent="0.3">
      <c r="A799" s="36"/>
      <c r="B799" s="36"/>
      <c r="C799" s="36"/>
      <c r="D799" s="36"/>
      <c r="E799" s="531"/>
      <c r="F799" s="531"/>
      <c r="G799" s="531"/>
    </row>
    <row r="800" spans="1:7" x14ac:dyDescent="0.3">
      <c r="A800" s="36"/>
      <c r="B800" s="36"/>
      <c r="C800" s="36"/>
      <c r="D800" s="36"/>
      <c r="E800" s="531"/>
      <c r="F800" s="531"/>
      <c r="G800" s="531"/>
    </row>
    <row r="801" spans="1:7" x14ac:dyDescent="0.3">
      <c r="A801" s="36"/>
      <c r="B801" s="36"/>
      <c r="C801" s="36"/>
      <c r="D801" s="36"/>
      <c r="E801" s="531"/>
      <c r="F801" s="531"/>
      <c r="G801" s="531"/>
    </row>
    <row r="802" spans="1:7" x14ac:dyDescent="0.3">
      <c r="A802" s="36"/>
      <c r="B802" s="36"/>
      <c r="C802" s="36"/>
      <c r="D802" s="36"/>
      <c r="E802" s="531"/>
      <c r="F802" s="531"/>
      <c r="G802" s="531"/>
    </row>
    <row r="803" spans="1:7" x14ac:dyDescent="0.3">
      <c r="A803" s="36"/>
      <c r="B803" s="36"/>
      <c r="C803" s="36"/>
      <c r="D803" s="36"/>
      <c r="E803" s="531"/>
      <c r="F803" s="531"/>
      <c r="G803" s="531"/>
    </row>
    <row r="804" spans="1:7" x14ac:dyDescent="0.3">
      <c r="A804" s="36"/>
      <c r="B804" s="36"/>
      <c r="C804" s="36"/>
      <c r="D804" s="36"/>
      <c r="E804" s="531"/>
      <c r="F804" s="531"/>
      <c r="G804" s="531"/>
    </row>
    <row r="805" spans="1:7" x14ac:dyDescent="0.3">
      <c r="A805" s="36"/>
      <c r="B805" s="36"/>
      <c r="C805" s="36"/>
      <c r="D805" s="36"/>
      <c r="E805" s="531"/>
      <c r="F805" s="531"/>
      <c r="G805" s="531"/>
    </row>
    <row r="806" spans="1:7" x14ac:dyDescent="0.3">
      <c r="A806" s="36"/>
      <c r="B806" s="36"/>
      <c r="C806" s="36"/>
      <c r="D806" s="36"/>
      <c r="E806" s="531"/>
      <c r="F806" s="531"/>
      <c r="G806" s="531"/>
    </row>
    <row r="807" spans="1:7" x14ac:dyDescent="0.3">
      <c r="A807" s="36"/>
      <c r="B807" s="36"/>
      <c r="C807" s="36"/>
      <c r="D807" s="36"/>
      <c r="E807" s="531"/>
      <c r="F807" s="531"/>
      <c r="G807" s="531"/>
    </row>
    <row r="808" spans="1:7" x14ac:dyDescent="0.3">
      <c r="A808" s="36"/>
      <c r="B808" s="36"/>
      <c r="C808" s="36"/>
      <c r="D808" s="36"/>
      <c r="E808" s="531"/>
      <c r="F808" s="531"/>
      <c r="G808" s="531"/>
    </row>
    <row r="809" spans="1:7" x14ac:dyDescent="0.3">
      <c r="A809" s="36"/>
      <c r="B809" s="36"/>
      <c r="C809" s="36"/>
      <c r="D809" s="36"/>
      <c r="E809" s="531"/>
      <c r="F809" s="531"/>
      <c r="G809" s="531"/>
    </row>
    <row r="810" spans="1:7" x14ac:dyDescent="0.3">
      <c r="A810" s="36"/>
      <c r="B810" s="36"/>
      <c r="C810" s="36"/>
      <c r="D810" s="36"/>
      <c r="E810" s="531"/>
      <c r="F810" s="531"/>
      <c r="G810" s="531"/>
    </row>
    <row r="811" spans="1:7" x14ac:dyDescent="0.3">
      <c r="A811" s="36"/>
      <c r="B811" s="36"/>
      <c r="C811" s="36"/>
      <c r="D811" s="36"/>
      <c r="E811" s="531"/>
      <c r="F811" s="531"/>
      <c r="G811" s="531"/>
    </row>
    <row r="812" spans="1:7" x14ac:dyDescent="0.3">
      <c r="A812" s="36"/>
      <c r="B812" s="36"/>
      <c r="C812" s="36"/>
      <c r="D812" s="36"/>
      <c r="E812" s="531"/>
      <c r="F812" s="531"/>
      <c r="G812" s="531"/>
    </row>
    <row r="813" spans="1:7" x14ac:dyDescent="0.3">
      <c r="A813" s="36"/>
      <c r="B813" s="36"/>
      <c r="C813" s="36"/>
      <c r="D813" s="36"/>
      <c r="E813" s="531"/>
      <c r="F813" s="531"/>
      <c r="G813" s="531"/>
    </row>
    <row r="814" spans="1:7" x14ac:dyDescent="0.3">
      <c r="A814" s="36"/>
      <c r="B814" s="36"/>
      <c r="C814" s="36"/>
      <c r="D814" s="36"/>
      <c r="E814" s="531"/>
      <c r="F814" s="531"/>
      <c r="G814" s="531"/>
    </row>
    <row r="815" spans="1:7" x14ac:dyDescent="0.3">
      <c r="A815" s="36"/>
      <c r="B815" s="36"/>
      <c r="C815" s="36"/>
      <c r="D815" s="36"/>
      <c r="E815" s="531"/>
      <c r="F815" s="531"/>
      <c r="G815" s="531"/>
    </row>
    <row r="816" spans="1:7" x14ac:dyDescent="0.3">
      <c r="A816" s="36"/>
      <c r="B816" s="36"/>
      <c r="C816" s="36"/>
      <c r="D816" s="36"/>
      <c r="E816" s="531"/>
      <c r="F816" s="531"/>
      <c r="G816" s="531"/>
    </row>
    <row r="817" spans="1:7" x14ac:dyDescent="0.3">
      <c r="A817" s="36"/>
      <c r="B817" s="36"/>
      <c r="C817" s="36"/>
      <c r="D817" s="36"/>
      <c r="E817" s="531"/>
      <c r="F817" s="531"/>
      <c r="G817" s="531"/>
    </row>
    <row r="818" spans="1:7" x14ac:dyDescent="0.3">
      <c r="A818" s="36"/>
      <c r="B818" s="36"/>
      <c r="C818" s="36"/>
      <c r="D818" s="36"/>
      <c r="E818" s="531"/>
      <c r="F818" s="531"/>
      <c r="G818" s="531"/>
    </row>
    <row r="819" spans="1:7" x14ac:dyDescent="0.3">
      <c r="A819" s="36"/>
      <c r="B819" s="36"/>
      <c r="C819" s="36"/>
      <c r="D819" s="36"/>
      <c r="E819" s="531"/>
      <c r="F819" s="531"/>
      <c r="G819" s="531"/>
    </row>
    <row r="820" spans="1:7" x14ac:dyDescent="0.3">
      <c r="A820" s="36"/>
      <c r="B820" s="36"/>
      <c r="C820" s="36"/>
      <c r="D820" s="36"/>
      <c r="E820" s="531"/>
      <c r="F820" s="531"/>
      <c r="G820" s="531"/>
    </row>
    <row r="821" spans="1:7" x14ac:dyDescent="0.3">
      <c r="A821" s="36"/>
      <c r="B821" s="36"/>
      <c r="C821" s="36"/>
      <c r="D821" s="36"/>
      <c r="E821" s="531"/>
      <c r="F821" s="531"/>
      <c r="G821" s="531"/>
    </row>
    <row r="822" spans="1:7" x14ac:dyDescent="0.3">
      <c r="A822" s="36"/>
      <c r="B822" s="36"/>
      <c r="C822" s="36"/>
      <c r="D822" s="36"/>
      <c r="E822" s="531"/>
      <c r="F822" s="531"/>
      <c r="G822" s="531"/>
    </row>
    <row r="823" spans="1:7" x14ac:dyDescent="0.3">
      <c r="A823" s="36"/>
      <c r="B823" s="36"/>
      <c r="C823" s="36"/>
      <c r="D823" s="36"/>
      <c r="E823" s="531"/>
      <c r="F823" s="531"/>
      <c r="G823" s="531"/>
    </row>
    <row r="824" spans="1:7" x14ac:dyDescent="0.3">
      <c r="A824" s="36"/>
      <c r="B824" s="36"/>
      <c r="C824" s="36"/>
      <c r="D824" s="36"/>
      <c r="E824" s="531"/>
      <c r="F824" s="531"/>
      <c r="G824" s="531"/>
    </row>
    <row r="825" spans="1:7" x14ac:dyDescent="0.3">
      <c r="A825" s="36"/>
      <c r="B825" s="36"/>
      <c r="C825" s="36"/>
      <c r="D825" s="36"/>
      <c r="E825" s="531"/>
      <c r="F825" s="531"/>
      <c r="G825" s="531"/>
    </row>
    <row r="826" spans="1:7" x14ac:dyDescent="0.3">
      <c r="A826" s="36"/>
      <c r="B826" s="36"/>
      <c r="C826" s="36"/>
      <c r="D826" s="36"/>
      <c r="E826" s="531"/>
      <c r="F826" s="531"/>
      <c r="G826" s="531"/>
    </row>
    <row r="827" spans="1:7" x14ac:dyDescent="0.3">
      <c r="A827" s="36"/>
      <c r="B827" s="36"/>
      <c r="C827" s="36"/>
      <c r="D827" s="36"/>
      <c r="E827" s="531"/>
      <c r="F827" s="531"/>
      <c r="G827" s="531"/>
    </row>
    <row r="828" spans="1:7" x14ac:dyDescent="0.3">
      <c r="A828" s="36"/>
      <c r="B828" s="36"/>
      <c r="C828" s="36"/>
      <c r="D828" s="36"/>
      <c r="E828" s="531"/>
      <c r="F828" s="531"/>
      <c r="G828" s="531"/>
    </row>
    <row r="829" spans="1:7" x14ac:dyDescent="0.3">
      <c r="A829" s="36"/>
      <c r="B829" s="36"/>
      <c r="C829" s="36"/>
      <c r="D829" s="36"/>
      <c r="E829" s="531"/>
      <c r="F829" s="531"/>
      <c r="G829" s="531"/>
    </row>
    <row r="830" spans="1:7" x14ac:dyDescent="0.3">
      <c r="A830" s="36"/>
      <c r="B830" s="36"/>
      <c r="C830" s="36"/>
      <c r="D830" s="36"/>
      <c r="E830" s="531"/>
      <c r="F830" s="531"/>
      <c r="G830" s="531"/>
    </row>
    <row r="831" spans="1:7" x14ac:dyDescent="0.3">
      <c r="A831" s="36"/>
      <c r="B831" s="36"/>
      <c r="C831" s="36"/>
      <c r="D831" s="36"/>
      <c r="E831" s="531"/>
      <c r="F831" s="531"/>
      <c r="G831" s="531"/>
    </row>
    <row r="832" spans="1:7" x14ac:dyDescent="0.3">
      <c r="A832" s="36"/>
      <c r="B832" s="36"/>
      <c r="C832" s="36"/>
      <c r="D832" s="36"/>
      <c r="E832" s="531"/>
      <c r="F832" s="531"/>
      <c r="G832" s="531"/>
    </row>
    <row r="833" spans="1:7" x14ac:dyDescent="0.3">
      <c r="A833" s="36"/>
      <c r="B833" s="36"/>
      <c r="C833" s="36"/>
      <c r="D833" s="36"/>
      <c r="E833" s="531"/>
      <c r="F833" s="531"/>
      <c r="G833" s="531"/>
    </row>
    <row r="834" spans="1:7" x14ac:dyDescent="0.3">
      <c r="A834" s="36"/>
      <c r="B834" s="36"/>
      <c r="C834" s="36"/>
      <c r="D834" s="36"/>
      <c r="E834" s="531"/>
      <c r="F834" s="531"/>
      <c r="G834" s="531"/>
    </row>
    <row r="835" spans="1:7" x14ac:dyDescent="0.3">
      <c r="A835" s="36"/>
      <c r="B835" s="36"/>
      <c r="C835" s="36"/>
      <c r="D835" s="36"/>
      <c r="E835" s="531"/>
      <c r="F835" s="531"/>
      <c r="G835" s="531"/>
    </row>
    <row r="836" spans="1:7" x14ac:dyDescent="0.3">
      <c r="A836" s="36"/>
      <c r="B836" s="36"/>
      <c r="C836" s="36"/>
      <c r="D836" s="36"/>
      <c r="E836" s="531"/>
      <c r="F836" s="531"/>
      <c r="G836" s="531"/>
    </row>
    <row r="837" spans="1:7" x14ac:dyDescent="0.3">
      <c r="A837" s="36"/>
      <c r="B837" s="36"/>
      <c r="C837" s="36"/>
      <c r="D837" s="36"/>
      <c r="E837" s="531"/>
      <c r="F837" s="531"/>
      <c r="G837" s="531"/>
    </row>
    <row r="838" spans="1:7" x14ac:dyDescent="0.3">
      <c r="A838" s="36"/>
      <c r="B838" s="36"/>
      <c r="C838" s="36"/>
      <c r="D838" s="36"/>
      <c r="E838" s="531"/>
      <c r="F838" s="531"/>
      <c r="G838" s="531"/>
    </row>
    <row r="839" spans="1:7" x14ac:dyDescent="0.3">
      <c r="A839" s="36"/>
      <c r="B839" s="36"/>
      <c r="C839" s="36"/>
      <c r="D839" s="36"/>
      <c r="E839" s="531"/>
      <c r="F839" s="531"/>
      <c r="G839" s="531"/>
    </row>
    <row r="840" spans="1:7" x14ac:dyDescent="0.3">
      <c r="A840" s="36"/>
      <c r="B840" s="36"/>
      <c r="C840" s="36"/>
      <c r="D840" s="36"/>
      <c r="E840" s="531"/>
      <c r="F840" s="531"/>
      <c r="G840" s="531"/>
    </row>
    <row r="841" spans="1:7" x14ac:dyDescent="0.3">
      <c r="A841" s="36"/>
      <c r="B841" s="36"/>
      <c r="C841" s="36"/>
      <c r="D841" s="36"/>
      <c r="E841" s="531"/>
      <c r="F841" s="531"/>
      <c r="G841" s="531"/>
    </row>
    <row r="842" spans="1:7" x14ac:dyDescent="0.3">
      <c r="A842" s="36"/>
      <c r="B842" s="36"/>
      <c r="C842" s="36"/>
      <c r="D842" s="36"/>
      <c r="E842" s="531"/>
      <c r="F842" s="531"/>
      <c r="G842" s="531"/>
    </row>
    <row r="843" spans="1:7" x14ac:dyDescent="0.3">
      <c r="A843" s="36"/>
      <c r="B843" s="36"/>
      <c r="C843" s="36"/>
      <c r="D843" s="36"/>
      <c r="E843" s="531"/>
      <c r="F843" s="531"/>
      <c r="G843" s="531"/>
    </row>
    <row r="844" spans="1:7" x14ac:dyDescent="0.3">
      <c r="A844" s="36"/>
      <c r="B844" s="36"/>
      <c r="C844" s="36"/>
      <c r="D844" s="36"/>
      <c r="E844" s="531"/>
      <c r="F844" s="531"/>
      <c r="G844" s="531"/>
    </row>
    <row r="845" spans="1:7" x14ac:dyDescent="0.3">
      <c r="A845" s="36"/>
      <c r="B845" s="36"/>
      <c r="C845" s="36"/>
      <c r="D845" s="36"/>
      <c r="E845" s="531"/>
      <c r="F845" s="531"/>
      <c r="G845" s="531"/>
    </row>
    <row r="846" spans="1:7" x14ac:dyDescent="0.3">
      <c r="A846" s="36"/>
      <c r="B846" s="36"/>
      <c r="C846" s="36"/>
      <c r="D846" s="36"/>
      <c r="E846" s="531"/>
      <c r="F846" s="531"/>
      <c r="G846" s="531"/>
    </row>
    <row r="847" spans="1:7" x14ac:dyDescent="0.3">
      <c r="A847" s="36"/>
      <c r="B847" s="36"/>
      <c r="C847" s="36"/>
      <c r="D847" s="36"/>
      <c r="E847" s="531"/>
      <c r="F847" s="531"/>
      <c r="G847" s="531"/>
    </row>
    <row r="848" spans="1:7" x14ac:dyDescent="0.3">
      <c r="A848" s="36"/>
      <c r="B848" s="36"/>
      <c r="C848" s="36"/>
      <c r="D848" s="36"/>
      <c r="E848" s="531"/>
      <c r="F848" s="531"/>
      <c r="G848" s="531"/>
    </row>
    <row r="849" spans="1:7" x14ac:dyDescent="0.3">
      <c r="A849" s="36"/>
      <c r="B849" s="36"/>
      <c r="C849" s="36"/>
      <c r="D849" s="36"/>
      <c r="E849" s="531"/>
      <c r="F849" s="531"/>
      <c r="G849" s="531"/>
    </row>
    <row r="850" spans="1:7" x14ac:dyDescent="0.3">
      <c r="A850" s="36"/>
      <c r="B850" s="36"/>
      <c r="C850" s="36"/>
      <c r="D850" s="36"/>
      <c r="E850" s="531"/>
      <c r="F850" s="531"/>
      <c r="G850" s="531"/>
    </row>
    <row r="851" spans="1:7" x14ac:dyDescent="0.3">
      <c r="A851" s="36"/>
      <c r="B851" s="36"/>
      <c r="C851" s="36"/>
      <c r="D851" s="36"/>
      <c r="E851" s="531"/>
      <c r="F851" s="531"/>
      <c r="G851" s="531"/>
    </row>
    <row r="852" spans="1:7" x14ac:dyDescent="0.3">
      <c r="A852" s="36"/>
      <c r="B852" s="36"/>
      <c r="C852" s="36"/>
      <c r="D852" s="36"/>
      <c r="E852" s="531"/>
      <c r="F852" s="531"/>
      <c r="G852" s="531"/>
    </row>
    <row r="853" spans="1:7" x14ac:dyDescent="0.3">
      <c r="A853" s="36"/>
      <c r="B853" s="36"/>
      <c r="C853" s="36"/>
      <c r="D853" s="36"/>
      <c r="E853" s="531"/>
      <c r="F853" s="531"/>
      <c r="G853" s="531"/>
    </row>
    <row r="854" spans="1:7" x14ac:dyDescent="0.3">
      <c r="A854" s="36"/>
      <c r="B854" s="36"/>
      <c r="C854" s="36"/>
      <c r="D854" s="36"/>
      <c r="E854" s="531"/>
      <c r="F854" s="531"/>
      <c r="G854" s="531"/>
    </row>
    <row r="855" spans="1:7" x14ac:dyDescent="0.3">
      <c r="A855" s="36"/>
      <c r="B855" s="36"/>
      <c r="C855" s="36"/>
      <c r="D855" s="36"/>
      <c r="E855" s="531"/>
      <c r="F855" s="531"/>
      <c r="G855" s="531"/>
    </row>
    <row r="856" spans="1:7" x14ac:dyDescent="0.3">
      <c r="A856" s="36"/>
      <c r="B856" s="36"/>
      <c r="C856" s="36"/>
      <c r="D856" s="36"/>
      <c r="E856" s="531"/>
      <c r="F856" s="531"/>
      <c r="G856" s="531"/>
    </row>
    <row r="857" spans="1:7" x14ac:dyDescent="0.3">
      <c r="A857" s="36"/>
      <c r="B857" s="36"/>
      <c r="C857" s="36"/>
      <c r="D857" s="36"/>
      <c r="E857" s="531"/>
      <c r="F857" s="531"/>
      <c r="G857" s="531"/>
    </row>
    <row r="858" spans="1:7" x14ac:dyDescent="0.3">
      <c r="A858" s="36"/>
      <c r="B858" s="36"/>
      <c r="C858" s="36"/>
      <c r="D858" s="36"/>
      <c r="E858" s="531"/>
      <c r="F858" s="531"/>
      <c r="G858" s="531"/>
    </row>
    <row r="859" spans="1:7" x14ac:dyDescent="0.3">
      <c r="A859" s="36"/>
      <c r="B859" s="36"/>
      <c r="C859" s="36"/>
      <c r="D859" s="36"/>
      <c r="E859" s="531"/>
      <c r="F859" s="531"/>
      <c r="G859" s="531"/>
    </row>
    <row r="860" spans="1:7" x14ac:dyDescent="0.3">
      <c r="A860" s="36"/>
      <c r="B860" s="36"/>
      <c r="C860" s="36"/>
      <c r="D860" s="36"/>
      <c r="E860" s="531"/>
      <c r="F860" s="531"/>
      <c r="G860" s="531"/>
    </row>
    <row r="861" spans="1:7" x14ac:dyDescent="0.3">
      <c r="A861" s="36"/>
      <c r="B861" s="36"/>
      <c r="C861" s="36"/>
      <c r="D861" s="36"/>
      <c r="E861" s="531"/>
      <c r="F861" s="531"/>
      <c r="G861" s="531"/>
    </row>
    <row r="862" spans="1:7" x14ac:dyDescent="0.3">
      <c r="A862" s="36"/>
      <c r="B862" s="36"/>
      <c r="C862" s="36"/>
      <c r="D862" s="36"/>
      <c r="E862" s="531"/>
      <c r="F862" s="531"/>
      <c r="G862" s="531"/>
    </row>
    <row r="863" spans="1:7" x14ac:dyDescent="0.3">
      <c r="A863" s="36"/>
      <c r="B863" s="36"/>
      <c r="C863" s="36"/>
      <c r="D863" s="36"/>
      <c r="E863" s="531"/>
      <c r="F863" s="531"/>
      <c r="G863" s="531"/>
    </row>
    <row r="864" spans="1:7" x14ac:dyDescent="0.3">
      <c r="A864" s="36"/>
      <c r="B864" s="36"/>
      <c r="C864" s="36"/>
      <c r="D864" s="36"/>
      <c r="E864" s="531"/>
      <c r="F864" s="531"/>
      <c r="G864" s="531"/>
    </row>
    <row r="865" spans="1:7" x14ac:dyDescent="0.3">
      <c r="A865" s="36"/>
      <c r="B865" s="36"/>
      <c r="C865" s="36"/>
      <c r="D865" s="36"/>
      <c r="E865" s="531"/>
      <c r="F865" s="531"/>
      <c r="G865" s="531"/>
    </row>
    <row r="866" spans="1:7" x14ac:dyDescent="0.3">
      <c r="A866" s="36"/>
      <c r="B866" s="36"/>
      <c r="C866" s="36"/>
      <c r="D866" s="36"/>
      <c r="E866" s="531"/>
      <c r="F866" s="531"/>
      <c r="G866" s="531"/>
    </row>
    <row r="867" spans="1:7" x14ac:dyDescent="0.3">
      <c r="A867" s="36"/>
      <c r="B867" s="36"/>
      <c r="C867" s="36"/>
      <c r="D867" s="36"/>
      <c r="E867" s="531"/>
      <c r="F867" s="531"/>
      <c r="G867" s="531"/>
    </row>
    <row r="868" spans="1:7" x14ac:dyDescent="0.3">
      <c r="A868" s="36"/>
      <c r="B868" s="36"/>
      <c r="C868" s="36"/>
      <c r="D868" s="36"/>
      <c r="E868" s="531"/>
      <c r="F868" s="531"/>
      <c r="G868" s="531"/>
    </row>
    <row r="869" spans="1:7" x14ac:dyDescent="0.3">
      <c r="A869" s="36"/>
      <c r="B869" s="36"/>
      <c r="C869" s="36"/>
      <c r="D869" s="36"/>
      <c r="E869" s="531"/>
      <c r="F869" s="531"/>
      <c r="G869" s="531"/>
    </row>
    <row r="870" spans="1:7" x14ac:dyDescent="0.3">
      <c r="A870" s="36"/>
      <c r="B870" s="36"/>
      <c r="C870" s="36"/>
      <c r="D870" s="36"/>
      <c r="E870" s="531"/>
      <c r="F870" s="531"/>
      <c r="G870" s="531"/>
    </row>
    <row r="871" spans="1:7" x14ac:dyDescent="0.3">
      <c r="A871" s="36"/>
      <c r="B871" s="36"/>
      <c r="C871" s="36"/>
      <c r="D871" s="36"/>
      <c r="E871" s="531"/>
      <c r="F871" s="531"/>
      <c r="G871" s="531"/>
    </row>
    <row r="872" spans="1:7" x14ac:dyDescent="0.3">
      <c r="A872" s="36"/>
      <c r="B872" s="36"/>
      <c r="C872" s="36"/>
      <c r="D872" s="36"/>
      <c r="E872" s="531"/>
      <c r="F872" s="531"/>
      <c r="G872" s="531"/>
    </row>
    <row r="873" spans="1:7" x14ac:dyDescent="0.3">
      <c r="A873" s="36"/>
      <c r="B873" s="36"/>
      <c r="C873" s="36"/>
      <c r="D873" s="36"/>
      <c r="E873" s="531"/>
      <c r="F873" s="531"/>
      <c r="G873" s="531"/>
    </row>
    <row r="874" spans="1:7" x14ac:dyDescent="0.3">
      <c r="A874" s="36"/>
      <c r="B874" s="36"/>
      <c r="C874" s="36"/>
      <c r="D874" s="36"/>
      <c r="E874" s="531"/>
      <c r="F874" s="531"/>
      <c r="G874" s="531"/>
    </row>
    <row r="875" spans="1:7" x14ac:dyDescent="0.3">
      <c r="A875" s="36"/>
      <c r="B875" s="36"/>
      <c r="C875" s="36"/>
      <c r="D875" s="36"/>
      <c r="E875" s="531"/>
      <c r="F875" s="531"/>
      <c r="G875" s="531"/>
    </row>
    <row r="876" spans="1:7" x14ac:dyDescent="0.3">
      <c r="A876" s="36"/>
      <c r="B876" s="36"/>
      <c r="C876" s="36"/>
      <c r="D876" s="36"/>
      <c r="E876" s="531"/>
      <c r="F876" s="531"/>
      <c r="G876" s="531"/>
    </row>
    <row r="877" spans="1:7" x14ac:dyDescent="0.3">
      <c r="A877" s="36"/>
      <c r="B877" s="36"/>
      <c r="C877" s="36"/>
      <c r="D877" s="36"/>
      <c r="E877" s="531"/>
      <c r="F877" s="531"/>
      <c r="G877" s="531"/>
    </row>
    <row r="878" spans="1:7" x14ac:dyDescent="0.3">
      <c r="A878" s="36"/>
      <c r="B878" s="36"/>
      <c r="C878" s="36"/>
      <c r="D878" s="36"/>
      <c r="E878" s="531"/>
      <c r="F878" s="531"/>
      <c r="G878" s="531"/>
    </row>
    <row r="879" spans="1:7" x14ac:dyDescent="0.3">
      <c r="A879" s="36"/>
      <c r="B879" s="36"/>
      <c r="C879" s="36"/>
      <c r="D879" s="36"/>
      <c r="E879" s="531"/>
      <c r="F879" s="531"/>
      <c r="G879" s="531"/>
    </row>
    <row r="880" spans="1:7" x14ac:dyDescent="0.3">
      <c r="A880" s="36"/>
      <c r="B880" s="36"/>
      <c r="C880" s="36"/>
      <c r="D880" s="36"/>
      <c r="E880" s="531"/>
      <c r="F880" s="531"/>
      <c r="G880" s="531"/>
    </row>
    <row r="881" spans="1:7" x14ac:dyDescent="0.3">
      <c r="A881" s="36"/>
      <c r="B881" s="36"/>
      <c r="C881" s="36"/>
      <c r="D881" s="36"/>
      <c r="E881" s="531"/>
      <c r="F881" s="531"/>
      <c r="G881" s="531"/>
    </row>
    <row r="882" spans="1:7" x14ac:dyDescent="0.3">
      <c r="A882" s="36"/>
      <c r="B882" s="36"/>
      <c r="C882" s="36"/>
      <c r="D882" s="36"/>
      <c r="E882" s="531"/>
      <c r="F882" s="531"/>
      <c r="G882" s="531"/>
    </row>
    <row r="883" spans="1:7" x14ac:dyDescent="0.3">
      <c r="A883" s="36"/>
      <c r="B883" s="36"/>
      <c r="C883" s="36"/>
      <c r="D883" s="36"/>
      <c r="E883" s="531"/>
      <c r="F883" s="531"/>
      <c r="G883" s="531"/>
    </row>
    <row r="884" spans="1:7" x14ac:dyDescent="0.3">
      <c r="A884" s="36"/>
      <c r="B884" s="36"/>
      <c r="C884" s="36"/>
      <c r="D884" s="36"/>
      <c r="E884" s="531"/>
      <c r="F884" s="531"/>
      <c r="G884" s="531"/>
    </row>
    <row r="885" spans="1:7" x14ac:dyDescent="0.3">
      <c r="A885" s="36"/>
      <c r="B885" s="36"/>
      <c r="C885" s="36"/>
      <c r="D885" s="36"/>
      <c r="E885" s="531"/>
      <c r="F885" s="531"/>
      <c r="G885" s="531"/>
    </row>
    <row r="886" spans="1:7" x14ac:dyDescent="0.3">
      <c r="A886" s="36"/>
      <c r="B886" s="36"/>
      <c r="C886" s="36"/>
      <c r="D886" s="36"/>
      <c r="E886" s="531"/>
      <c r="F886" s="531"/>
      <c r="G886" s="531"/>
    </row>
    <row r="887" spans="1:7" x14ac:dyDescent="0.3">
      <c r="A887" s="36"/>
      <c r="B887" s="36"/>
      <c r="C887" s="36"/>
      <c r="D887" s="36"/>
      <c r="E887" s="531"/>
      <c r="F887" s="531"/>
      <c r="G887" s="531"/>
    </row>
    <row r="888" spans="1:7" x14ac:dyDescent="0.3">
      <c r="A888" s="36"/>
      <c r="B888" s="36"/>
      <c r="C888" s="36"/>
      <c r="D888" s="36"/>
      <c r="E888" s="531"/>
      <c r="F888" s="531"/>
      <c r="G888" s="531"/>
    </row>
    <row r="889" spans="1:7" x14ac:dyDescent="0.3">
      <c r="A889" s="36"/>
      <c r="B889" s="36"/>
      <c r="C889" s="36"/>
      <c r="D889" s="36"/>
      <c r="E889" s="531"/>
      <c r="F889" s="531"/>
      <c r="G889" s="531"/>
    </row>
    <row r="890" spans="1:7" x14ac:dyDescent="0.3">
      <c r="A890" s="36"/>
      <c r="B890" s="36"/>
      <c r="C890" s="36"/>
      <c r="D890" s="36"/>
      <c r="E890" s="531"/>
      <c r="F890" s="531"/>
      <c r="G890" s="531"/>
    </row>
    <row r="891" spans="1:7" x14ac:dyDescent="0.3">
      <c r="A891" s="36"/>
      <c r="B891" s="36"/>
      <c r="C891" s="36"/>
      <c r="D891" s="36"/>
      <c r="E891" s="531"/>
      <c r="F891" s="531"/>
      <c r="G891" s="531"/>
    </row>
    <row r="892" spans="1:7" x14ac:dyDescent="0.3">
      <c r="A892" s="36"/>
      <c r="B892" s="36"/>
      <c r="C892" s="36"/>
      <c r="D892" s="36"/>
      <c r="E892" s="531"/>
      <c r="F892" s="531"/>
      <c r="G892" s="531"/>
    </row>
    <row r="893" spans="1:7" x14ac:dyDescent="0.3">
      <c r="A893" s="36"/>
      <c r="B893" s="36"/>
      <c r="C893" s="36"/>
      <c r="D893" s="36"/>
      <c r="E893" s="531"/>
      <c r="F893" s="531"/>
      <c r="G893" s="531"/>
    </row>
    <row r="894" spans="1:7" x14ac:dyDescent="0.3">
      <c r="A894" s="36"/>
      <c r="B894" s="36"/>
      <c r="C894" s="36"/>
      <c r="D894" s="36"/>
      <c r="E894" s="531"/>
      <c r="F894" s="531"/>
      <c r="G894" s="531"/>
    </row>
    <row r="895" spans="1:7" x14ac:dyDescent="0.3">
      <c r="A895" s="36"/>
      <c r="B895" s="36"/>
      <c r="C895" s="36"/>
      <c r="D895" s="36"/>
      <c r="E895" s="531"/>
      <c r="F895" s="531"/>
      <c r="G895" s="531"/>
    </row>
    <row r="896" spans="1:7" x14ac:dyDescent="0.3">
      <c r="A896" s="36"/>
      <c r="B896" s="36"/>
      <c r="C896" s="36"/>
      <c r="D896" s="36"/>
      <c r="E896" s="531"/>
      <c r="F896" s="531"/>
      <c r="G896" s="531"/>
    </row>
    <row r="897" spans="1:7" x14ac:dyDescent="0.3">
      <c r="A897" s="36"/>
      <c r="B897" s="36"/>
      <c r="C897" s="36"/>
      <c r="D897" s="36"/>
      <c r="E897" s="531"/>
      <c r="F897" s="531"/>
      <c r="G897" s="531"/>
    </row>
    <row r="898" spans="1:7" x14ac:dyDescent="0.3">
      <c r="A898" s="36"/>
      <c r="B898" s="36"/>
      <c r="C898" s="36"/>
      <c r="D898" s="36"/>
      <c r="E898" s="531"/>
      <c r="F898" s="531"/>
      <c r="G898" s="531"/>
    </row>
    <row r="899" spans="1:7" x14ac:dyDescent="0.3">
      <c r="A899" s="36"/>
      <c r="B899" s="36"/>
      <c r="C899" s="36"/>
      <c r="D899" s="36"/>
      <c r="E899" s="531"/>
      <c r="F899" s="531"/>
      <c r="G899" s="531"/>
    </row>
    <row r="900" spans="1:7" x14ac:dyDescent="0.3">
      <c r="A900" s="36"/>
      <c r="B900" s="36"/>
      <c r="C900" s="36"/>
      <c r="D900" s="36"/>
      <c r="E900" s="531"/>
      <c r="F900" s="531"/>
      <c r="G900" s="531"/>
    </row>
    <row r="901" spans="1:7" x14ac:dyDescent="0.3">
      <c r="A901" s="36"/>
      <c r="B901" s="36"/>
      <c r="C901" s="36"/>
      <c r="D901" s="36"/>
      <c r="E901" s="531"/>
      <c r="F901" s="531"/>
      <c r="G901" s="531"/>
    </row>
    <row r="902" spans="1:7" x14ac:dyDescent="0.3">
      <c r="A902" s="36"/>
      <c r="B902" s="36"/>
      <c r="C902" s="36"/>
      <c r="D902" s="36"/>
      <c r="E902" s="531"/>
      <c r="F902" s="531"/>
      <c r="G902" s="531"/>
    </row>
    <row r="903" spans="1:7" x14ac:dyDescent="0.3">
      <c r="A903" s="36"/>
      <c r="B903" s="36"/>
      <c r="C903" s="36"/>
      <c r="D903" s="36"/>
      <c r="E903" s="531"/>
      <c r="F903" s="531"/>
      <c r="G903" s="531"/>
    </row>
    <row r="904" spans="1:7" x14ac:dyDescent="0.3">
      <c r="A904" s="36"/>
      <c r="B904" s="36"/>
      <c r="C904" s="36"/>
      <c r="D904" s="36"/>
      <c r="E904" s="531"/>
      <c r="F904" s="531"/>
      <c r="G904" s="531"/>
    </row>
    <row r="905" spans="1:7" x14ac:dyDescent="0.3">
      <c r="A905" s="36"/>
      <c r="B905" s="36"/>
      <c r="C905" s="36"/>
      <c r="D905" s="36"/>
      <c r="E905" s="531"/>
      <c r="F905" s="531"/>
      <c r="G905" s="531"/>
    </row>
    <row r="906" spans="1:7" x14ac:dyDescent="0.3">
      <c r="A906" s="36"/>
      <c r="B906" s="36"/>
      <c r="C906" s="36"/>
      <c r="D906" s="36"/>
      <c r="E906" s="531"/>
      <c r="F906" s="531"/>
      <c r="G906" s="531"/>
    </row>
    <row r="907" spans="1:7" x14ac:dyDescent="0.3">
      <c r="A907" s="36"/>
      <c r="B907" s="36"/>
      <c r="C907" s="36"/>
      <c r="D907" s="36"/>
      <c r="E907" s="531"/>
      <c r="F907" s="531"/>
      <c r="G907" s="531"/>
    </row>
    <row r="908" spans="1:7" x14ac:dyDescent="0.3">
      <c r="A908" s="36"/>
      <c r="B908" s="36"/>
      <c r="C908" s="36"/>
      <c r="D908" s="36"/>
      <c r="E908" s="531"/>
      <c r="F908" s="531"/>
      <c r="G908" s="531"/>
    </row>
    <row r="909" spans="1:7" x14ac:dyDescent="0.3">
      <c r="A909" s="36"/>
      <c r="B909" s="36"/>
      <c r="C909" s="36"/>
      <c r="D909" s="36"/>
      <c r="E909" s="531"/>
      <c r="F909" s="531"/>
      <c r="G909" s="531"/>
    </row>
    <row r="910" spans="1:7" x14ac:dyDescent="0.3">
      <c r="A910" s="36"/>
      <c r="B910" s="36"/>
      <c r="C910" s="36"/>
      <c r="D910" s="36"/>
      <c r="E910" s="531"/>
      <c r="F910" s="531"/>
      <c r="G910" s="531"/>
    </row>
    <row r="911" spans="1:7" x14ac:dyDescent="0.3">
      <c r="A911" s="36"/>
      <c r="B911" s="36"/>
      <c r="C911" s="36"/>
      <c r="D911" s="36"/>
      <c r="E911" s="531"/>
      <c r="F911" s="531"/>
      <c r="G911" s="531"/>
    </row>
    <row r="912" spans="1:7" x14ac:dyDescent="0.3">
      <c r="A912" s="36"/>
      <c r="B912" s="36"/>
      <c r="C912" s="36"/>
      <c r="D912" s="36"/>
      <c r="E912" s="531"/>
      <c r="F912" s="531"/>
      <c r="G912" s="531"/>
    </row>
    <row r="913" spans="1:7" x14ac:dyDescent="0.3">
      <c r="A913" s="36"/>
      <c r="B913" s="36"/>
      <c r="C913" s="36"/>
      <c r="D913" s="36"/>
      <c r="E913" s="531"/>
      <c r="F913" s="531"/>
      <c r="G913" s="531"/>
    </row>
    <row r="914" spans="1:7" x14ac:dyDescent="0.3">
      <c r="A914" s="36"/>
      <c r="B914" s="36"/>
      <c r="C914" s="36"/>
      <c r="D914" s="36"/>
      <c r="E914" s="531"/>
      <c r="F914" s="531"/>
      <c r="G914" s="531"/>
    </row>
    <row r="915" spans="1:7" x14ac:dyDescent="0.3">
      <c r="A915" s="36"/>
      <c r="B915" s="36"/>
      <c r="C915" s="36"/>
      <c r="D915" s="36"/>
      <c r="E915" s="531"/>
      <c r="F915" s="531"/>
      <c r="G915" s="531"/>
    </row>
    <row r="916" spans="1:7" x14ac:dyDescent="0.3">
      <c r="A916" s="36"/>
      <c r="B916" s="36"/>
      <c r="C916" s="36"/>
      <c r="D916" s="36"/>
      <c r="E916" s="531"/>
      <c r="F916" s="531"/>
      <c r="G916" s="531"/>
    </row>
    <row r="917" spans="1:7" x14ac:dyDescent="0.3">
      <c r="A917" s="36"/>
      <c r="B917" s="36"/>
      <c r="C917" s="36"/>
      <c r="D917" s="36"/>
      <c r="E917" s="531"/>
      <c r="F917" s="531"/>
      <c r="G917" s="531"/>
    </row>
    <row r="918" spans="1:7" x14ac:dyDescent="0.3">
      <c r="A918" s="36"/>
      <c r="B918" s="36"/>
      <c r="C918" s="36"/>
      <c r="D918" s="36"/>
      <c r="E918" s="531"/>
      <c r="F918" s="531"/>
      <c r="G918" s="531"/>
    </row>
    <row r="919" spans="1:7" x14ac:dyDescent="0.3">
      <c r="A919" s="36"/>
      <c r="B919" s="36"/>
      <c r="C919" s="36"/>
      <c r="D919" s="36"/>
      <c r="E919" s="531"/>
      <c r="F919" s="531"/>
      <c r="G919" s="531"/>
    </row>
    <row r="920" spans="1:7" x14ac:dyDescent="0.3">
      <c r="A920" s="36"/>
      <c r="B920" s="36"/>
      <c r="C920" s="36"/>
      <c r="D920" s="36"/>
      <c r="E920" s="531"/>
      <c r="F920" s="531"/>
      <c r="G920" s="531"/>
    </row>
    <row r="921" spans="1:7" x14ac:dyDescent="0.3">
      <c r="A921" s="36"/>
      <c r="B921" s="36"/>
      <c r="C921" s="36"/>
      <c r="D921" s="36"/>
      <c r="E921" s="531"/>
      <c r="F921" s="531"/>
      <c r="G921" s="531"/>
    </row>
    <row r="922" spans="1:7" x14ac:dyDescent="0.3">
      <c r="A922" s="36"/>
      <c r="B922" s="36"/>
      <c r="C922" s="36"/>
      <c r="D922" s="36"/>
      <c r="E922" s="531"/>
      <c r="F922" s="531"/>
      <c r="G922" s="531"/>
    </row>
    <row r="923" spans="1:7" x14ac:dyDescent="0.3">
      <c r="A923" s="36"/>
      <c r="B923" s="36"/>
      <c r="C923" s="36"/>
      <c r="D923" s="36"/>
      <c r="E923" s="531"/>
      <c r="F923" s="531"/>
      <c r="G923" s="531"/>
    </row>
    <row r="924" spans="1:7" x14ac:dyDescent="0.3">
      <c r="A924" s="36"/>
      <c r="B924" s="36"/>
      <c r="C924" s="36"/>
      <c r="D924" s="36"/>
      <c r="E924" s="531"/>
      <c r="F924" s="531"/>
      <c r="G924" s="531"/>
    </row>
    <row r="925" spans="1:7" x14ac:dyDescent="0.3">
      <c r="A925" s="36"/>
      <c r="B925" s="36"/>
      <c r="C925" s="36"/>
      <c r="D925" s="36"/>
      <c r="E925" s="531"/>
      <c r="F925" s="531"/>
      <c r="G925" s="531"/>
    </row>
    <row r="926" spans="1:7" x14ac:dyDescent="0.3">
      <c r="A926" s="36"/>
      <c r="B926" s="36"/>
      <c r="C926" s="36"/>
      <c r="D926" s="36"/>
      <c r="E926" s="531"/>
      <c r="F926" s="531"/>
      <c r="G926" s="531"/>
    </row>
    <row r="927" spans="1:7" x14ac:dyDescent="0.3">
      <c r="A927" s="36"/>
      <c r="B927" s="36"/>
      <c r="C927" s="36"/>
      <c r="D927" s="36"/>
      <c r="E927" s="531"/>
      <c r="F927" s="531"/>
      <c r="G927" s="531"/>
    </row>
    <row r="928" spans="1:7" x14ac:dyDescent="0.3">
      <c r="A928" s="36"/>
      <c r="B928" s="36"/>
      <c r="C928" s="36"/>
      <c r="D928" s="36"/>
      <c r="E928" s="531"/>
      <c r="F928" s="531"/>
      <c r="G928" s="531"/>
    </row>
    <row r="929" spans="1:7" x14ac:dyDescent="0.3">
      <c r="A929" s="36"/>
      <c r="B929" s="36"/>
      <c r="C929" s="36"/>
      <c r="D929" s="36"/>
      <c r="E929" s="531"/>
      <c r="F929" s="531"/>
      <c r="G929" s="531"/>
    </row>
    <row r="930" spans="1:7" x14ac:dyDescent="0.3">
      <c r="A930" s="36"/>
      <c r="B930" s="36"/>
      <c r="C930" s="36"/>
      <c r="D930" s="36"/>
      <c r="E930" s="531"/>
      <c r="F930" s="531"/>
      <c r="G930" s="531"/>
    </row>
    <row r="931" spans="1:7" x14ac:dyDescent="0.3">
      <c r="A931" s="36"/>
      <c r="B931" s="36"/>
      <c r="C931" s="36"/>
      <c r="D931" s="36"/>
      <c r="E931" s="531"/>
      <c r="F931" s="531"/>
      <c r="G931" s="531"/>
    </row>
    <row r="932" spans="1:7" x14ac:dyDescent="0.3">
      <c r="A932" s="36"/>
      <c r="B932" s="36"/>
      <c r="C932" s="36"/>
      <c r="D932" s="36"/>
      <c r="E932" s="531"/>
      <c r="F932" s="531"/>
      <c r="G932" s="531"/>
    </row>
    <row r="933" spans="1:7" x14ac:dyDescent="0.3">
      <c r="A933" s="36"/>
      <c r="B933" s="36"/>
      <c r="C933" s="36"/>
      <c r="D933" s="36"/>
      <c r="E933" s="531"/>
      <c r="F933" s="531"/>
      <c r="G933" s="531"/>
    </row>
    <row r="934" spans="1:7" x14ac:dyDescent="0.3">
      <c r="A934" s="36"/>
      <c r="B934" s="36"/>
      <c r="C934" s="36"/>
      <c r="D934" s="36"/>
      <c r="E934" s="531"/>
      <c r="F934" s="531"/>
      <c r="G934" s="531"/>
    </row>
    <row r="935" spans="1:7" x14ac:dyDescent="0.3">
      <c r="A935" s="36"/>
      <c r="B935" s="36"/>
      <c r="C935" s="36"/>
      <c r="D935" s="36"/>
      <c r="E935" s="531"/>
      <c r="F935" s="531"/>
      <c r="G935" s="531"/>
    </row>
    <row r="936" spans="1:7" x14ac:dyDescent="0.3">
      <c r="A936" s="36"/>
      <c r="B936" s="36"/>
      <c r="C936" s="36"/>
      <c r="D936" s="36"/>
      <c r="E936" s="531"/>
      <c r="F936" s="531"/>
      <c r="G936" s="531"/>
    </row>
    <row r="937" spans="1:7" x14ac:dyDescent="0.3">
      <c r="A937" s="36"/>
      <c r="B937" s="36"/>
      <c r="C937" s="36"/>
      <c r="D937" s="36"/>
      <c r="E937" s="531"/>
      <c r="F937" s="531"/>
      <c r="G937" s="531"/>
    </row>
    <row r="938" spans="1:7" x14ac:dyDescent="0.3">
      <c r="A938" s="36"/>
      <c r="B938" s="36"/>
      <c r="C938" s="36"/>
      <c r="D938" s="36"/>
      <c r="E938" s="531"/>
      <c r="F938" s="531"/>
      <c r="G938" s="531"/>
    </row>
    <row r="939" spans="1:7" x14ac:dyDescent="0.3">
      <c r="A939" s="36"/>
      <c r="B939" s="36"/>
      <c r="C939" s="36"/>
      <c r="D939" s="36"/>
      <c r="E939" s="531"/>
      <c r="F939" s="531"/>
      <c r="G939" s="531"/>
    </row>
    <row r="940" spans="1:7" x14ac:dyDescent="0.3">
      <c r="A940" s="36"/>
      <c r="B940" s="36"/>
      <c r="C940" s="36"/>
      <c r="D940" s="36"/>
      <c r="E940" s="531"/>
      <c r="F940" s="531"/>
      <c r="G940" s="531"/>
    </row>
    <row r="941" spans="1:7" x14ac:dyDescent="0.3">
      <c r="A941" s="36"/>
      <c r="B941" s="36"/>
      <c r="C941" s="36"/>
      <c r="D941" s="36"/>
      <c r="E941" s="531"/>
      <c r="F941" s="531"/>
      <c r="G941" s="531"/>
    </row>
    <row r="942" spans="1:7" x14ac:dyDescent="0.3">
      <c r="A942" s="36"/>
      <c r="B942" s="36"/>
      <c r="C942" s="36"/>
      <c r="D942" s="36"/>
      <c r="E942" s="531"/>
      <c r="F942" s="531"/>
      <c r="G942" s="531"/>
    </row>
    <row r="943" spans="1:7" x14ac:dyDescent="0.3">
      <c r="A943" s="36"/>
      <c r="B943" s="36"/>
      <c r="C943" s="36"/>
      <c r="D943" s="36"/>
      <c r="E943" s="531"/>
      <c r="F943" s="531"/>
      <c r="G943" s="531"/>
    </row>
    <row r="944" spans="1:7" x14ac:dyDescent="0.3">
      <c r="A944" s="36"/>
      <c r="B944" s="36"/>
      <c r="C944" s="36"/>
      <c r="D944" s="36"/>
      <c r="E944" s="531"/>
      <c r="F944" s="531"/>
      <c r="G944" s="531"/>
    </row>
    <row r="945" spans="1:7" x14ac:dyDescent="0.3">
      <c r="A945" s="36"/>
      <c r="B945" s="36"/>
      <c r="C945" s="36"/>
      <c r="D945" s="36"/>
      <c r="E945" s="531"/>
      <c r="F945" s="531"/>
      <c r="G945" s="531"/>
    </row>
    <row r="946" spans="1:7" x14ac:dyDescent="0.3">
      <c r="A946" s="36"/>
      <c r="B946" s="36"/>
      <c r="C946" s="36"/>
      <c r="D946" s="36"/>
      <c r="E946" s="531"/>
      <c r="F946" s="531"/>
      <c r="G946" s="531"/>
    </row>
    <row r="947" spans="1:7" x14ac:dyDescent="0.3">
      <c r="A947" s="36"/>
      <c r="B947" s="36"/>
      <c r="C947" s="36"/>
      <c r="D947" s="36"/>
      <c r="E947" s="531"/>
      <c r="F947" s="531"/>
      <c r="G947" s="531"/>
    </row>
    <row r="948" spans="1:7" x14ac:dyDescent="0.3">
      <c r="A948" s="36"/>
      <c r="B948" s="36"/>
      <c r="C948" s="36"/>
      <c r="D948" s="36"/>
      <c r="E948" s="531"/>
      <c r="F948" s="531"/>
      <c r="G948" s="531"/>
    </row>
    <row r="949" spans="1:7" x14ac:dyDescent="0.3">
      <c r="A949" s="36"/>
      <c r="B949" s="36"/>
      <c r="C949" s="36"/>
      <c r="D949" s="36"/>
      <c r="E949" s="531"/>
      <c r="F949" s="531"/>
      <c r="G949" s="531"/>
    </row>
    <row r="950" spans="1:7" x14ac:dyDescent="0.3">
      <c r="A950" s="36"/>
      <c r="B950" s="36"/>
      <c r="C950" s="36"/>
      <c r="D950" s="36"/>
      <c r="E950" s="531"/>
      <c r="F950" s="531"/>
      <c r="G950" s="531"/>
    </row>
    <row r="951" spans="1:7" x14ac:dyDescent="0.3">
      <c r="A951" s="36"/>
      <c r="B951" s="36"/>
      <c r="C951" s="36"/>
      <c r="D951" s="36"/>
      <c r="E951" s="531"/>
      <c r="F951" s="531"/>
      <c r="G951" s="531"/>
    </row>
    <row r="952" spans="1:7" x14ac:dyDescent="0.3">
      <c r="A952" s="36"/>
      <c r="B952" s="36"/>
      <c r="C952" s="36"/>
      <c r="D952" s="36"/>
      <c r="E952" s="531"/>
      <c r="F952" s="531"/>
      <c r="G952" s="531"/>
    </row>
    <row r="953" spans="1:7" x14ac:dyDescent="0.3">
      <c r="A953" s="36"/>
      <c r="B953" s="36"/>
      <c r="C953" s="36"/>
      <c r="D953" s="36"/>
      <c r="E953" s="531"/>
      <c r="F953" s="531"/>
      <c r="G953" s="531"/>
    </row>
    <row r="954" spans="1:7" x14ac:dyDescent="0.3">
      <c r="A954" s="36"/>
      <c r="B954" s="36"/>
      <c r="C954" s="36"/>
      <c r="D954" s="36"/>
      <c r="E954" s="531"/>
      <c r="F954" s="531"/>
      <c r="G954" s="531"/>
    </row>
    <row r="955" spans="1:7" x14ac:dyDescent="0.3">
      <c r="A955" s="36"/>
      <c r="B955" s="36"/>
      <c r="C955" s="36"/>
      <c r="D955" s="36"/>
      <c r="E955" s="531"/>
      <c r="F955" s="531"/>
      <c r="G955" s="531"/>
    </row>
    <row r="956" spans="1:7" x14ac:dyDescent="0.3">
      <c r="A956" s="36"/>
      <c r="B956" s="36"/>
      <c r="C956" s="36"/>
      <c r="D956" s="36"/>
      <c r="E956" s="531"/>
      <c r="F956" s="531"/>
      <c r="G956" s="531"/>
    </row>
    <row r="957" spans="1:7" x14ac:dyDescent="0.3">
      <c r="A957" s="36"/>
      <c r="B957" s="36"/>
      <c r="C957" s="36"/>
      <c r="D957" s="36"/>
      <c r="E957" s="531"/>
      <c r="F957" s="531"/>
      <c r="G957" s="531"/>
    </row>
    <row r="958" spans="1:7" x14ac:dyDescent="0.3">
      <c r="A958" s="36"/>
      <c r="B958" s="36"/>
      <c r="C958" s="36"/>
      <c r="D958" s="36"/>
      <c r="E958" s="531"/>
      <c r="F958" s="531"/>
      <c r="G958" s="531"/>
    </row>
    <row r="959" spans="1:7" x14ac:dyDescent="0.3">
      <c r="A959" s="36"/>
      <c r="B959" s="36"/>
      <c r="C959" s="36"/>
      <c r="D959" s="36"/>
      <c r="E959" s="531"/>
      <c r="F959" s="531"/>
      <c r="G959" s="531"/>
    </row>
    <row r="960" spans="1:7" x14ac:dyDescent="0.3">
      <c r="A960" s="36"/>
      <c r="B960" s="36"/>
      <c r="C960" s="36"/>
      <c r="D960" s="36"/>
      <c r="E960" s="531"/>
      <c r="F960" s="531"/>
      <c r="G960" s="531"/>
    </row>
    <row r="961" spans="1:7" x14ac:dyDescent="0.3">
      <c r="A961" s="36"/>
      <c r="B961" s="36"/>
      <c r="C961" s="36"/>
      <c r="D961" s="36"/>
      <c r="E961" s="531"/>
      <c r="F961" s="531"/>
      <c r="G961" s="531"/>
    </row>
    <row r="962" spans="1:7" x14ac:dyDescent="0.3">
      <c r="A962" s="36"/>
      <c r="B962" s="36"/>
      <c r="C962" s="36"/>
      <c r="D962" s="36"/>
      <c r="E962" s="531"/>
      <c r="F962" s="531"/>
      <c r="G962" s="531"/>
    </row>
    <row r="963" spans="1:7" x14ac:dyDescent="0.3">
      <c r="A963" s="36"/>
      <c r="B963" s="36"/>
      <c r="C963" s="36"/>
      <c r="D963" s="36"/>
      <c r="E963" s="531"/>
      <c r="F963" s="531"/>
      <c r="G963" s="531"/>
    </row>
    <row r="964" spans="1:7" x14ac:dyDescent="0.3">
      <c r="A964" s="36"/>
      <c r="B964" s="36"/>
      <c r="C964" s="36"/>
      <c r="D964" s="36"/>
      <c r="E964" s="531"/>
      <c r="F964" s="531"/>
      <c r="G964" s="531"/>
    </row>
    <row r="965" spans="1:7" x14ac:dyDescent="0.3">
      <c r="A965" s="36"/>
      <c r="B965" s="36"/>
      <c r="C965" s="36"/>
      <c r="D965" s="36"/>
      <c r="E965" s="531"/>
      <c r="F965" s="531"/>
      <c r="G965" s="531"/>
    </row>
    <row r="966" spans="1:7" x14ac:dyDescent="0.3">
      <c r="A966" s="36"/>
      <c r="B966" s="36"/>
      <c r="C966" s="36"/>
      <c r="D966" s="36"/>
      <c r="E966" s="531"/>
      <c r="F966" s="531"/>
      <c r="G966" s="531"/>
    </row>
    <row r="967" spans="1:7" x14ac:dyDescent="0.3">
      <c r="A967" s="36"/>
      <c r="B967" s="36"/>
      <c r="C967" s="36"/>
      <c r="D967" s="36"/>
      <c r="E967" s="531"/>
      <c r="F967" s="531"/>
      <c r="G967" s="531"/>
    </row>
    <row r="968" spans="1:7" x14ac:dyDescent="0.3">
      <c r="A968" s="36"/>
      <c r="B968" s="36"/>
      <c r="C968" s="36"/>
      <c r="D968" s="36"/>
      <c r="E968" s="531"/>
      <c r="F968" s="531"/>
      <c r="G968" s="531"/>
    </row>
    <row r="969" spans="1:7" x14ac:dyDescent="0.3">
      <c r="A969" s="36"/>
      <c r="B969" s="36"/>
      <c r="C969" s="36"/>
      <c r="D969" s="36"/>
      <c r="E969" s="531"/>
      <c r="F969" s="531"/>
      <c r="G969" s="531"/>
    </row>
    <row r="970" spans="1:7" x14ac:dyDescent="0.3">
      <c r="A970" s="36"/>
      <c r="B970" s="36"/>
      <c r="C970" s="36"/>
      <c r="D970" s="36"/>
      <c r="E970" s="531"/>
      <c r="F970" s="531"/>
      <c r="G970" s="531"/>
    </row>
    <row r="971" spans="1:7" x14ac:dyDescent="0.3">
      <c r="A971" s="36"/>
      <c r="B971" s="36"/>
      <c r="C971" s="36"/>
      <c r="D971" s="36"/>
      <c r="E971" s="531"/>
      <c r="F971" s="531"/>
      <c r="G971" s="531"/>
    </row>
    <row r="972" spans="1:7" x14ac:dyDescent="0.3">
      <c r="A972" s="36"/>
      <c r="B972" s="36"/>
      <c r="C972" s="36"/>
      <c r="D972" s="36"/>
      <c r="E972" s="531"/>
      <c r="F972" s="531"/>
      <c r="G972" s="531"/>
    </row>
    <row r="973" spans="1:7" x14ac:dyDescent="0.3">
      <c r="A973" s="36"/>
      <c r="B973" s="36"/>
      <c r="C973" s="36"/>
      <c r="D973" s="36"/>
      <c r="E973" s="531"/>
      <c r="F973" s="531"/>
      <c r="G973" s="531"/>
    </row>
    <row r="974" spans="1:7" x14ac:dyDescent="0.3">
      <c r="A974" s="36"/>
      <c r="B974" s="36"/>
      <c r="C974" s="36"/>
      <c r="D974" s="36"/>
      <c r="E974" s="531"/>
      <c r="F974" s="531"/>
      <c r="G974" s="531"/>
    </row>
    <row r="975" spans="1:7" x14ac:dyDescent="0.3">
      <c r="A975" s="36"/>
      <c r="B975" s="36"/>
      <c r="C975" s="36"/>
      <c r="D975" s="36"/>
      <c r="E975" s="531"/>
      <c r="F975" s="531"/>
      <c r="G975" s="531"/>
    </row>
    <row r="976" spans="1:7" x14ac:dyDescent="0.3">
      <c r="A976" s="36"/>
      <c r="B976" s="36"/>
      <c r="C976" s="36"/>
      <c r="D976" s="36"/>
      <c r="E976" s="531"/>
      <c r="F976" s="531"/>
      <c r="G976" s="531"/>
    </row>
    <row r="977" spans="1:7" x14ac:dyDescent="0.3">
      <c r="A977" s="36"/>
      <c r="B977" s="36"/>
      <c r="C977" s="36"/>
      <c r="D977" s="36"/>
      <c r="E977" s="531"/>
      <c r="F977" s="531"/>
      <c r="G977" s="531"/>
    </row>
    <row r="978" spans="1:7" x14ac:dyDescent="0.3">
      <c r="A978" s="36"/>
      <c r="B978" s="36"/>
      <c r="C978" s="36"/>
      <c r="D978" s="36"/>
      <c r="E978" s="531"/>
      <c r="F978" s="531"/>
      <c r="G978" s="531"/>
    </row>
    <row r="979" spans="1:7" x14ac:dyDescent="0.3">
      <c r="A979" s="36"/>
      <c r="B979" s="36"/>
      <c r="C979" s="36"/>
      <c r="D979" s="36"/>
      <c r="E979" s="531"/>
      <c r="F979" s="531"/>
      <c r="G979" s="531"/>
    </row>
    <row r="980" spans="1:7" x14ac:dyDescent="0.3">
      <c r="A980" s="36"/>
      <c r="B980" s="36"/>
      <c r="C980" s="36"/>
      <c r="D980" s="36"/>
      <c r="E980" s="531"/>
      <c r="F980" s="531"/>
      <c r="G980" s="531"/>
    </row>
    <row r="981" spans="1:7" x14ac:dyDescent="0.3">
      <c r="A981" s="36"/>
      <c r="B981" s="36"/>
      <c r="C981" s="36"/>
      <c r="D981" s="36"/>
      <c r="E981" s="531"/>
      <c r="F981" s="531"/>
      <c r="G981" s="531"/>
    </row>
    <row r="982" spans="1:7" x14ac:dyDescent="0.3">
      <c r="A982" s="36"/>
      <c r="B982" s="36"/>
      <c r="C982" s="36"/>
      <c r="D982" s="36"/>
      <c r="E982" s="531"/>
      <c r="F982" s="531"/>
      <c r="G982" s="531"/>
    </row>
    <row r="983" spans="1:7" x14ac:dyDescent="0.3">
      <c r="A983" s="36"/>
      <c r="B983" s="36"/>
      <c r="C983" s="36"/>
      <c r="D983" s="36"/>
      <c r="E983" s="531"/>
      <c r="F983" s="531"/>
      <c r="G983" s="531"/>
    </row>
    <row r="984" spans="1:7" x14ac:dyDescent="0.3">
      <c r="A984" s="36"/>
      <c r="B984" s="36"/>
      <c r="C984" s="36"/>
      <c r="D984" s="36"/>
      <c r="E984" s="531"/>
      <c r="F984" s="531"/>
      <c r="G984" s="531"/>
    </row>
    <row r="985" spans="1:7" x14ac:dyDescent="0.3">
      <c r="A985" s="36"/>
      <c r="B985" s="36"/>
      <c r="C985" s="36"/>
      <c r="D985" s="36"/>
      <c r="E985" s="531"/>
      <c r="F985" s="531"/>
      <c r="G985" s="531"/>
    </row>
    <row r="986" spans="1:7" x14ac:dyDescent="0.3">
      <c r="A986" s="36"/>
      <c r="B986" s="36"/>
      <c r="C986" s="36"/>
      <c r="D986" s="36"/>
      <c r="E986" s="531"/>
      <c r="F986" s="531"/>
      <c r="G986" s="531"/>
    </row>
    <row r="987" spans="1:7" x14ac:dyDescent="0.3">
      <c r="A987" s="36"/>
      <c r="B987" s="36"/>
      <c r="C987" s="36"/>
      <c r="D987" s="36"/>
      <c r="E987" s="531"/>
      <c r="F987" s="531"/>
      <c r="G987" s="531"/>
    </row>
    <row r="988" spans="1:7" x14ac:dyDescent="0.3">
      <c r="A988" s="36"/>
      <c r="B988" s="36"/>
      <c r="C988" s="36"/>
      <c r="D988" s="36"/>
      <c r="E988" s="531"/>
      <c r="F988" s="531"/>
      <c r="G988" s="531"/>
    </row>
    <row r="989" spans="1:7" x14ac:dyDescent="0.3">
      <c r="A989" s="36"/>
      <c r="B989" s="36"/>
      <c r="C989" s="36"/>
      <c r="D989" s="36"/>
      <c r="E989" s="531"/>
      <c r="F989" s="531"/>
      <c r="G989" s="531"/>
    </row>
    <row r="990" spans="1:7" x14ac:dyDescent="0.3">
      <c r="A990" s="36"/>
      <c r="B990" s="36"/>
      <c r="C990" s="36"/>
      <c r="D990" s="36"/>
      <c r="E990" s="531"/>
      <c r="F990" s="531"/>
      <c r="G990" s="531"/>
    </row>
    <row r="991" spans="1:7" x14ac:dyDescent="0.3">
      <c r="A991" s="36"/>
      <c r="B991" s="36"/>
      <c r="C991" s="36"/>
      <c r="D991" s="36"/>
      <c r="E991" s="531"/>
      <c r="F991" s="531"/>
      <c r="G991" s="531"/>
    </row>
    <row r="992" spans="1:7" x14ac:dyDescent="0.3">
      <c r="A992" s="36"/>
      <c r="B992" s="36"/>
      <c r="C992" s="36"/>
      <c r="D992" s="36"/>
      <c r="E992" s="531"/>
      <c r="F992" s="531"/>
      <c r="G992" s="531"/>
    </row>
    <row r="993" spans="1:7" x14ac:dyDescent="0.3">
      <c r="A993" s="36"/>
      <c r="B993" s="36"/>
      <c r="C993" s="36"/>
      <c r="D993" s="36"/>
      <c r="E993" s="531"/>
      <c r="F993" s="531"/>
      <c r="G993" s="531"/>
    </row>
    <row r="994" spans="1:7" x14ac:dyDescent="0.3">
      <c r="A994" s="36"/>
      <c r="B994" s="36"/>
      <c r="C994" s="36"/>
      <c r="D994" s="36"/>
      <c r="E994" s="531"/>
      <c r="F994" s="531"/>
      <c r="G994" s="531"/>
    </row>
    <row r="995" spans="1:7" x14ac:dyDescent="0.3">
      <c r="A995" s="36"/>
      <c r="B995" s="36"/>
      <c r="C995" s="36"/>
      <c r="D995" s="36"/>
      <c r="E995" s="531"/>
      <c r="F995" s="531"/>
      <c r="G995" s="531"/>
    </row>
    <row r="996" spans="1:7" x14ac:dyDescent="0.3">
      <c r="A996" s="36"/>
      <c r="B996" s="36"/>
      <c r="C996" s="36"/>
      <c r="D996" s="36"/>
      <c r="E996" s="531"/>
      <c r="F996" s="531"/>
      <c r="G996" s="531"/>
    </row>
    <row r="997" spans="1:7" x14ac:dyDescent="0.3">
      <c r="A997" s="36"/>
      <c r="B997" s="36"/>
      <c r="C997" s="36"/>
      <c r="D997" s="36"/>
      <c r="E997" s="531"/>
      <c r="F997" s="531"/>
      <c r="G997" s="531"/>
    </row>
    <row r="998" spans="1:7" x14ac:dyDescent="0.3">
      <c r="A998" s="36"/>
      <c r="B998" s="36"/>
      <c r="C998" s="36"/>
      <c r="D998" s="36"/>
      <c r="E998" s="531"/>
      <c r="F998" s="531"/>
      <c r="G998" s="531"/>
    </row>
    <row r="999" spans="1:7" x14ac:dyDescent="0.3">
      <c r="A999" s="36"/>
      <c r="B999" s="36"/>
      <c r="C999" s="36"/>
      <c r="D999" s="36"/>
      <c r="E999" s="531"/>
      <c r="F999" s="531"/>
      <c r="G999" s="531"/>
    </row>
    <row r="1000" spans="1:7" x14ac:dyDescent="0.3">
      <c r="A1000" s="36"/>
      <c r="B1000" s="36"/>
      <c r="C1000" s="36"/>
      <c r="D1000" s="36"/>
      <c r="E1000" s="531"/>
      <c r="F1000" s="531"/>
      <c r="G1000" s="531"/>
    </row>
    <row r="1001" spans="1:7" x14ac:dyDescent="0.3">
      <c r="A1001" s="36"/>
      <c r="B1001" s="36"/>
      <c r="C1001" s="36"/>
      <c r="D1001" s="36"/>
      <c r="E1001" s="531"/>
      <c r="F1001" s="531"/>
      <c r="G1001" s="531"/>
    </row>
    <row r="1002" spans="1:7" x14ac:dyDescent="0.3">
      <c r="A1002" s="36"/>
      <c r="B1002" s="36"/>
      <c r="C1002" s="36"/>
      <c r="D1002" s="36"/>
      <c r="E1002" s="531"/>
      <c r="F1002" s="531"/>
      <c r="G1002" s="531"/>
    </row>
    <row r="1003" spans="1:7" x14ac:dyDescent="0.3">
      <c r="A1003" s="36"/>
      <c r="B1003" s="36"/>
      <c r="C1003" s="36"/>
      <c r="D1003" s="36"/>
      <c r="E1003" s="531"/>
      <c r="F1003" s="531"/>
      <c r="G1003" s="531"/>
    </row>
    <row r="1004" spans="1:7" x14ac:dyDescent="0.3">
      <c r="A1004" s="36"/>
      <c r="B1004" s="36"/>
      <c r="C1004" s="36"/>
      <c r="D1004" s="36"/>
      <c r="E1004" s="531"/>
      <c r="F1004" s="531"/>
      <c r="G1004" s="531"/>
    </row>
    <row r="1005" spans="1:7" x14ac:dyDescent="0.3">
      <c r="A1005" s="36"/>
      <c r="B1005" s="36"/>
      <c r="C1005" s="36"/>
      <c r="D1005" s="36"/>
      <c r="E1005" s="531"/>
      <c r="F1005" s="531"/>
      <c r="G1005" s="531"/>
    </row>
    <row r="1006" spans="1:7" x14ac:dyDescent="0.3">
      <c r="A1006" s="36"/>
      <c r="B1006" s="36"/>
      <c r="C1006" s="36"/>
      <c r="D1006" s="36"/>
      <c r="E1006" s="531"/>
      <c r="F1006" s="531"/>
      <c r="G1006" s="531"/>
    </row>
    <row r="1007" spans="1:7" x14ac:dyDescent="0.3">
      <c r="A1007" s="36"/>
      <c r="B1007" s="36"/>
      <c r="C1007" s="36"/>
      <c r="D1007" s="36"/>
      <c r="E1007" s="531"/>
      <c r="F1007" s="531"/>
      <c r="G1007" s="531"/>
    </row>
    <row r="1008" spans="1:7" x14ac:dyDescent="0.3">
      <c r="A1008" s="36"/>
      <c r="B1008" s="36"/>
      <c r="C1008" s="36"/>
      <c r="D1008" s="36"/>
      <c r="E1008" s="531"/>
      <c r="F1008" s="531"/>
      <c r="G1008" s="531"/>
    </row>
    <row r="1009" spans="1:7" x14ac:dyDescent="0.3">
      <c r="A1009" s="36"/>
      <c r="B1009" s="36"/>
      <c r="C1009" s="36"/>
      <c r="D1009" s="36"/>
      <c r="E1009" s="531"/>
      <c r="F1009" s="531"/>
      <c r="G1009" s="531"/>
    </row>
    <row r="1010" spans="1:7" x14ac:dyDescent="0.3">
      <c r="A1010" s="36"/>
      <c r="B1010" s="36"/>
      <c r="C1010" s="36"/>
      <c r="D1010" s="36"/>
      <c r="E1010" s="531"/>
      <c r="F1010" s="531"/>
      <c r="G1010" s="531"/>
    </row>
    <row r="1011" spans="1:7" x14ac:dyDescent="0.3">
      <c r="A1011" s="36"/>
      <c r="B1011" s="36"/>
      <c r="C1011" s="36"/>
      <c r="D1011" s="36"/>
      <c r="E1011" s="531"/>
      <c r="F1011" s="531"/>
      <c r="G1011" s="531"/>
    </row>
    <row r="1012" spans="1:7" x14ac:dyDescent="0.3">
      <c r="A1012" s="36"/>
      <c r="B1012" s="36"/>
      <c r="C1012" s="36"/>
      <c r="D1012" s="36"/>
      <c r="E1012" s="531"/>
      <c r="F1012" s="531"/>
      <c r="G1012" s="531"/>
    </row>
    <row r="1013" spans="1:7" x14ac:dyDescent="0.3">
      <c r="A1013" s="36"/>
      <c r="B1013" s="36"/>
      <c r="C1013" s="36"/>
      <c r="D1013" s="36"/>
      <c r="E1013" s="531"/>
      <c r="F1013" s="531"/>
      <c r="G1013" s="531"/>
    </row>
    <row r="1014" spans="1:7" x14ac:dyDescent="0.3">
      <c r="A1014" s="36"/>
      <c r="B1014" s="36"/>
      <c r="C1014" s="36"/>
      <c r="D1014" s="36"/>
      <c r="E1014" s="531"/>
      <c r="F1014" s="531"/>
      <c r="G1014" s="531"/>
    </row>
    <row r="1015" spans="1:7" x14ac:dyDescent="0.3">
      <c r="A1015" s="36"/>
      <c r="B1015" s="36"/>
      <c r="C1015" s="36"/>
      <c r="D1015" s="36"/>
      <c r="E1015" s="531"/>
      <c r="F1015" s="531"/>
      <c r="G1015" s="531"/>
    </row>
    <row r="1016" spans="1:7" x14ac:dyDescent="0.3">
      <c r="A1016" s="36"/>
      <c r="B1016" s="36"/>
      <c r="C1016" s="36"/>
      <c r="D1016" s="36"/>
      <c r="E1016" s="531"/>
      <c r="F1016" s="531"/>
      <c r="G1016" s="531"/>
    </row>
    <row r="1017" spans="1:7" x14ac:dyDescent="0.3">
      <c r="A1017" s="36"/>
      <c r="B1017" s="36"/>
      <c r="C1017" s="36"/>
      <c r="D1017" s="36"/>
      <c r="E1017" s="531"/>
      <c r="F1017" s="531"/>
      <c r="G1017" s="531"/>
    </row>
    <row r="1018" spans="1:7" x14ac:dyDescent="0.3">
      <c r="A1018" s="36"/>
      <c r="B1018" s="36"/>
      <c r="C1018" s="36"/>
      <c r="D1018" s="36"/>
      <c r="E1018" s="531"/>
      <c r="F1018" s="531"/>
      <c r="G1018" s="531"/>
    </row>
    <row r="1019" spans="1:7" x14ac:dyDescent="0.3">
      <c r="A1019" s="36"/>
      <c r="B1019" s="36"/>
      <c r="C1019" s="36"/>
      <c r="D1019" s="36"/>
      <c r="E1019" s="531"/>
      <c r="F1019" s="531"/>
      <c r="G1019" s="531"/>
    </row>
    <row r="1020" spans="1:7" x14ac:dyDescent="0.3">
      <c r="A1020" s="36"/>
      <c r="B1020" s="36"/>
      <c r="C1020" s="36"/>
      <c r="D1020" s="36"/>
      <c r="E1020" s="531"/>
      <c r="F1020" s="531"/>
      <c r="G1020" s="531"/>
    </row>
    <row r="1021" spans="1:7" x14ac:dyDescent="0.3">
      <c r="A1021" s="36"/>
      <c r="B1021" s="36"/>
      <c r="C1021" s="36"/>
      <c r="D1021" s="36"/>
      <c r="E1021" s="531"/>
      <c r="F1021" s="531"/>
      <c r="G1021" s="531"/>
    </row>
    <row r="1022" spans="1:7" x14ac:dyDescent="0.3">
      <c r="A1022" s="36"/>
      <c r="B1022" s="36"/>
      <c r="C1022" s="36"/>
      <c r="D1022" s="36"/>
      <c r="E1022" s="531"/>
      <c r="F1022" s="531"/>
      <c r="G1022" s="531"/>
    </row>
    <row r="1023" spans="1:7" x14ac:dyDescent="0.3">
      <c r="A1023" s="36"/>
      <c r="B1023" s="36"/>
      <c r="C1023" s="36"/>
      <c r="D1023" s="36"/>
      <c r="E1023" s="531"/>
      <c r="F1023" s="531"/>
      <c r="G1023" s="531"/>
    </row>
    <row r="1024" spans="1:7" x14ac:dyDescent="0.3">
      <c r="A1024" s="36"/>
      <c r="B1024" s="36"/>
      <c r="C1024" s="36"/>
      <c r="D1024" s="36"/>
      <c r="E1024" s="531"/>
      <c r="F1024" s="531"/>
      <c r="G1024" s="531"/>
    </row>
    <row r="1025" spans="1:7" x14ac:dyDescent="0.3">
      <c r="A1025" s="36"/>
      <c r="B1025" s="36"/>
      <c r="C1025" s="36"/>
      <c r="D1025" s="36"/>
      <c r="E1025" s="531"/>
      <c r="F1025" s="531"/>
      <c r="G1025" s="531"/>
    </row>
    <row r="1026" spans="1:7" x14ac:dyDescent="0.3">
      <c r="A1026" s="36"/>
      <c r="B1026" s="36"/>
      <c r="C1026" s="36"/>
      <c r="D1026" s="36"/>
      <c r="E1026" s="531"/>
      <c r="F1026" s="531"/>
      <c r="G1026" s="531"/>
    </row>
    <row r="1027" spans="1:7" x14ac:dyDescent="0.3">
      <c r="A1027" s="36"/>
      <c r="B1027" s="36"/>
      <c r="C1027" s="36"/>
      <c r="D1027" s="36"/>
      <c r="E1027" s="531"/>
      <c r="F1027" s="531"/>
      <c r="G1027" s="531"/>
    </row>
    <row r="1028" spans="1:7" x14ac:dyDescent="0.3">
      <c r="A1028" s="36"/>
      <c r="B1028" s="36"/>
      <c r="C1028" s="36"/>
      <c r="D1028" s="36"/>
      <c r="E1028" s="531"/>
      <c r="F1028" s="531"/>
      <c r="G1028" s="531"/>
    </row>
    <row r="1029" spans="1:7" x14ac:dyDescent="0.3">
      <c r="A1029" s="36"/>
      <c r="B1029" s="36"/>
      <c r="C1029" s="36"/>
      <c r="D1029" s="36"/>
      <c r="E1029" s="531"/>
      <c r="F1029" s="531"/>
      <c r="G1029" s="531"/>
    </row>
    <row r="1030" spans="1:7" x14ac:dyDescent="0.3">
      <c r="A1030" s="36"/>
      <c r="B1030" s="36"/>
      <c r="C1030" s="36"/>
      <c r="D1030" s="36"/>
      <c r="E1030" s="531"/>
      <c r="F1030" s="531"/>
      <c r="G1030" s="531"/>
    </row>
    <row r="1031" spans="1:7" x14ac:dyDescent="0.3">
      <c r="A1031" s="36"/>
      <c r="B1031" s="36"/>
      <c r="C1031" s="36"/>
      <c r="D1031" s="36"/>
      <c r="E1031" s="531"/>
      <c r="F1031" s="531"/>
      <c r="G1031" s="531"/>
    </row>
    <row r="1032" spans="1:7" x14ac:dyDescent="0.3">
      <c r="A1032" s="36"/>
      <c r="B1032" s="36"/>
      <c r="C1032" s="36"/>
      <c r="D1032" s="36"/>
      <c r="E1032" s="531"/>
      <c r="F1032" s="531"/>
      <c r="G1032" s="531"/>
    </row>
    <row r="1033" spans="1:7" x14ac:dyDescent="0.3">
      <c r="A1033" s="36"/>
      <c r="B1033" s="36"/>
      <c r="C1033" s="36"/>
      <c r="D1033" s="36"/>
      <c r="E1033" s="531"/>
      <c r="F1033" s="531"/>
      <c r="G1033" s="531"/>
    </row>
    <row r="1034" spans="1:7" x14ac:dyDescent="0.3">
      <c r="A1034" s="36"/>
      <c r="B1034" s="36"/>
      <c r="C1034" s="36"/>
      <c r="D1034" s="36"/>
      <c r="E1034" s="531"/>
      <c r="F1034" s="531"/>
      <c r="G1034" s="531"/>
    </row>
    <row r="1035" spans="1:7" x14ac:dyDescent="0.3">
      <c r="A1035" s="36"/>
      <c r="B1035" s="36"/>
      <c r="C1035" s="36"/>
      <c r="D1035" s="36"/>
      <c r="E1035" s="531"/>
      <c r="F1035" s="531"/>
      <c r="G1035" s="531"/>
    </row>
    <row r="1036" spans="1:7" x14ac:dyDescent="0.3">
      <c r="A1036" s="36"/>
      <c r="B1036" s="36"/>
      <c r="C1036" s="36"/>
      <c r="D1036" s="36"/>
      <c r="E1036" s="531"/>
      <c r="F1036" s="531"/>
      <c r="G1036" s="531"/>
    </row>
    <row r="1037" spans="1:7" x14ac:dyDescent="0.3">
      <c r="A1037" s="36"/>
      <c r="B1037" s="36"/>
      <c r="C1037" s="36"/>
      <c r="D1037" s="36"/>
      <c r="E1037" s="531"/>
      <c r="F1037" s="531"/>
      <c r="G1037" s="531"/>
    </row>
    <row r="1038" spans="1:7" x14ac:dyDescent="0.3">
      <c r="A1038" s="36"/>
      <c r="B1038" s="36"/>
      <c r="C1038" s="36"/>
      <c r="D1038" s="36"/>
      <c r="E1038" s="531"/>
      <c r="F1038" s="531"/>
      <c r="G1038" s="531"/>
    </row>
    <row r="1039" spans="1:7" x14ac:dyDescent="0.3">
      <c r="A1039" s="36"/>
      <c r="B1039" s="36"/>
      <c r="C1039" s="36"/>
      <c r="D1039" s="36"/>
      <c r="E1039" s="531"/>
      <c r="F1039" s="531"/>
      <c r="G1039" s="531"/>
    </row>
    <row r="1040" spans="1:7" x14ac:dyDescent="0.3">
      <c r="A1040" s="36"/>
      <c r="B1040" s="36"/>
      <c r="C1040" s="36"/>
      <c r="D1040" s="36"/>
      <c r="E1040" s="531"/>
      <c r="F1040" s="531"/>
      <c r="G1040" s="531"/>
    </row>
    <row r="1041" spans="1:7" x14ac:dyDescent="0.3">
      <c r="A1041" s="36"/>
      <c r="B1041" s="36"/>
      <c r="C1041" s="36"/>
      <c r="D1041" s="36"/>
      <c r="E1041" s="531"/>
      <c r="F1041" s="531"/>
      <c r="G1041" s="531"/>
    </row>
    <row r="1042" spans="1:7" x14ac:dyDescent="0.3">
      <c r="A1042" s="36"/>
      <c r="B1042" s="36"/>
      <c r="C1042" s="36"/>
      <c r="D1042" s="36"/>
      <c r="E1042" s="531"/>
      <c r="F1042" s="531"/>
      <c r="G1042" s="531"/>
    </row>
    <row r="1043" spans="1:7" x14ac:dyDescent="0.3">
      <c r="A1043" s="36"/>
      <c r="B1043" s="36"/>
      <c r="C1043" s="36"/>
      <c r="D1043" s="36"/>
      <c r="E1043" s="531"/>
      <c r="F1043" s="531"/>
      <c r="G1043" s="531"/>
    </row>
    <row r="1044" spans="1:7" x14ac:dyDescent="0.3">
      <c r="A1044" s="36"/>
      <c r="B1044" s="36"/>
      <c r="C1044" s="36"/>
      <c r="D1044" s="36"/>
      <c r="E1044" s="531"/>
      <c r="F1044" s="531"/>
      <c r="G1044" s="531"/>
    </row>
    <row r="1045" spans="1:7" x14ac:dyDescent="0.3">
      <c r="A1045" s="36"/>
      <c r="B1045" s="36"/>
      <c r="C1045" s="36"/>
      <c r="D1045" s="36"/>
      <c r="E1045" s="531"/>
      <c r="F1045" s="531"/>
      <c r="G1045" s="531"/>
    </row>
    <row r="1046" spans="1:7" x14ac:dyDescent="0.3">
      <c r="A1046" s="36"/>
      <c r="B1046" s="36"/>
      <c r="C1046" s="36"/>
      <c r="D1046" s="36"/>
      <c r="E1046" s="531"/>
      <c r="F1046" s="531"/>
      <c r="G1046" s="531"/>
    </row>
    <row r="1047" spans="1:7" x14ac:dyDescent="0.3">
      <c r="A1047" s="36"/>
      <c r="B1047" s="36"/>
      <c r="C1047" s="36"/>
      <c r="D1047" s="36"/>
      <c r="E1047" s="531"/>
      <c r="F1047" s="531"/>
      <c r="G1047" s="531"/>
    </row>
    <row r="1048" spans="1:7" x14ac:dyDescent="0.3">
      <c r="A1048" s="36"/>
      <c r="B1048" s="36"/>
      <c r="C1048" s="36"/>
      <c r="D1048" s="36"/>
      <c r="E1048" s="531"/>
      <c r="F1048" s="531"/>
      <c r="G1048" s="531"/>
    </row>
    <row r="1049" spans="1:7" x14ac:dyDescent="0.3">
      <c r="A1049" s="36"/>
      <c r="B1049" s="36"/>
      <c r="C1049" s="36"/>
      <c r="D1049" s="36"/>
      <c r="E1049" s="531"/>
      <c r="F1049" s="531"/>
      <c r="G1049" s="531"/>
    </row>
    <row r="1050" spans="1:7" x14ac:dyDescent="0.3">
      <c r="A1050" s="36"/>
      <c r="B1050" s="36"/>
      <c r="C1050" s="36"/>
      <c r="D1050" s="36"/>
      <c r="E1050" s="531"/>
      <c r="F1050" s="531"/>
      <c r="G1050" s="531"/>
    </row>
    <row r="1051" spans="1:7" x14ac:dyDescent="0.3">
      <c r="A1051" s="36"/>
      <c r="B1051" s="36"/>
      <c r="C1051" s="36"/>
      <c r="D1051" s="36"/>
      <c r="E1051" s="531"/>
      <c r="F1051" s="531"/>
      <c r="G1051" s="531"/>
    </row>
    <row r="1052" spans="1:7" x14ac:dyDescent="0.3">
      <c r="A1052" s="36"/>
      <c r="B1052" s="36"/>
      <c r="C1052" s="36"/>
      <c r="D1052" s="36"/>
      <c r="E1052" s="531"/>
      <c r="F1052" s="531"/>
      <c r="G1052" s="531"/>
    </row>
    <row r="1053" spans="1:7" x14ac:dyDescent="0.3">
      <c r="A1053" s="36"/>
      <c r="B1053" s="36"/>
      <c r="C1053" s="36"/>
      <c r="D1053" s="36"/>
      <c r="E1053" s="531"/>
      <c r="F1053" s="531"/>
      <c r="G1053" s="531"/>
    </row>
    <row r="1054" spans="1:7" x14ac:dyDescent="0.3">
      <c r="A1054" s="36"/>
      <c r="B1054" s="36"/>
      <c r="C1054" s="36"/>
      <c r="D1054" s="36"/>
      <c r="E1054" s="531"/>
      <c r="F1054" s="531"/>
      <c r="G1054" s="531"/>
    </row>
    <row r="1055" spans="1:7" x14ac:dyDescent="0.3">
      <c r="A1055" s="36"/>
      <c r="B1055" s="36"/>
      <c r="C1055" s="36"/>
      <c r="D1055" s="36"/>
      <c r="E1055" s="531"/>
      <c r="F1055" s="531"/>
      <c r="G1055" s="531"/>
    </row>
    <row r="1056" spans="1:7" x14ac:dyDescent="0.3">
      <c r="A1056" s="36"/>
      <c r="B1056" s="36"/>
      <c r="C1056" s="36"/>
      <c r="D1056" s="36"/>
      <c r="E1056" s="531"/>
      <c r="F1056" s="531"/>
      <c r="G1056" s="531"/>
    </row>
    <row r="1057" spans="1:7" x14ac:dyDescent="0.3">
      <c r="A1057" s="36"/>
      <c r="B1057" s="36"/>
      <c r="C1057" s="36"/>
      <c r="D1057" s="36"/>
      <c r="E1057" s="531"/>
      <c r="F1057" s="531"/>
      <c r="G1057" s="531"/>
    </row>
    <row r="1058" spans="1:7" x14ac:dyDescent="0.3">
      <c r="A1058" s="36"/>
      <c r="B1058" s="36"/>
      <c r="C1058" s="36"/>
      <c r="D1058" s="36"/>
      <c r="E1058" s="531"/>
      <c r="F1058" s="531"/>
      <c r="G1058" s="531"/>
    </row>
    <row r="1059" spans="1:7" x14ac:dyDescent="0.3">
      <c r="A1059" s="36"/>
      <c r="B1059" s="36"/>
      <c r="C1059" s="36"/>
      <c r="D1059" s="36"/>
      <c r="E1059" s="531"/>
      <c r="F1059" s="531"/>
      <c r="G1059" s="531"/>
    </row>
    <row r="1060" spans="1:7" x14ac:dyDescent="0.3">
      <c r="A1060" s="36"/>
      <c r="B1060" s="36"/>
      <c r="C1060" s="36"/>
      <c r="D1060" s="36"/>
      <c r="E1060" s="531"/>
      <c r="F1060" s="531"/>
      <c r="G1060" s="531"/>
    </row>
    <row r="1061" spans="1:7" x14ac:dyDescent="0.3">
      <c r="A1061" s="36"/>
      <c r="B1061" s="36"/>
      <c r="C1061" s="36"/>
      <c r="D1061" s="36"/>
      <c r="E1061" s="531"/>
      <c r="F1061" s="531"/>
      <c r="G1061" s="531"/>
    </row>
    <row r="1062" spans="1:7" x14ac:dyDescent="0.3">
      <c r="A1062" s="36"/>
      <c r="B1062" s="36"/>
      <c r="C1062" s="36"/>
      <c r="D1062" s="36"/>
      <c r="E1062" s="531"/>
      <c r="F1062" s="531"/>
      <c r="G1062" s="531"/>
    </row>
    <row r="1063" spans="1:7" x14ac:dyDescent="0.3">
      <c r="A1063" s="36"/>
      <c r="B1063" s="36"/>
      <c r="C1063" s="36"/>
      <c r="D1063" s="36"/>
      <c r="E1063" s="531"/>
      <c r="F1063" s="531"/>
      <c r="G1063" s="531"/>
    </row>
    <row r="1064" spans="1:7" x14ac:dyDescent="0.3">
      <c r="A1064" s="36"/>
      <c r="B1064" s="36"/>
      <c r="C1064" s="36"/>
      <c r="D1064" s="36"/>
      <c r="E1064" s="531"/>
      <c r="F1064" s="531"/>
      <c r="G1064" s="531"/>
    </row>
    <row r="1065" spans="1:7" x14ac:dyDescent="0.3">
      <c r="A1065" s="36"/>
      <c r="B1065" s="36"/>
      <c r="C1065" s="36"/>
      <c r="D1065" s="36"/>
      <c r="E1065" s="531"/>
      <c r="F1065" s="531"/>
      <c r="G1065" s="531"/>
    </row>
    <row r="1066" spans="1:7" x14ac:dyDescent="0.3">
      <c r="A1066" s="36"/>
      <c r="B1066" s="36"/>
      <c r="C1066" s="36"/>
      <c r="D1066" s="36"/>
      <c r="E1066" s="531"/>
      <c r="F1066" s="531"/>
      <c r="G1066" s="531"/>
    </row>
    <row r="1067" spans="1:7" x14ac:dyDescent="0.3">
      <c r="A1067" s="36"/>
      <c r="B1067" s="36"/>
      <c r="C1067" s="36"/>
      <c r="D1067" s="36"/>
      <c r="E1067" s="531"/>
      <c r="F1067" s="531"/>
      <c r="G1067" s="531"/>
    </row>
    <row r="1068" spans="1:7" x14ac:dyDescent="0.3">
      <c r="A1068" s="36"/>
      <c r="B1068" s="36"/>
      <c r="C1068" s="36"/>
      <c r="D1068" s="36"/>
      <c r="E1068" s="531"/>
      <c r="F1068" s="531"/>
      <c r="G1068" s="531"/>
    </row>
    <row r="1069" spans="1:7" x14ac:dyDescent="0.3">
      <c r="A1069" s="36"/>
      <c r="B1069" s="36"/>
      <c r="C1069" s="36"/>
      <c r="D1069" s="36"/>
      <c r="E1069" s="531"/>
      <c r="F1069" s="531"/>
      <c r="G1069" s="531"/>
    </row>
    <row r="1070" spans="1:7" x14ac:dyDescent="0.3">
      <c r="A1070" s="36"/>
      <c r="B1070" s="36"/>
      <c r="C1070" s="36"/>
      <c r="D1070" s="36"/>
      <c r="E1070" s="531"/>
      <c r="F1070" s="531"/>
      <c r="G1070" s="531"/>
    </row>
    <row r="1071" spans="1:7" x14ac:dyDescent="0.3">
      <c r="A1071" s="36"/>
      <c r="B1071" s="36"/>
      <c r="C1071" s="36"/>
      <c r="D1071" s="36"/>
      <c r="E1071" s="531"/>
      <c r="F1071" s="531"/>
      <c r="G1071" s="531"/>
    </row>
    <row r="1072" spans="1:7" x14ac:dyDescent="0.3">
      <c r="A1072" s="36"/>
      <c r="B1072" s="36"/>
      <c r="C1072" s="36"/>
      <c r="D1072" s="36"/>
      <c r="E1072" s="531"/>
      <c r="F1072" s="531"/>
      <c r="G1072" s="531"/>
    </row>
    <row r="1073" spans="1:7" x14ac:dyDescent="0.3">
      <c r="A1073" s="36"/>
      <c r="B1073" s="36"/>
      <c r="C1073" s="36"/>
      <c r="D1073" s="36"/>
      <c r="E1073" s="531"/>
      <c r="F1073" s="531"/>
      <c r="G1073" s="531"/>
    </row>
    <row r="1074" spans="1:7" x14ac:dyDescent="0.3">
      <c r="A1074" s="36"/>
      <c r="B1074" s="36"/>
      <c r="C1074" s="36"/>
      <c r="D1074" s="36"/>
      <c r="E1074" s="531"/>
      <c r="F1074" s="531"/>
      <c r="G1074" s="531"/>
    </row>
    <row r="1075" spans="1:7" x14ac:dyDescent="0.3">
      <c r="A1075" s="36"/>
      <c r="B1075" s="36"/>
      <c r="C1075" s="36"/>
      <c r="D1075" s="36"/>
      <c r="E1075" s="531"/>
      <c r="F1075" s="531"/>
      <c r="G1075" s="531"/>
    </row>
    <row r="1076" spans="1:7" x14ac:dyDescent="0.3">
      <c r="A1076" s="36"/>
      <c r="B1076" s="36"/>
      <c r="C1076" s="36"/>
      <c r="D1076" s="36"/>
      <c r="E1076" s="531"/>
      <c r="F1076" s="531"/>
      <c r="G1076" s="531"/>
    </row>
    <row r="1077" spans="1:7" x14ac:dyDescent="0.3">
      <c r="A1077" s="36"/>
      <c r="B1077" s="36"/>
      <c r="C1077" s="36"/>
      <c r="D1077" s="36"/>
      <c r="E1077" s="531"/>
      <c r="F1077" s="531"/>
      <c r="G1077" s="531"/>
    </row>
    <row r="1078" spans="1:7" x14ac:dyDescent="0.3">
      <c r="A1078" s="36"/>
      <c r="B1078" s="36"/>
      <c r="C1078" s="36"/>
      <c r="D1078" s="36"/>
      <c r="E1078" s="531"/>
      <c r="F1078" s="531"/>
      <c r="G1078" s="531"/>
    </row>
    <row r="1079" spans="1:7" x14ac:dyDescent="0.3">
      <c r="A1079" s="36"/>
      <c r="B1079" s="36"/>
      <c r="C1079" s="36"/>
      <c r="D1079" s="36"/>
      <c r="E1079" s="531"/>
      <c r="F1079" s="531"/>
      <c r="G1079" s="531"/>
    </row>
    <row r="1080" spans="1:7" x14ac:dyDescent="0.3">
      <c r="A1080" s="36"/>
      <c r="B1080" s="36"/>
      <c r="C1080" s="36"/>
      <c r="D1080" s="36"/>
      <c r="E1080" s="531"/>
      <c r="F1080" s="531"/>
      <c r="G1080" s="531"/>
    </row>
    <row r="1081" spans="1:7" x14ac:dyDescent="0.3">
      <c r="A1081" s="36"/>
      <c r="B1081" s="36"/>
      <c r="C1081" s="36"/>
      <c r="D1081" s="36"/>
      <c r="E1081" s="531"/>
      <c r="F1081" s="531"/>
      <c r="G1081" s="531"/>
    </row>
    <row r="1082" spans="1:7" x14ac:dyDescent="0.3">
      <c r="A1082" s="36"/>
      <c r="B1082" s="36"/>
      <c r="C1082" s="36"/>
      <c r="D1082" s="36"/>
      <c r="E1082" s="531"/>
      <c r="F1082" s="531"/>
      <c r="G1082" s="531"/>
    </row>
    <row r="1083" spans="1:7" x14ac:dyDescent="0.3">
      <c r="A1083" s="36"/>
      <c r="B1083" s="36"/>
      <c r="C1083" s="36"/>
      <c r="D1083" s="36"/>
      <c r="E1083" s="531"/>
      <c r="F1083" s="531"/>
      <c r="G1083" s="531"/>
    </row>
    <row r="1084" spans="1:7" x14ac:dyDescent="0.3">
      <c r="A1084" s="36"/>
      <c r="B1084" s="36"/>
      <c r="C1084" s="36"/>
      <c r="D1084" s="36"/>
      <c r="E1084" s="531"/>
      <c r="F1084" s="531"/>
      <c r="G1084" s="531"/>
    </row>
    <row r="1085" spans="1:7" x14ac:dyDescent="0.3">
      <c r="A1085" s="36"/>
      <c r="B1085" s="36"/>
      <c r="C1085" s="36"/>
      <c r="D1085" s="36"/>
      <c r="E1085" s="531"/>
      <c r="F1085" s="531"/>
      <c r="G1085" s="531"/>
    </row>
    <row r="1086" spans="1:7" x14ac:dyDescent="0.3">
      <c r="A1086" s="36"/>
      <c r="B1086" s="36"/>
      <c r="C1086" s="36"/>
      <c r="D1086" s="36"/>
      <c r="E1086" s="531"/>
      <c r="F1086" s="531"/>
      <c r="G1086" s="531"/>
    </row>
    <row r="1087" spans="1:7" x14ac:dyDescent="0.3">
      <c r="A1087" s="36"/>
      <c r="B1087" s="36"/>
      <c r="C1087" s="36"/>
      <c r="D1087" s="36"/>
      <c r="E1087" s="531"/>
      <c r="F1087" s="531"/>
      <c r="G1087" s="531"/>
    </row>
    <row r="1088" spans="1:7" x14ac:dyDescent="0.3">
      <c r="A1088" s="36"/>
      <c r="B1088" s="36"/>
      <c r="C1088" s="36"/>
      <c r="D1088" s="36"/>
      <c r="E1088" s="531"/>
      <c r="F1088" s="531"/>
      <c r="G1088" s="531"/>
    </row>
    <row r="1089" spans="1:7" x14ac:dyDescent="0.3">
      <c r="A1089" s="36"/>
      <c r="B1089" s="36"/>
      <c r="C1089" s="36"/>
      <c r="D1089" s="36"/>
      <c r="E1089" s="531"/>
      <c r="F1089" s="531"/>
      <c r="G1089" s="531"/>
    </row>
    <row r="1090" spans="1:7" x14ac:dyDescent="0.3">
      <c r="A1090" s="36"/>
      <c r="B1090" s="36"/>
      <c r="C1090" s="36"/>
      <c r="D1090" s="36"/>
      <c r="E1090" s="531"/>
      <c r="F1090" s="531"/>
      <c r="G1090" s="531"/>
    </row>
    <row r="1091" spans="1:7" x14ac:dyDescent="0.3">
      <c r="A1091" s="36"/>
      <c r="B1091" s="36"/>
      <c r="C1091" s="36"/>
      <c r="D1091" s="36"/>
      <c r="E1091" s="531"/>
      <c r="F1091" s="531"/>
      <c r="G1091" s="531"/>
    </row>
    <row r="1092" spans="1:7" x14ac:dyDescent="0.3">
      <c r="A1092" s="36"/>
      <c r="B1092" s="36"/>
      <c r="C1092" s="36"/>
      <c r="D1092" s="36"/>
      <c r="E1092" s="531"/>
      <c r="F1092" s="531"/>
      <c r="G1092" s="531"/>
    </row>
    <row r="1093" spans="1:7" x14ac:dyDescent="0.3">
      <c r="A1093" s="36"/>
      <c r="B1093" s="36"/>
      <c r="C1093" s="36"/>
      <c r="D1093" s="36"/>
      <c r="E1093" s="531"/>
      <c r="F1093" s="531"/>
      <c r="G1093" s="531"/>
    </row>
    <row r="1094" spans="1:7" x14ac:dyDescent="0.3">
      <c r="A1094" s="36"/>
      <c r="B1094" s="36"/>
      <c r="C1094" s="36"/>
      <c r="D1094" s="36"/>
      <c r="E1094" s="531"/>
      <c r="F1094" s="531"/>
      <c r="G1094" s="531"/>
    </row>
    <row r="1095" spans="1:7" x14ac:dyDescent="0.3">
      <c r="A1095" s="36"/>
      <c r="B1095" s="36"/>
      <c r="C1095" s="36"/>
      <c r="D1095" s="36"/>
      <c r="E1095" s="531"/>
      <c r="F1095" s="531"/>
      <c r="G1095" s="531"/>
    </row>
    <row r="1096" spans="1:7" x14ac:dyDescent="0.3">
      <c r="A1096" s="36"/>
      <c r="B1096" s="36"/>
      <c r="C1096" s="36"/>
      <c r="D1096" s="36"/>
      <c r="E1096" s="531"/>
      <c r="F1096" s="531"/>
      <c r="G1096" s="531"/>
    </row>
    <row r="1097" spans="1:7" x14ac:dyDescent="0.3">
      <c r="A1097" s="36"/>
      <c r="B1097" s="36"/>
      <c r="C1097" s="36"/>
      <c r="D1097" s="36"/>
      <c r="E1097" s="531"/>
      <c r="F1097" s="531"/>
      <c r="G1097" s="531"/>
    </row>
    <row r="1098" spans="1:7" x14ac:dyDescent="0.3">
      <c r="A1098" s="36"/>
      <c r="B1098" s="36"/>
      <c r="C1098" s="36"/>
      <c r="D1098" s="36"/>
      <c r="E1098" s="531"/>
      <c r="F1098" s="531"/>
      <c r="G1098" s="531"/>
    </row>
    <row r="1099" spans="1:7" x14ac:dyDescent="0.3">
      <c r="A1099" s="36"/>
      <c r="B1099" s="36"/>
      <c r="C1099" s="36"/>
      <c r="D1099" s="36"/>
      <c r="E1099" s="531"/>
      <c r="F1099" s="531"/>
      <c r="G1099" s="531"/>
    </row>
    <row r="1100" spans="1:7" x14ac:dyDescent="0.3">
      <c r="A1100" s="36"/>
      <c r="B1100" s="36"/>
      <c r="C1100" s="36"/>
      <c r="D1100" s="36"/>
      <c r="E1100" s="531"/>
      <c r="F1100" s="531"/>
      <c r="G1100" s="531"/>
    </row>
    <row r="1101" spans="1:7" x14ac:dyDescent="0.3">
      <c r="A1101" s="36"/>
      <c r="B1101" s="36"/>
      <c r="C1101" s="36"/>
      <c r="D1101" s="36"/>
      <c r="E1101" s="531"/>
      <c r="F1101" s="531"/>
      <c r="G1101" s="531"/>
    </row>
    <row r="1102" spans="1:7" x14ac:dyDescent="0.3">
      <c r="A1102" s="36"/>
      <c r="B1102" s="36"/>
      <c r="C1102" s="36"/>
      <c r="D1102" s="36"/>
      <c r="E1102" s="531"/>
      <c r="F1102" s="531"/>
      <c r="G1102" s="531"/>
    </row>
    <row r="1103" spans="1:7" x14ac:dyDescent="0.3">
      <c r="A1103" s="36"/>
      <c r="B1103" s="36"/>
      <c r="C1103" s="36"/>
      <c r="D1103" s="36"/>
      <c r="E1103" s="531"/>
      <c r="F1103" s="531"/>
      <c r="G1103" s="531"/>
    </row>
    <row r="1104" spans="1:7" x14ac:dyDescent="0.3">
      <c r="A1104" s="36"/>
      <c r="B1104" s="36"/>
      <c r="C1104" s="36"/>
      <c r="D1104" s="36"/>
      <c r="E1104" s="531"/>
      <c r="F1104" s="531"/>
      <c r="G1104" s="531"/>
    </row>
    <row r="1105" spans="1:7" x14ac:dyDescent="0.3">
      <c r="A1105" s="36"/>
      <c r="B1105" s="36"/>
      <c r="C1105" s="36"/>
      <c r="D1105" s="36"/>
      <c r="E1105" s="531"/>
      <c r="F1105" s="531"/>
      <c r="G1105" s="531"/>
    </row>
    <row r="1106" spans="1:7" x14ac:dyDescent="0.3">
      <c r="A1106" s="36"/>
      <c r="B1106" s="36"/>
      <c r="C1106" s="36"/>
      <c r="D1106" s="36"/>
      <c r="E1106" s="531"/>
      <c r="F1106" s="531"/>
      <c r="G1106" s="531"/>
    </row>
    <row r="1107" spans="1:7" x14ac:dyDescent="0.3">
      <c r="A1107" s="36"/>
      <c r="B1107" s="36"/>
      <c r="C1107" s="36"/>
      <c r="D1107" s="36"/>
      <c r="E1107" s="531"/>
      <c r="F1107" s="531"/>
      <c r="G1107" s="531"/>
    </row>
    <row r="1108" spans="1:7" x14ac:dyDescent="0.3">
      <c r="A1108" s="36"/>
      <c r="B1108" s="36"/>
      <c r="C1108" s="36"/>
      <c r="D1108" s="36"/>
      <c r="E1108" s="531"/>
      <c r="F1108" s="531"/>
      <c r="G1108" s="531"/>
    </row>
    <row r="1109" spans="1:7" x14ac:dyDescent="0.3">
      <c r="A1109" s="36"/>
      <c r="B1109" s="36"/>
      <c r="C1109" s="36"/>
      <c r="D1109" s="36"/>
      <c r="E1109" s="531"/>
      <c r="F1109" s="531"/>
      <c r="G1109" s="531"/>
    </row>
    <row r="1110" spans="1:7" x14ac:dyDescent="0.3">
      <c r="A1110" s="36"/>
      <c r="B1110" s="36"/>
      <c r="C1110" s="36"/>
      <c r="D1110" s="36"/>
      <c r="E1110" s="531"/>
      <c r="F1110" s="531"/>
      <c r="G1110" s="531"/>
    </row>
    <row r="1111" spans="1:7" x14ac:dyDescent="0.3">
      <c r="A1111" s="36"/>
      <c r="B1111" s="36"/>
      <c r="C1111" s="36"/>
      <c r="D1111" s="36"/>
      <c r="E1111" s="531"/>
      <c r="F1111" s="531"/>
      <c r="G1111" s="531"/>
    </row>
    <row r="1112" spans="1:7" x14ac:dyDescent="0.3">
      <c r="A1112" s="36"/>
      <c r="B1112" s="36"/>
      <c r="C1112" s="36"/>
      <c r="D1112" s="36"/>
      <c r="E1112" s="531"/>
      <c r="F1112" s="531"/>
      <c r="G1112" s="531"/>
    </row>
    <row r="1113" spans="1:7" x14ac:dyDescent="0.3">
      <c r="A1113" s="36"/>
      <c r="B1113" s="36"/>
      <c r="C1113" s="36"/>
      <c r="D1113" s="36"/>
      <c r="E1113" s="531"/>
      <c r="F1113" s="531"/>
      <c r="G1113" s="531"/>
    </row>
    <row r="1114" spans="1:7" x14ac:dyDescent="0.3">
      <c r="A1114" s="36"/>
      <c r="B1114" s="36"/>
      <c r="C1114" s="36"/>
      <c r="D1114" s="36"/>
      <c r="E1114" s="531"/>
      <c r="F1114" s="531"/>
      <c r="G1114" s="531"/>
    </row>
    <row r="1115" spans="1:7" x14ac:dyDescent="0.3">
      <c r="A1115" s="36"/>
      <c r="B1115" s="36"/>
      <c r="C1115" s="36"/>
      <c r="D1115" s="36"/>
      <c r="E1115" s="531"/>
      <c r="F1115" s="531"/>
      <c r="G1115" s="531"/>
    </row>
    <row r="1116" spans="1:7" x14ac:dyDescent="0.3">
      <c r="A1116" s="36"/>
      <c r="B1116" s="36"/>
      <c r="C1116" s="36"/>
      <c r="D1116" s="36"/>
      <c r="E1116" s="531"/>
      <c r="F1116" s="531"/>
      <c r="G1116" s="531"/>
    </row>
    <row r="1117" spans="1:7" x14ac:dyDescent="0.3">
      <c r="A1117" s="36"/>
      <c r="B1117" s="36"/>
      <c r="C1117" s="36"/>
      <c r="D1117" s="36"/>
      <c r="E1117" s="531"/>
      <c r="F1117" s="531"/>
      <c r="G1117" s="531"/>
    </row>
    <row r="1118" spans="1:7" x14ac:dyDescent="0.3">
      <c r="A1118" s="36"/>
      <c r="B1118" s="36"/>
      <c r="C1118" s="36"/>
      <c r="D1118" s="36"/>
      <c r="E1118" s="531"/>
      <c r="F1118" s="531"/>
      <c r="G1118" s="531"/>
    </row>
    <row r="1119" spans="1:7" x14ac:dyDescent="0.3">
      <c r="A1119" s="36"/>
      <c r="B1119" s="36"/>
      <c r="C1119" s="36"/>
      <c r="D1119" s="36"/>
      <c r="E1119" s="531"/>
      <c r="F1119" s="531"/>
      <c r="G1119" s="531"/>
    </row>
    <row r="1120" spans="1:7" x14ac:dyDescent="0.3">
      <c r="A1120" s="36"/>
      <c r="B1120" s="36"/>
      <c r="C1120" s="36"/>
      <c r="D1120" s="36"/>
      <c r="E1120" s="531"/>
      <c r="F1120" s="531"/>
      <c r="G1120" s="531"/>
    </row>
    <row r="1121" spans="1:7" x14ac:dyDescent="0.3">
      <c r="A1121" s="36"/>
      <c r="B1121" s="36"/>
      <c r="C1121" s="36"/>
      <c r="D1121" s="36"/>
      <c r="E1121" s="531"/>
      <c r="F1121" s="531"/>
      <c r="G1121" s="531"/>
    </row>
    <row r="1122" spans="1:7" x14ac:dyDescent="0.3">
      <c r="A1122" s="36"/>
      <c r="B1122" s="36"/>
      <c r="C1122" s="36"/>
      <c r="D1122" s="36"/>
      <c r="E1122" s="531"/>
      <c r="F1122" s="531"/>
      <c r="G1122" s="531"/>
    </row>
    <row r="1123" spans="1:7" x14ac:dyDescent="0.3">
      <c r="A1123" s="36"/>
      <c r="B1123" s="36"/>
      <c r="C1123" s="36"/>
      <c r="D1123" s="36"/>
      <c r="E1123" s="531"/>
      <c r="F1123" s="531"/>
      <c r="G1123" s="531"/>
    </row>
    <row r="1124" spans="1:7" x14ac:dyDescent="0.3">
      <c r="A1124" s="36"/>
      <c r="B1124" s="36"/>
      <c r="C1124" s="36"/>
      <c r="D1124" s="36"/>
      <c r="E1124" s="531"/>
      <c r="F1124" s="531"/>
      <c r="G1124" s="531"/>
    </row>
    <row r="1125" spans="1:7" x14ac:dyDescent="0.3">
      <c r="A1125" s="36"/>
      <c r="B1125" s="36"/>
      <c r="C1125" s="36"/>
      <c r="D1125" s="36"/>
      <c r="E1125" s="531"/>
      <c r="F1125" s="531"/>
      <c r="G1125" s="531"/>
    </row>
    <row r="1126" spans="1:7" x14ac:dyDescent="0.3">
      <c r="A1126" s="36"/>
      <c r="B1126" s="36"/>
      <c r="C1126" s="36"/>
      <c r="D1126" s="36"/>
      <c r="E1126" s="531"/>
      <c r="F1126" s="531"/>
      <c r="G1126" s="531"/>
    </row>
    <row r="1127" spans="1:7" x14ac:dyDescent="0.3">
      <c r="A1127" s="36"/>
      <c r="B1127" s="36"/>
      <c r="C1127" s="36"/>
      <c r="D1127" s="36"/>
      <c r="E1127" s="531"/>
      <c r="F1127" s="531"/>
      <c r="G1127" s="531"/>
    </row>
    <row r="1128" spans="1:7" x14ac:dyDescent="0.3">
      <c r="A1128" s="36"/>
      <c r="B1128" s="36"/>
      <c r="C1128" s="36"/>
      <c r="D1128" s="36"/>
      <c r="E1128" s="531"/>
      <c r="F1128" s="531"/>
      <c r="G1128" s="531"/>
    </row>
    <row r="1129" spans="1:7" x14ac:dyDescent="0.3">
      <c r="A1129" s="36"/>
      <c r="B1129" s="36"/>
      <c r="C1129" s="36"/>
      <c r="D1129" s="36"/>
      <c r="E1129" s="531"/>
      <c r="F1129" s="531"/>
      <c r="G1129" s="531"/>
    </row>
    <row r="1130" spans="1:7" x14ac:dyDescent="0.3">
      <c r="A1130" s="36"/>
      <c r="B1130" s="36"/>
      <c r="C1130" s="36"/>
      <c r="D1130" s="36"/>
      <c r="E1130" s="531"/>
      <c r="F1130" s="531"/>
      <c r="G1130" s="531"/>
    </row>
    <row r="1131" spans="1:7" x14ac:dyDescent="0.3">
      <c r="A1131" s="36"/>
      <c r="B1131" s="36"/>
      <c r="C1131" s="36"/>
      <c r="D1131" s="36"/>
      <c r="E1131" s="531"/>
      <c r="F1131" s="531"/>
      <c r="G1131" s="531"/>
    </row>
    <row r="1132" spans="1:7" x14ac:dyDescent="0.3">
      <c r="A1132" s="36"/>
      <c r="B1132" s="36"/>
      <c r="C1132" s="36"/>
      <c r="D1132" s="36"/>
      <c r="E1132" s="531"/>
      <c r="F1132" s="531"/>
      <c r="G1132" s="531"/>
    </row>
    <row r="1133" spans="1:7" x14ac:dyDescent="0.3">
      <c r="A1133" s="36"/>
      <c r="B1133" s="36"/>
      <c r="C1133" s="36"/>
      <c r="D1133" s="36"/>
      <c r="E1133" s="531"/>
      <c r="F1133" s="531"/>
      <c r="G1133" s="531"/>
    </row>
    <row r="1134" spans="1:7" x14ac:dyDescent="0.3">
      <c r="A1134" s="36"/>
      <c r="B1134" s="36"/>
      <c r="C1134" s="36"/>
      <c r="D1134" s="36"/>
      <c r="E1134" s="531"/>
      <c r="F1134" s="531"/>
      <c r="G1134" s="531"/>
    </row>
    <row r="1135" spans="1:7" x14ac:dyDescent="0.3">
      <c r="A1135" s="36"/>
      <c r="B1135" s="36"/>
      <c r="C1135" s="36"/>
      <c r="D1135" s="36"/>
      <c r="E1135" s="531"/>
      <c r="F1135" s="531"/>
      <c r="G1135" s="531"/>
    </row>
    <row r="1136" spans="1:7" x14ac:dyDescent="0.3">
      <c r="A1136" s="36"/>
      <c r="B1136" s="36"/>
      <c r="C1136" s="36"/>
      <c r="D1136" s="36"/>
      <c r="E1136" s="531"/>
      <c r="F1136" s="531"/>
      <c r="G1136" s="531"/>
    </row>
    <row r="1137" spans="1:7" x14ac:dyDescent="0.3">
      <c r="A1137" s="36"/>
      <c r="B1137" s="36"/>
      <c r="C1137" s="36"/>
      <c r="D1137" s="36"/>
      <c r="E1137" s="531"/>
      <c r="F1137" s="531"/>
      <c r="G1137" s="531"/>
    </row>
    <row r="1138" spans="1:7" x14ac:dyDescent="0.3">
      <c r="A1138" s="36"/>
      <c r="B1138" s="36"/>
      <c r="C1138" s="36"/>
      <c r="D1138" s="36"/>
      <c r="E1138" s="531"/>
      <c r="F1138" s="531"/>
      <c r="G1138" s="531"/>
    </row>
    <row r="1139" spans="1:7" x14ac:dyDescent="0.3">
      <c r="A1139" s="36"/>
      <c r="B1139" s="36"/>
      <c r="C1139" s="36"/>
      <c r="D1139" s="36"/>
      <c r="E1139" s="531"/>
      <c r="F1139" s="531"/>
      <c r="G1139" s="531"/>
    </row>
    <row r="1140" spans="1:7" x14ac:dyDescent="0.3">
      <c r="A1140" s="36"/>
      <c r="B1140" s="36"/>
      <c r="C1140" s="36"/>
      <c r="D1140" s="36"/>
      <c r="E1140" s="531"/>
      <c r="F1140" s="531"/>
      <c r="G1140" s="531"/>
    </row>
    <row r="1141" spans="1:7" x14ac:dyDescent="0.3">
      <c r="A1141" s="36"/>
      <c r="B1141" s="36"/>
      <c r="C1141" s="36"/>
      <c r="D1141" s="36"/>
      <c r="E1141" s="531"/>
      <c r="F1141" s="531"/>
      <c r="G1141" s="531"/>
    </row>
    <row r="1142" spans="1:7" x14ac:dyDescent="0.3">
      <c r="A1142" s="36"/>
      <c r="B1142" s="36"/>
      <c r="C1142" s="36"/>
      <c r="D1142" s="36"/>
      <c r="E1142" s="531"/>
      <c r="F1142" s="531"/>
      <c r="G1142" s="531"/>
    </row>
    <row r="1143" spans="1:7" x14ac:dyDescent="0.3">
      <c r="A1143" s="36"/>
      <c r="B1143" s="36"/>
      <c r="C1143" s="36"/>
      <c r="D1143" s="36"/>
      <c r="E1143" s="531"/>
      <c r="F1143" s="531"/>
      <c r="G1143" s="531"/>
    </row>
    <row r="1144" spans="1:7" x14ac:dyDescent="0.3">
      <c r="A1144" s="36"/>
      <c r="B1144" s="36"/>
      <c r="C1144" s="36"/>
      <c r="D1144" s="36"/>
      <c r="E1144" s="531"/>
      <c r="F1144" s="531"/>
      <c r="G1144" s="531"/>
    </row>
    <row r="1145" spans="1:7" x14ac:dyDescent="0.3">
      <c r="A1145" s="36"/>
      <c r="B1145" s="36"/>
      <c r="C1145" s="36"/>
      <c r="D1145" s="36"/>
      <c r="E1145" s="531"/>
      <c r="F1145" s="531"/>
      <c r="G1145" s="531"/>
    </row>
    <row r="1146" spans="1:7" x14ac:dyDescent="0.3">
      <c r="A1146" s="36"/>
      <c r="B1146" s="36"/>
      <c r="C1146" s="36"/>
      <c r="D1146" s="36"/>
      <c r="E1146" s="531"/>
      <c r="F1146" s="531"/>
      <c r="G1146" s="531"/>
    </row>
    <row r="1147" spans="1:7" x14ac:dyDescent="0.3">
      <c r="A1147" s="36"/>
      <c r="B1147" s="36"/>
      <c r="C1147" s="36"/>
      <c r="D1147" s="36"/>
      <c r="E1147" s="531"/>
      <c r="F1147" s="531"/>
      <c r="G1147" s="531"/>
    </row>
    <row r="1148" spans="1:7" x14ac:dyDescent="0.3">
      <c r="A1148" s="36"/>
      <c r="B1148" s="36"/>
      <c r="C1148" s="36"/>
      <c r="D1148" s="36"/>
      <c r="E1148" s="531"/>
      <c r="F1148" s="531"/>
      <c r="G1148" s="531"/>
    </row>
    <row r="1149" spans="1:7" x14ac:dyDescent="0.3">
      <c r="A1149" s="36"/>
      <c r="B1149" s="36"/>
      <c r="C1149" s="36"/>
      <c r="D1149" s="36"/>
      <c r="E1149" s="531"/>
      <c r="F1149" s="531"/>
      <c r="G1149" s="531"/>
    </row>
    <row r="1150" spans="1:7" x14ac:dyDescent="0.3">
      <c r="A1150" s="36"/>
      <c r="B1150" s="36"/>
      <c r="C1150" s="36"/>
      <c r="D1150" s="36"/>
      <c r="E1150" s="531"/>
      <c r="F1150" s="531"/>
      <c r="G1150" s="531"/>
    </row>
    <row r="1151" spans="1:7" x14ac:dyDescent="0.3">
      <c r="A1151" s="36"/>
      <c r="B1151" s="36"/>
      <c r="C1151" s="36"/>
      <c r="D1151" s="36"/>
      <c r="E1151" s="531"/>
      <c r="F1151" s="531"/>
      <c r="G1151" s="531"/>
    </row>
    <row r="1152" spans="1:7" x14ac:dyDescent="0.3">
      <c r="A1152" s="36"/>
      <c r="B1152" s="36"/>
      <c r="C1152" s="36"/>
      <c r="D1152" s="36"/>
      <c r="E1152" s="531"/>
      <c r="F1152" s="531"/>
      <c r="G1152" s="531"/>
    </row>
    <row r="1153" spans="1:7" x14ac:dyDescent="0.3">
      <c r="A1153" s="36"/>
      <c r="B1153" s="36"/>
      <c r="C1153" s="36"/>
      <c r="D1153" s="36"/>
      <c r="E1153" s="531"/>
      <c r="F1153" s="531"/>
      <c r="G1153" s="531"/>
    </row>
    <row r="1154" spans="1:7" x14ac:dyDescent="0.3">
      <c r="A1154" s="36"/>
      <c r="B1154" s="36"/>
      <c r="C1154" s="36"/>
      <c r="D1154" s="36"/>
      <c r="E1154" s="531"/>
      <c r="F1154" s="531"/>
      <c r="G1154" s="531"/>
    </row>
    <row r="1155" spans="1:7" x14ac:dyDescent="0.3">
      <c r="A1155" s="36"/>
      <c r="B1155" s="36"/>
      <c r="C1155" s="36"/>
      <c r="D1155" s="36"/>
      <c r="E1155" s="531"/>
      <c r="F1155" s="531"/>
      <c r="G1155" s="531"/>
    </row>
    <row r="1156" spans="1:7" x14ac:dyDescent="0.3">
      <c r="A1156" s="36"/>
      <c r="B1156" s="36"/>
      <c r="C1156" s="36"/>
      <c r="D1156" s="36"/>
      <c r="E1156" s="531"/>
      <c r="F1156" s="531"/>
      <c r="G1156" s="531"/>
    </row>
    <row r="1157" spans="1:7" x14ac:dyDescent="0.3">
      <c r="A1157" s="36"/>
      <c r="B1157" s="36"/>
      <c r="C1157" s="36"/>
      <c r="D1157" s="36"/>
      <c r="E1157" s="531"/>
      <c r="F1157" s="531"/>
      <c r="G1157" s="531"/>
    </row>
    <row r="1158" spans="1:7" x14ac:dyDescent="0.3">
      <c r="A1158" s="36"/>
      <c r="B1158" s="36"/>
      <c r="C1158" s="36"/>
      <c r="D1158" s="36"/>
      <c r="E1158" s="531"/>
      <c r="F1158" s="531"/>
      <c r="G1158" s="531"/>
    </row>
    <row r="1159" spans="1:7" x14ac:dyDescent="0.3">
      <c r="A1159" s="36"/>
      <c r="B1159" s="36"/>
      <c r="C1159" s="36"/>
      <c r="D1159" s="36"/>
      <c r="E1159" s="531"/>
      <c r="F1159" s="531"/>
      <c r="G1159" s="531"/>
    </row>
    <row r="1160" spans="1:7" x14ac:dyDescent="0.3">
      <c r="A1160" s="36"/>
      <c r="B1160" s="36"/>
      <c r="C1160" s="36"/>
      <c r="D1160" s="36"/>
      <c r="E1160" s="531"/>
      <c r="F1160" s="531"/>
      <c r="G1160" s="531"/>
    </row>
    <row r="1161" spans="1:7" x14ac:dyDescent="0.3">
      <c r="A1161" s="36"/>
      <c r="B1161" s="36"/>
      <c r="C1161" s="36"/>
      <c r="D1161" s="36"/>
      <c r="E1161" s="531"/>
      <c r="F1161" s="531"/>
      <c r="G1161" s="531"/>
    </row>
    <row r="1162" spans="1:7" x14ac:dyDescent="0.3">
      <c r="A1162" s="36"/>
      <c r="B1162" s="36"/>
      <c r="C1162" s="36"/>
      <c r="D1162" s="36"/>
      <c r="E1162" s="531"/>
      <c r="F1162" s="531"/>
      <c r="G1162" s="531"/>
    </row>
    <row r="1163" spans="1:7" x14ac:dyDescent="0.3">
      <c r="A1163" s="36"/>
      <c r="B1163" s="36"/>
      <c r="C1163" s="36"/>
      <c r="D1163" s="36"/>
      <c r="E1163" s="531"/>
      <c r="F1163" s="531"/>
      <c r="G1163" s="531"/>
    </row>
    <row r="1164" spans="1:7" x14ac:dyDescent="0.3">
      <c r="A1164" s="36"/>
      <c r="B1164" s="36"/>
      <c r="C1164" s="36"/>
      <c r="D1164" s="36"/>
      <c r="E1164" s="531"/>
      <c r="F1164" s="531"/>
      <c r="G1164" s="531"/>
    </row>
    <row r="1165" spans="1:7" x14ac:dyDescent="0.3">
      <c r="A1165" s="36"/>
      <c r="B1165" s="36"/>
      <c r="C1165" s="36"/>
      <c r="D1165" s="36"/>
      <c r="E1165" s="531"/>
      <c r="F1165" s="531"/>
      <c r="G1165" s="531"/>
    </row>
    <row r="1166" spans="1:7" x14ac:dyDescent="0.3">
      <c r="A1166" s="36"/>
      <c r="B1166" s="36"/>
      <c r="C1166" s="36"/>
      <c r="D1166" s="36"/>
      <c r="E1166" s="531"/>
      <c r="F1166" s="531"/>
      <c r="G1166" s="531"/>
    </row>
    <row r="1167" spans="1:7" x14ac:dyDescent="0.3">
      <c r="A1167" s="36"/>
      <c r="B1167" s="36"/>
      <c r="C1167" s="36"/>
      <c r="D1167" s="36"/>
      <c r="E1167" s="531"/>
      <c r="F1167" s="531"/>
      <c r="G1167" s="531"/>
    </row>
    <row r="1168" spans="1:7" x14ac:dyDescent="0.3">
      <c r="A1168" s="36"/>
      <c r="B1168" s="36"/>
      <c r="C1168" s="36"/>
      <c r="D1168" s="36"/>
      <c r="E1168" s="531"/>
      <c r="F1168" s="531"/>
      <c r="G1168" s="531"/>
    </row>
    <row r="1169" spans="1:7" x14ac:dyDescent="0.3">
      <c r="A1169" s="36"/>
      <c r="B1169" s="36"/>
      <c r="C1169" s="36"/>
      <c r="D1169" s="36"/>
      <c r="E1169" s="531"/>
      <c r="F1169" s="531"/>
      <c r="G1169" s="531"/>
    </row>
    <row r="1170" spans="1:7" x14ac:dyDescent="0.3">
      <c r="A1170" s="36"/>
      <c r="B1170" s="36"/>
      <c r="C1170" s="36"/>
      <c r="D1170" s="36"/>
      <c r="E1170" s="531"/>
      <c r="F1170" s="531"/>
      <c r="G1170" s="531"/>
    </row>
    <row r="1171" spans="1:7" x14ac:dyDescent="0.3">
      <c r="A1171" s="36"/>
      <c r="B1171" s="36"/>
      <c r="C1171" s="36"/>
      <c r="D1171" s="36"/>
      <c r="E1171" s="531"/>
      <c r="F1171" s="531"/>
      <c r="G1171" s="531"/>
    </row>
    <row r="1172" spans="1:7" x14ac:dyDescent="0.3">
      <c r="A1172" s="36"/>
      <c r="B1172" s="36"/>
      <c r="C1172" s="36"/>
      <c r="D1172" s="36"/>
      <c r="E1172" s="531"/>
      <c r="F1172" s="531"/>
      <c r="G1172" s="531"/>
    </row>
    <row r="1173" spans="1:7" x14ac:dyDescent="0.3">
      <c r="A1173" s="36"/>
      <c r="B1173" s="36"/>
      <c r="C1173" s="36"/>
      <c r="D1173" s="36"/>
      <c r="E1173" s="531"/>
      <c r="F1173" s="531"/>
      <c r="G1173" s="531"/>
    </row>
    <row r="1174" spans="1:7" x14ac:dyDescent="0.3">
      <c r="A1174" s="36"/>
      <c r="B1174" s="36"/>
      <c r="C1174" s="36"/>
      <c r="D1174" s="36"/>
      <c r="E1174" s="531"/>
      <c r="F1174" s="531"/>
      <c r="G1174" s="531"/>
    </row>
    <row r="1175" spans="1:7" x14ac:dyDescent="0.3">
      <c r="A1175" s="36"/>
      <c r="B1175" s="36"/>
      <c r="C1175" s="36"/>
      <c r="D1175" s="36"/>
      <c r="E1175" s="531"/>
      <c r="F1175" s="531"/>
      <c r="G1175" s="531"/>
    </row>
    <row r="1176" spans="1:7" x14ac:dyDescent="0.3">
      <c r="A1176" s="36"/>
      <c r="B1176" s="36"/>
      <c r="C1176" s="36"/>
      <c r="D1176" s="36"/>
      <c r="E1176" s="531"/>
      <c r="F1176" s="531"/>
      <c r="G1176" s="531"/>
    </row>
    <row r="1177" spans="1:7" x14ac:dyDescent="0.3">
      <c r="A1177" s="36"/>
      <c r="B1177" s="36"/>
      <c r="C1177" s="36"/>
      <c r="D1177" s="36"/>
      <c r="E1177" s="531"/>
      <c r="F1177" s="531"/>
      <c r="G1177" s="531"/>
    </row>
    <row r="1178" spans="1:7" x14ac:dyDescent="0.3">
      <c r="A1178" s="36"/>
      <c r="B1178" s="36"/>
      <c r="C1178" s="36"/>
      <c r="D1178" s="36"/>
      <c r="E1178" s="531"/>
      <c r="F1178" s="531"/>
      <c r="G1178" s="531"/>
    </row>
    <row r="1179" spans="1:7" x14ac:dyDescent="0.3">
      <c r="A1179" s="36"/>
      <c r="B1179" s="36"/>
      <c r="C1179" s="36"/>
      <c r="D1179" s="36"/>
      <c r="E1179" s="531"/>
      <c r="F1179" s="531"/>
      <c r="G1179" s="531"/>
    </row>
    <row r="1180" spans="1:7" x14ac:dyDescent="0.3">
      <c r="A1180" s="36"/>
      <c r="B1180" s="36"/>
      <c r="C1180" s="36"/>
      <c r="D1180" s="36"/>
      <c r="E1180" s="531"/>
      <c r="F1180" s="531"/>
      <c r="G1180" s="531"/>
    </row>
    <row r="1181" spans="1:7" x14ac:dyDescent="0.3">
      <c r="A1181" s="36"/>
      <c r="B1181" s="36"/>
      <c r="C1181" s="36"/>
      <c r="D1181" s="36"/>
      <c r="E1181" s="531"/>
      <c r="F1181" s="531"/>
      <c r="G1181" s="531"/>
    </row>
    <row r="1182" spans="1:7" x14ac:dyDescent="0.3">
      <c r="A1182" s="36"/>
      <c r="B1182" s="36"/>
      <c r="C1182" s="36"/>
      <c r="D1182" s="36"/>
      <c r="E1182" s="531"/>
      <c r="F1182" s="531"/>
      <c r="G1182" s="531"/>
    </row>
    <row r="1183" spans="1:7" x14ac:dyDescent="0.3">
      <c r="A1183" s="36"/>
      <c r="B1183" s="36"/>
      <c r="C1183" s="36"/>
      <c r="D1183" s="36"/>
      <c r="E1183" s="531"/>
      <c r="F1183" s="531"/>
      <c r="G1183" s="531"/>
    </row>
    <row r="1184" spans="1:7" x14ac:dyDescent="0.3">
      <c r="A1184" s="36"/>
      <c r="B1184" s="36"/>
      <c r="C1184" s="36"/>
      <c r="D1184" s="36"/>
      <c r="E1184" s="531"/>
      <c r="F1184" s="531"/>
      <c r="G1184" s="531"/>
    </row>
    <row r="1185" spans="1:7" x14ac:dyDescent="0.3">
      <c r="A1185" s="36"/>
      <c r="B1185" s="36"/>
      <c r="C1185" s="36"/>
      <c r="D1185" s="36"/>
      <c r="E1185" s="531"/>
      <c r="F1185" s="531"/>
      <c r="G1185" s="531"/>
    </row>
    <row r="1186" spans="1:7" x14ac:dyDescent="0.3">
      <c r="A1186" s="36"/>
      <c r="B1186" s="36"/>
      <c r="C1186" s="36"/>
      <c r="D1186" s="36"/>
      <c r="E1186" s="531"/>
      <c r="F1186" s="531"/>
      <c r="G1186" s="531"/>
    </row>
    <row r="1187" spans="1:7" x14ac:dyDescent="0.3">
      <c r="A1187" s="36"/>
      <c r="B1187" s="36"/>
      <c r="C1187" s="36"/>
      <c r="D1187" s="36"/>
      <c r="E1187" s="531"/>
      <c r="F1187" s="531"/>
      <c r="G1187" s="531"/>
    </row>
    <row r="1188" spans="1:7" x14ac:dyDescent="0.3">
      <c r="A1188" s="36"/>
      <c r="B1188" s="36"/>
      <c r="C1188" s="36"/>
      <c r="D1188" s="36"/>
      <c r="E1188" s="531"/>
      <c r="F1188" s="531"/>
      <c r="G1188" s="531"/>
    </row>
    <row r="1189" spans="1:7" x14ac:dyDescent="0.3">
      <c r="A1189" s="36"/>
      <c r="B1189" s="36"/>
      <c r="C1189" s="36"/>
      <c r="D1189" s="36"/>
      <c r="E1189" s="531"/>
      <c r="F1189" s="531"/>
      <c r="G1189" s="531"/>
    </row>
    <row r="1190" spans="1:7" x14ac:dyDescent="0.3">
      <c r="A1190" s="36"/>
      <c r="B1190" s="36"/>
      <c r="C1190" s="36"/>
      <c r="D1190" s="36"/>
      <c r="E1190" s="531"/>
      <c r="F1190" s="531"/>
      <c r="G1190" s="531"/>
    </row>
    <row r="1191" spans="1:7" x14ac:dyDescent="0.3">
      <c r="A1191" s="36"/>
      <c r="B1191" s="36"/>
      <c r="C1191" s="36"/>
      <c r="D1191" s="36"/>
      <c r="E1191" s="531"/>
      <c r="F1191" s="531"/>
      <c r="G1191" s="531"/>
    </row>
    <row r="1192" spans="1:7" x14ac:dyDescent="0.3">
      <c r="A1192" s="36"/>
      <c r="B1192" s="36"/>
      <c r="C1192" s="36"/>
      <c r="D1192" s="36"/>
      <c r="E1192" s="531"/>
      <c r="F1192" s="531"/>
      <c r="G1192" s="531"/>
    </row>
    <row r="1193" spans="1:7" x14ac:dyDescent="0.3">
      <c r="A1193" s="36"/>
      <c r="B1193" s="36"/>
      <c r="C1193" s="36"/>
      <c r="D1193" s="36"/>
      <c r="E1193" s="531"/>
      <c r="F1193" s="531"/>
      <c r="G1193" s="531"/>
    </row>
    <row r="1194" spans="1:7" x14ac:dyDescent="0.3">
      <c r="A1194" s="36"/>
      <c r="B1194" s="36"/>
      <c r="C1194" s="36"/>
      <c r="D1194" s="36"/>
      <c r="E1194" s="531"/>
      <c r="F1194" s="531"/>
      <c r="G1194" s="531"/>
    </row>
    <row r="1195" spans="1:7" x14ac:dyDescent="0.3">
      <c r="A1195" s="36"/>
      <c r="B1195" s="36"/>
      <c r="C1195" s="36"/>
      <c r="D1195" s="36"/>
      <c r="E1195" s="531"/>
      <c r="F1195" s="531"/>
      <c r="G1195" s="531"/>
    </row>
    <row r="1196" spans="1:7" x14ac:dyDescent="0.3">
      <c r="A1196" s="36"/>
      <c r="B1196" s="36"/>
      <c r="C1196" s="36"/>
      <c r="D1196" s="36"/>
      <c r="E1196" s="531"/>
      <c r="F1196" s="531"/>
      <c r="G1196" s="531"/>
    </row>
    <row r="1197" spans="1:7" x14ac:dyDescent="0.3">
      <c r="A1197" s="36"/>
      <c r="B1197" s="36"/>
      <c r="C1197" s="36"/>
      <c r="D1197" s="36"/>
      <c r="E1197" s="531"/>
      <c r="F1197" s="531"/>
      <c r="G1197" s="531"/>
    </row>
    <row r="1198" spans="1:7" x14ac:dyDescent="0.3">
      <c r="A1198" s="36"/>
      <c r="B1198" s="36"/>
      <c r="C1198" s="36"/>
      <c r="D1198" s="36"/>
      <c r="E1198" s="531"/>
      <c r="F1198" s="531"/>
      <c r="G1198" s="531"/>
    </row>
    <row r="1199" spans="1:7" x14ac:dyDescent="0.3">
      <c r="A1199" s="36"/>
      <c r="B1199" s="36"/>
      <c r="C1199" s="36"/>
      <c r="D1199" s="36"/>
      <c r="E1199" s="531"/>
      <c r="F1199" s="531"/>
      <c r="G1199" s="531"/>
    </row>
    <row r="1200" spans="1:7" x14ac:dyDescent="0.3">
      <c r="A1200" s="36"/>
      <c r="B1200" s="36"/>
      <c r="C1200" s="36"/>
      <c r="D1200" s="36"/>
      <c r="E1200" s="531"/>
      <c r="F1200" s="531"/>
      <c r="G1200" s="531"/>
    </row>
    <row r="1201" spans="1:7" x14ac:dyDescent="0.3">
      <c r="A1201" s="36"/>
      <c r="B1201" s="36"/>
      <c r="C1201" s="36"/>
      <c r="D1201" s="36"/>
      <c r="E1201" s="531"/>
      <c r="F1201" s="531"/>
      <c r="G1201" s="531"/>
    </row>
    <row r="1202" spans="1:7" x14ac:dyDescent="0.3">
      <c r="A1202" s="36"/>
      <c r="B1202" s="36"/>
      <c r="C1202" s="36"/>
      <c r="D1202" s="36"/>
      <c r="E1202" s="531"/>
      <c r="F1202" s="531"/>
      <c r="G1202" s="531"/>
    </row>
    <row r="1203" spans="1:7" x14ac:dyDescent="0.3">
      <c r="A1203" s="36"/>
      <c r="B1203" s="36"/>
      <c r="C1203" s="36"/>
      <c r="D1203" s="36"/>
      <c r="E1203" s="531"/>
      <c r="F1203" s="531"/>
      <c r="G1203" s="531"/>
    </row>
    <row r="1204" spans="1:7" x14ac:dyDescent="0.3">
      <c r="A1204" s="36"/>
      <c r="B1204" s="36"/>
      <c r="C1204" s="36"/>
      <c r="D1204" s="36"/>
      <c r="E1204" s="531"/>
      <c r="F1204" s="531"/>
      <c r="G1204" s="531"/>
    </row>
    <row r="1205" spans="1:7" x14ac:dyDescent="0.3">
      <c r="A1205" s="36"/>
      <c r="B1205" s="36"/>
      <c r="C1205" s="36"/>
      <c r="D1205" s="36"/>
      <c r="E1205" s="531"/>
      <c r="F1205" s="531"/>
      <c r="G1205" s="531"/>
    </row>
    <row r="1206" spans="1:7" x14ac:dyDescent="0.3">
      <c r="A1206" s="36"/>
      <c r="B1206" s="36"/>
      <c r="C1206" s="36"/>
      <c r="D1206" s="36"/>
      <c r="E1206" s="531"/>
      <c r="F1206" s="531"/>
      <c r="G1206" s="531"/>
    </row>
    <row r="1207" spans="1:7" x14ac:dyDescent="0.3">
      <c r="A1207" s="36"/>
      <c r="B1207" s="36"/>
      <c r="C1207" s="36"/>
      <c r="D1207" s="36"/>
      <c r="E1207" s="531"/>
      <c r="F1207" s="531"/>
      <c r="G1207" s="531"/>
    </row>
    <row r="1208" spans="1:7" x14ac:dyDescent="0.3">
      <c r="A1208" s="36"/>
      <c r="B1208" s="36"/>
      <c r="C1208" s="36"/>
      <c r="D1208" s="36"/>
      <c r="E1208" s="531"/>
      <c r="F1208" s="531"/>
      <c r="G1208" s="531"/>
    </row>
    <row r="1209" spans="1:7" x14ac:dyDescent="0.3">
      <c r="A1209" s="36"/>
      <c r="B1209" s="36"/>
      <c r="C1209" s="36"/>
      <c r="D1209" s="36"/>
      <c r="E1209" s="531"/>
      <c r="F1209" s="531"/>
      <c r="G1209" s="531"/>
    </row>
    <row r="1210" spans="1:7" x14ac:dyDescent="0.3">
      <c r="A1210" s="36"/>
      <c r="B1210" s="36"/>
      <c r="C1210" s="36"/>
      <c r="D1210" s="36"/>
      <c r="E1210" s="531"/>
      <c r="F1210" s="531"/>
      <c r="G1210" s="531"/>
    </row>
    <row r="1211" spans="1:7" x14ac:dyDescent="0.3">
      <c r="A1211" s="36"/>
      <c r="B1211" s="36"/>
      <c r="C1211" s="36"/>
      <c r="D1211" s="36"/>
      <c r="E1211" s="531"/>
      <c r="F1211" s="531"/>
      <c r="G1211" s="531"/>
    </row>
    <row r="1212" spans="1:7" x14ac:dyDescent="0.3">
      <c r="A1212" s="36"/>
      <c r="B1212" s="36"/>
      <c r="C1212" s="36"/>
      <c r="D1212" s="36"/>
      <c r="E1212" s="531"/>
      <c r="F1212" s="531"/>
      <c r="G1212" s="531"/>
    </row>
    <row r="1213" spans="1:7" x14ac:dyDescent="0.3">
      <c r="A1213" s="36"/>
      <c r="B1213" s="36"/>
      <c r="C1213" s="36"/>
      <c r="D1213" s="36"/>
      <c r="E1213" s="531"/>
      <c r="F1213" s="531"/>
      <c r="G1213" s="531"/>
    </row>
    <row r="1214" spans="1:7" x14ac:dyDescent="0.3">
      <c r="A1214" s="36"/>
      <c r="B1214" s="36"/>
      <c r="C1214" s="36"/>
      <c r="D1214" s="36"/>
      <c r="E1214" s="531"/>
      <c r="F1214" s="531"/>
      <c r="G1214" s="531"/>
    </row>
    <row r="1215" spans="1:7" x14ac:dyDescent="0.3">
      <c r="A1215" s="36"/>
      <c r="B1215" s="36"/>
      <c r="C1215" s="36"/>
      <c r="D1215" s="36"/>
      <c r="E1215" s="531"/>
      <c r="F1215" s="531"/>
      <c r="G1215" s="531"/>
    </row>
    <row r="1216" spans="1:7" x14ac:dyDescent="0.3">
      <c r="A1216" s="36"/>
      <c r="B1216" s="36"/>
      <c r="C1216" s="36"/>
      <c r="D1216" s="36"/>
      <c r="E1216" s="531"/>
      <c r="F1216" s="531"/>
      <c r="G1216" s="531"/>
    </row>
    <row r="1217" spans="1:7" x14ac:dyDescent="0.3">
      <c r="A1217" s="36"/>
      <c r="B1217" s="36"/>
      <c r="C1217" s="36"/>
      <c r="D1217" s="36"/>
      <c r="E1217" s="531"/>
      <c r="F1217" s="531"/>
      <c r="G1217" s="531"/>
    </row>
    <row r="1218" spans="1:7" x14ac:dyDescent="0.3">
      <c r="A1218" s="36"/>
      <c r="B1218" s="36"/>
      <c r="C1218" s="36"/>
      <c r="D1218" s="36"/>
      <c r="E1218" s="531"/>
      <c r="F1218" s="531"/>
      <c r="G1218" s="531"/>
    </row>
    <row r="1219" spans="1:7" x14ac:dyDescent="0.3">
      <c r="A1219" s="36"/>
      <c r="B1219" s="36"/>
      <c r="C1219" s="36"/>
      <c r="D1219" s="36"/>
      <c r="E1219" s="531"/>
      <c r="F1219" s="531"/>
      <c r="G1219" s="531"/>
    </row>
    <row r="1220" spans="1:7" x14ac:dyDescent="0.3">
      <c r="A1220" s="36"/>
      <c r="B1220" s="36"/>
      <c r="C1220" s="36"/>
      <c r="D1220" s="36"/>
      <c r="E1220" s="531"/>
      <c r="F1220" s="531"/>
      <c r="G1220" s="531"/>
    </row>
    <row r="1221" spans="1:7" x14ac:dyDescent="0.3">
      <c r="A1221" s="36"/>
      <c r="B1221" s="36"/>
      <c r="C1221" s="36"/>
      <c r="D1221" s="36"/>
      <c r="E1221" s="531"/>
      <c r="F1221" s="531"/>
      <c r="G1221" s="531"/>
    </row>
    <row r="1222" spans="1:7" x14ac:dyDescent="0.3">
      <c r="A1222" s="36"/>
      <c r="B1222" s="36"/>
      <c r="C1222" s="36"/>
      <c r="D1222" s="36"/>
      <c r="E1222" s="531"/>
      <c r="F1222" s="531"/>
      <c r="G1222" s="531"/>
    </row>
    <row r="1223" spans="1:7" x14ac:dyDescent="0.3">
      <c r="A1223" s="36"/>
      <c r="B1223" s="36"/>
      <c r="C1223" s="36"/>
      <c r="D1223" s="36"/>
      <c r="E1223" s="531"/>
      <c r="F1223" s="531"/>
      <c r="G1223" s="531"/>
    </row>
    <row r="1224" spans="1:7" x14ac:dyDescent="0.3">
      <c r="A1224" s="36"/>
      <c r="B1224" s="36"/>
      <c r="C1224" s="36"/>
      <c r="D1224" s="36"/>
      <c r="E1224" s="531"/>
      <c r="F1224" s="531"/>
      <c r="G1224" s="531"/>
    </row>
    <row r="1225" spans="1:7" x14ac:dyDescent="0.3">
      <c r="A1225" s="36"/>
      <c r="B1225" s="36"/>
      <c r="C1225" s="36"/>
      <c r="D1225" s="36"/>
      <c r="E1225" s="531"/>
      <c r="F1225" s="531"/>
      <c r="G1225" s="531"/>
    </row>
    <row r="1226" spans="1:7" x14ac:dyDescent="0.3">
      <c r="A1226" s="36"/>
      <c r="B1226" s="36"/>
      <c r="C1226" s="36"/>
      <c r="D1226" s="36"/>
      <c r="E1226" s="531"/>
      <c r="F1226" s="531"/>
      <c r="G1226" s="531"/>
    </row>
    <row r="1227" spans="1:7" x14ac:dyDescent="0.3">
      <c r="A1227" s="36"/>
      <c r="B1227" s="36"/>
      <c r="C1227" s="36"/>
      <c r="D1227" s="36"/>
      <c r="E1227" s="531"/>
      <c r="F1227" s="531"/>
      <c r="G1227" s="531"/>
    </row>
    <row r="1228" spans="1:7" x14ac:dyDescent="0.3">
      <c r="A1228" s="36"/>
      <c r="B1228" s="36"/>
      <c r="C1228" s="36"/>
      <c r="D1228" s="36"/>
      <c r="E1228" s="531"/>
      <c r="F1228" s="531"/>
      <c r="G1228" s="531"/>
    </row>
    <row r="1229" spans="1:7" x14ac:dyDescent="0.3">
      <c r="A1229" s="36"/>
      <c r="B1229" s="36"/>
      <c r="C1229" s="36"/>
      <c r="D1229" s="36"/>
      <c r="E1229" s="531"/>
      <c r="F1229" s="531"/>
      <c r="G1229" s="531"/>
    </row>
    <row r="1230" spans="1:7" x14ac:dyDescent="0.3">
      <c r="A1230" s="36"/>
      <c r="B1230" s="36"/>
      <c r="C1230" s="36"/>
      <c r="D1230" s="36"/>
      <c r="E1230" s="531"/>
      <c r="F1230" s="531"/>
      <c r="G1230" s="531"/>
    </row>
    <row r="1231" spans="1:7" x14ac:dyDescent="0.3">
      <c r="A1231" s="36"/>
      <c r="B1231" s="36"/>
      <c r="C1231" s="36"/>
      <c r="D1231" s="36"/>
      <c r="E1231" s="531"/>
      <c r="F1231" s="531"/>
      <c r="G1231" s="531"/>
    </row>
    <row r="1232" spans="1:7" x14ac:dyDescent="0.3">
      <c r="A1232" s="36"/>
      <c r="B1232" s="36"/>
      <c r="C1232" s="36"/>
      <c r="D1232" s="36"/>
      <c r="E1232" s="531"/>
      <c r="F1232" s="531"/>
      <c r="G1232" s="531"/>
    </row>
    <row r="1233" spans="1:7" x14ac:dyDescent="0.3">
      <c r="A1233" s="36"/>
      <c r="B1233" s="36"/>
      <c r="C1233" s="36"/>
      <c r="D1233" s="36"/>
      <c r="E1233" s="531"/>
      <c r="F1233" s="531"/>
      <c r="G1233" s="531"/>
    </row>
    <row r="1234" spans="1:7" x14ac:dyDescent="0.3">
      <c r="A1234" s="36"/>
      <c r="B1234" s="36"/>
      <c r="C1234" s="36"/>
      <c r="D1234" s="36"/>
      <c r="E1234" s="531"/>
      <c r="F1234" s="531"/>
      <c r="G1234" s="531"/>
    </row>
    <row r="1235" spans="1:7" x14ac:dyDescent="0.3">
      <c r="A1235" s="36"/>
      <c r="B1235" s="36"/>
      <c r="C1235" s="36"/>
      <c r="D1235" s="36"/>
      <c r="E1235" s="531"/>
      <c r="F1235" s="531"/>
      <c r="G1235" s="531"/>
    </row>
    <row r="1236" spans="1:7" x14ac:dyDescent="0.3">
      <c r="A1236" s="36"/>
      <c r="B1236" s="36"/>
      <c r="C1236" s="36"/>
      <c r="D1236" s="36"/>
      <c r="E1236" s="531"/>
      <c r="F1236" s="531"/>
      <c r="G1236" s="531"/>
    </row>
    <row r="1237" spans="1:7" x14ac:dyDescent="0.3">
      <c r="A1237" s="36"/>
      <c r="B1237" s="36"/>
      <c r="C1237" s="36"/>
      <c r="D1237" s="36"/>
      <c r="E1237" s="531"/>
      <c r="F1237" s="531"/>
      <c r="G1237" s="531"/>
    </row>
    <row r="1238" spans="1:7" x14ac:dyDescent="0.3">
      <c r="A1238" s="36"/>
      <c r="B1238" s="36"/>
      <c r="C1238" s="36"/>
      <c r="D1238" s="36"/>
      <c r="E1238" s="531"/>
      <c r="F1238" s="531"/>
      <c r="G1238" s="531"/>
    </row>
    <row r="1239" spans="1:7" x14ac:dyDescent="0.3">
      <c r="A1239" s="36"/>
      <c r="B1239" s="36"/>
      <c r="C1239" s="36"/>
      <c r="D1239" s="36"/>
      <c r="E1239" s="531"/>
      <c r="F1239" s="531"/>
      <c r="G1239" s="531"/>
    </row>
    <row r="1240" spans="1:7" x14ac:dyDescent="0.3">
      <c r="A1240" s="36"/>
      <c r="B1240" s="36"/>
      <c r="C1240" s="36"/>
      <c r="D1240" s="36"/>
      <c r="E1240" s="531"/>
      <c r="F1240" s="531"/>
      <c r="G1240" s="531"/>
    </row>
    <row r="1241" spans="1:7" x14ac:dyDescent="0.3">
      <c r="A1241" s="36"/>
      <c r="B1241" s="36"/>
      <c r="C1241" s="36"/>
      <c r="D1241" s="36"/>
      <c r="E1241" s="531"/>
      <c r="F1241" s="531"/>
      <c r="G1241" s="531"/>
    </row>
    <row r="1242" spans="1:7" x14ac:dyDescent="0.3">
      <c r="A1242" s="36"/>
      <c r="B1242" s="36"/>
      <c r="C1242" s="36"/>
      <c r="D1242" s="36"/>
      <c r="E1242" s="531"/>
      <c r="F1242" s="531"/>
      <c r="G1242" s="531"/>
    </row>
    <row r="1243" spans="1:7" x14ac:dyDescent="0.3">
      <c r="A1243" s="36"/>
      <c r="B1243" s="36"/>
      <c r="C1243" s="36"/>
      <c r="D1243" s="36"/>
      <c r="E1243" s="531"/>
      <c r="F1243" s="531"/>
      <c r="G1243" s="531"/>
    </row>
    <row r="1244" spans="1:7" x14ac:dyDescent="0.3">
      <c r="A1244" s="36"/>
      <c r="B1244" s="36"/>
      <c r="C1244" s="36"/>
      <c r="D1244" s="36"/>
      <c r="E1244" s="531"/>
      <c r="F1244" s="531"/>
      <c r="G1244" s="531"/>
    </row>
    <row r="1245" spans="1:7" x14ac:dyDescent="0.3">
      <c r="A1245" s="36"/>
      <c r="B1245" s="36"/>
      <c r="C1245" s="36"/>
      <c r="D1245" s="36"/>
      <c r="E1245" s="531"/>
      <c r="F1245" s="531"/>
      <c r="G1245" s="531"/>
    </row>
    <row r="1246" spans="1:7" x14ac:dyDescent="0.3">
      <c r="A1246" s="36"/>
      <c r="B1246" s="36"/>
      <c r="C1246" s="36"/>
      <c r="D1246" s="36"/>
      <c r="E1246" s="531"/>
      <c r="F1246" s="531"/>
      <c r="G1246" s="531"/>
    </row>
    <row r="1247" spans="1:7" x14ac:dyDescent="0.3">
      <c r="A1247" s="36"/>
      <c r="B1247" s="36"/>
      <c r="C1247" s="36"/>
      <c r="D1247" s="36"/>
      <c r="E1247" s="531"/>
      <c r="F1247" s="531"/>
      <c r="G1247" s="531"/>
    </row>
    <row r="1248" spans="1:7" x14ac:dyDescent="0.3">
      <c r="A1248" s="36"/>
      <c r="B1248" s="36"/>
      <c r="C1248" s="36"/>
      <c r="D1248" s="36"/>
      <c r="E1248" s="531"/>
      <c r="F1248" s="531"/>
      <c r="G1248" s="531"/>
    </row>
    <row r="1249" spans="1:7" x14ac:dyDescent="0.3">
      <c r="A1249" s="36"/>
      <c r="B1249" s="36"/>
      <c r="C1249" s="36"/>
      <c r="D1249" s="36"/>
      <c r="E1249" s="531"/>
      <c r="F1249" s="531"/>
      <c r="G1249" s="531"/>
    </row>
    <row r="1250" spans="1:7" x14ac:dyDescent="0.3">
      <c r="A1250" s="36"/>
      <c r="B1250" s="36"/>
      <c r="C1250" s="36"/>
      <c r="D1250" s="36"/>
      <c r="E1250" s="531"/>
      <c r="F1250" s="531"/>
      <c r="G1250" s="531"/>
    </row>
    <row r="1251" spans="1:7" x14ac:dyDescent="0.3">
      <c r="A1251" s="36"/>
      <c r="B1251" s="36"/>
      <c r="C1251" s="36"/>
      <c r="D1251" s="36"/>
      <c r="E1251" s="531"/>
      <c r="F1251" s="531"/>
      <c r="G1251" s="531"/>
    </row>
    <row r="1252" spans="1:7" x14ac:dyDescent="0.3">
      <c r="A1252" s="36"/>
      <c r="B1252" s="36"/>
      <c r="C1252" s="36"/>
      <c r="D1252" s="36"/>
      <c r="E1252" s="531"/>
      <c r="F1252" s="531"/>
      <c r="G1252" s="531"/>
    </row>
    <row r="1253" spans="1:7" x14ac:dyDescent="0.3">
      <c r="A1253" s="36"/>
      <c r="B1253" s="36"/>
      <c r="C1253" s="36"/>
      <c r="D1253" s="36"/>
      <c r="E1253" s="531"/>
      <c r="F1253" s="531"/>
      <c r="G1253" s="531"/>
    </row>
    <row r="1254" spans="1:7" x14ac:dyDescent="0.3">
      <c r="A1254" s="36"/>
      <c r="B1254" s="36"/>
      <c r="C1254" s="36"/>
      <c r="D1254" s="36"/>
      <c r="E1254" s="531"/>
      <c r="F1254" s="531"/>
      <c r="G1254" s="531"/>
    </row>
    <row r="1255" spans="1:7" x14ac:dyDescent="0.3">
      <c r="A1255" s="36"/>
      <c r="B1255" s="36"/>
      <c r="C1255" s="36"/>
      <c r="D1255" s="36"/>
      <c r="E1255" s="531"/>
      <c r="F1255" s="531"/>
      <c r="G1255" s="531"/>
    </row>
    <row r="1256" spans="1:7" x14ac:dyDescent="0.3">
      <c r="A1256" s="36"/>
      <c r="B1256" s="36"/>
      <c r="C1256" s="36"/>
      <c r="D1256" s="36"/>
      <c r="E1256" s="531"/>
      <c r="F1256" s="531"/>
      <c r="G1256" s="531"/>
    </row>
    <row r="1257" spans="1:7" x14ac:dyDescent="0.3">
      <c r="A1257" s="36"/>
      <c r="B1257" s="36"/>
      <c r="C1257" s="36"/>
      <c r="D1257" s="36"/>
      <c r="E1257" s="531"/>
      <c r="F1257" s="531"/>
      <c r="G1257" s="531"/>
    </row>
    <row r="1258" spans="1:7" x14ac:dyDescent="0.3">
      <c r="A1258" s="36"/>
      <c r="B1258" s="36"/>
      <c r="C1258" s="36"/>
      <c r="D1258" s="36"/>
      <c r="E1258" s="531"/>
      <c r="F1258" s="531"/>
      <c r="G1258" s="531"/>
    </row>
    <row r="1259" spans="1:7" x14ac:dyDescent="0.3">
      <c r="A1259" s="36"/>
      <c r="B1259" s="36"/>
      <c r="C1259" s="36"/>
      <c r="D1259" s="36"/>
      <c r="E1259" s="531"/>
      <c r="F1259" s="531"/>
      <c r="G1259" s="531"/>
    </row>
    <row r="1260" spans="1:7" x14ac:dyDescent="0.3">
      <c r="A1260" s="36"/>
      <c r="B1260" s="36"/>
      <c r="C1260" s="36"/>
      <c r="D1260" s="36"/>
      <c r="E1260" s="531"/>
      <c r="F1260" s="531"/>
      <c r="G1260" s="531"/>
    </row>
    <row r="1261" spans="1:7" x14ac:dyDescent="0.3">
      <c r="A1261" s="36"/>
      <c r="B1261" s="36"/>
      <c r="C1261" s="36"/>
      <c r="D1261" s="36"/>
      <c r="E1261" s="531"/>
      <c r="F1261" s="531"/>
      <c r="G1261" s="531"/>
    </row>
    <row r="1262" spans="1:7" x14ac:dyDescent="0.3">
      <c r="A1262" s="36"/>
      <c r="B1262" s="36"/>
      <c r="C1262" s="36"/>
      <c r="D1262" s="36"/>
      <c r="E1262" s="531"/>
      <c r="F1262" s="531"/>
      <c r="G1262" s="531"/>
    </row>
    <row r="1263" spans="1:7" x14ac:dyDescent="0.3">
      <c r="A1263" s="36"/>
      <c r="B1263" s="36"/>
      <c r="C1263" s="36"/>
      <c r="D1263" s="36"/>
      <c r="E1263" s="531"/>
      <c r="F1263" s="531"/>
      <c r="G1263" s="531"/>
    </row>
    <row r="1264" spans="1:7" x14ac:dyDescent="0.3">
      <c r="A1264" s="36"/>
      <c r="B1264" s="36"/>
      <c r="C1264" s="36"/>
      <c r="D1264" s="36"/>
      <c r="E1264" s="531"/>
      <c r="F1264" s="531"/>
      <c r="G1264" s="531"/>
    </row>
    <row r="1265" spans="1:7" x14ac:dyDescent="0.3">
      <c r="A1265" s="36"/>
      <c r="B1265" s="36"/>
      <c r="C1265" s="36"/>
      <c r="D1265" s="36"/>
      <c r="E1265" s="531"/>
      <c r="F1265" s="531"/>
      <c r="G1265" s="531"/>
    </row>
    <row r="1266" spans="1:7" x14ac:dyDescent="0.3">
      <c r="A1266" s="36"/>
      <c r="B1266" s="36"/>
      <c r="C1266" s="36"/>
      <c r="D1266" s="36"/>
      <c r="E1266" s="531"/>
      <c r="F1266" s="531"/>
      <c r="G1266" s="531"/>
    </row>
    <row r="1267" spans="1:7" x14ac:dyDescent="0.3">
      <c r="A1267" s="36"/>
      <c r="B1267" s="36"/>
      <c r="C1267" s="36"/>
      <c r="D1267" s="36"/>
      <c r="E1267" s="531"/>
      <c r="F1267" s="531"/>
      <c r="G1267" s="531"/>
    </row>
    <row r="1268" spans="1:7" x14ac:dyDescent="0.3">
      <c r="A1268" s="36"/>
      <c r="B1268" s="36"/>
      <c r="C1268" s="36"/>
      <c r="D1268" s="36"/>
      <c r="E1268" s="531"/>
      <c r="F1268" s="531"/>
      <c r="G1268" s="531"/>
    </row>
    <row r="1269" spans="1:7" x14ac:dyDescent="0.3">
      <c r="A1269" s="36"/>
      <c r="B1269" s="36"/>
      <c r="C1269" s="36"/>
      <c r="D1269" s="36"/>
      <c r="E1269" s="531"/>
      <c r="F1269" s="531"/>
      <c r="G1269" s="531"/>
    </row>
    <row r="1270" spans="1:7" x14ac:dyDescent="0.3">
      <c r="A1270" s="36"/>
      <c r="B1270" s="36"/>
      <c r="C1270" s="36"/>
      <c r="D1270" s="36"/>
      <c r="E1270" s="531"/>
      <c r="F1270" s="531"/>
      <c r="G1270" s="531"/>
    </row>
    <row r="1271" spans="1:7" x14ac:dyDescent="0.3">
      <c r="A1271" s="36"/>
      <c r="B1271" s="36"/>
      <c r="C1271" s="36"/>
      <c r="D1271" s="36"/>
      <c r="E1271" s="531"/>
      <c r="F1271" s="531"/>
      <c r="G1271" s="531"/>
    </row>
    <row r="1272" spans="1:7" x14ac:dyDescent="0.3">
      <c r="A1272" s="36"/>
      <c r="B1272" s="36"/>
      <c r="C1272" s="36"/>
      <c r="D1272" s="36"/>
      <c r="E1272" s="531"/>
      <c r="F1272" s="531"/>
      <c r="G1272" s="531"/>
    </row>
    <row r="1273" spans="1:7" x14ac:dyDescent="0.3">
      <c r="A1273" s="36"/>
      <c r="B1273" s="36"/>
      <c r="C1273" s="36"/>
      <c r="D1273" s="36"/>
      <c r="E1273" s="531"/>
      <c r="F1273" s="531"/>
      <c r="G1273" s="531"/>
    </row>
    <row r="1274" spans="1:7" x14ac:dyDescent="0.3">
      <c r="A1274" s="36"/>
      <c r="B1274" s="36"/>
      <c r="C1274" s="36"/>
      <c r="D1274" s="36"/>
      <c r="E1274" s="531"/>
      <c r="F1274" s="531"/>
      <c r="G1274" s="531"/>
    </row>
    <row r="1275" spans="1:7" x14ac:dyDescent="0.3">
      <c r="A1275" s="36"/>
      <c r="B1275" s="36"/>
      <c r="C1275" s="36"/>
      <c r="D1275" s="36"/>
      <c r="E1275" s="531"/>
      <c r="F1275" s="531"/>
      <c r="G1275" s="531"/>
    </row>
    <row r="1276" spans="1:7" x14ac:dyDescent="0.3">
      <c r="A1276" s="36"/>
      <c r="B1276" s="36"/>
      <c r="C1276" s="36"/>
      <c r="D1276" s="36"/>
      <c r="E1276" s="531"/>
      <c r="F1276" s="531"/>
      <c r="G1276" s="531"/>
    </row>
    <row r="1277" spans="1:7" x14ac:dyDescent="0.3">
      <c r="A1277" s="36"/>
      <c r="B1277" s="36"/>
      <c r="C1277" s="36"/>
      <c r="D1277" s="36"/>
      <c r="E1277" s="531"/>
      <c r="F1277" s="531"/>
      <c r="G1277" s="531"/>
    </row>
    <row r="1278" spans="1:7" x14ac:dyDescent="0.3">
      <c r="A1278" s="36"/>
      <c r="B1278" s="36"/>
      <c r="C1278" s="36"/>
      <c r="D1278" s="36"/>
      <c r="E1278" s="531"/>
      <c r="F1278" s="531"/>
      <c r="G1278" s="531"/>
    </row>
    <row r="1279" spans="1:7" x14ac:dyDescent="0.3">
      <c r="A1279" s="36"/>
      <c r="B1279" s="36"/>
      <c r="C1279" s="36"/>
      <c r="D1279" s="36"/>
      <c r="E1279" s="531"/>
      <c r="F1279" s="531"/>
      <c r="G1279" s="531"/>
    </row>
    <row r="1280" spans="1:7" x14ac:dyDescent="0.3">
      <c r="A1280" s="36"/>
      <c r="B1280" s="36"/>
      <c r="C1280" s="36"/>
      <c r="D1280" s="36"/>
      <c r="E1280" s="531"/>
      <c r="F1280" s="531"/>
      <c r="G1280" s="531"/>
    </row>
    <row r="1281" spans="1:7" x14ac:dyDescent="0.3">
      <c r="A1281" s="36"/>
      <c r="B1281" s="36"/>
      <c r="C1281" s="36"/>
      <c r="D1281" s="36"/>
      <c r="E1281" s="531"/>
      <c r="F1281" s="531"/>
      <c r="G1281" s="531"/>
    </row>
    <row r="1282" spans="1:7" x14ac:dyDescent="0.3">
      <c r="A1282" s="36"/>
      <c r="B1282" s="36"/>
      <c r="C1282" s="36"/>
      <c r="D1282" s="36"/>
      <c r="E1282" s="531"/>
      <c r="F1282" s="531"/>
      <c r="G1282" s="531"/>
    </row>
    <row r="1283" spans="1:7" x14ac:dyDescent="0.3">
      <c r="A1283" s="36"/>
      <c r="B1283" s="36"/>
      <c r="C1283" s="36"/>
      <c r="D1283" s="36"/>
      <c r="E1283" s="531"/>
      <c r="F1283" s="531"/>
      <c r="G1283" s="531"/>
    </row>
    <row r="1284" spans="1:7" x14ac:dyDescent="0.3">
      <c r="A1284" s="36"/>
      <c r="B1284" s="36"/>
      <c r="C1284" s="36"/>
      <c r="D1284" s="36"/>
      <c r="E1284" s="531"/>
      <c r="F1284" s="531"/>
      <c r="G1284" s="531"/>
    </row>
    <row r="1285" spans="1:7" x14ac:dyDescent="0.3">
      <c r="A1285" s="36"/>
      <c r="B1285" s="36"/>
      <c r="C1285" s="36"/>
      <c r="D1285" s="36"/>
      <c r="E1285" s="531"/>
      <c r="F1285" s="531"/>
      <c r="G1285" s="531"/>
    </row>
    <row r="1286" spans="1:7" x14ac:dyDescent="0.3">
      <c r="A1286" s="36"/>
      <c r="B1286" s="36"/>
      <c r="C1286" s="36"/>
      <c r="D1286" s="36"/>
      <c r="E1286" s="531"/>
      <c r="F1286" s="531"/>
      <c r="G1286" s="531"/>
    </row>
    <row r="1287" spans="1:7" x14ac:dyDescent="0.3">
      <c r="A1287" s="36"/>
      <c r="B1287" s="36"/>
      <c r="C1287" s="36"/>
      <c r="D1287" s="36"/>
      <c r="E1287" s="531"/>
      <c r="F1287" s="531"/>
      <c r="G1287" s="531"/>
    </row>
    <row r="1288" spans="1:7" x14ac:dyDescent="0.3">
      <c r="A1288" s="36"/>
      <c r="B1288" s="36"/>
      <c r="C1288" s="36"/>
      <c r="D1288" s="36"/>
      <c r="E1288" s="531"/>
      <c r="F1288" s="531"/>
      <c r="G1288" s="531"/>
    </row>
    <row r="1289" spans="1:7" x14ac:dyDescent="0.3">
      <c r="A1289" s="36"/>
      <c r="B1289" s="36"/>
      <c r="C1289" s="36"/>
      <c r="D1289" s="36"/>
      <c r="E1289" s="531"/>
      <c r="F1289" s="531"/>
      <c r="G1289" s="531"/>
    </row>
    <row r="1290" spans="1:7" x14ac:dyDescent="0.3">
      <c r="A1290" s="36"/>
      <c r="B1290" s="36"/>
      <c r="C1290" s="36"/>
      <c r="D1290" s="36"/>
      <c r="E1290" s="531"/>
      <c r="F1290" s="531"/>
      <c r="G1290" s="531"/>
    </row>
    <row r="1291" spans="1:7" x14ac:dyDescent="0.3">
      <c r="A1291" s="36"/>
      <c r="B1291" s="36"/>
      <c r="C1291" s="36"/>
      <c r="D1291" s="36"/>
      <c r="E1291" s="531"/>
      <c r="F1291" s="531"/>
      <c r="G1291" s="531"/>
    </row>
    <row r="1292" spans="1:7" x14ac:dyDescent="0.3">
      <c r="A1292" s="36"/>
      <c r="B1292" s="36"/>
      <c r="C1292" s="36"/>
      <c r="D1292" s="36"/>
      <c r="E1292" s="531"/>
      <c r="F1292" s="531"/>
      <c r="G1292" s="531"/>
    </row>
    <row r="1293" spans="1:7" x14ac:dyDescent="0.3">
      <c r="A1293" s="36"/>
      <c r="B1293" s="36"/>
      <c r="C1293" s="36"/>
      <c r="D1293" s="36"/>
      <c r="E1293" s="531"/>
      <c r="F1293" s="531"/>
      <c r="G1293" s="531"/>
    </row>
    <row r="1294" spans="1:7" x14ac:dyDescent="0.3">
      <c r="A1294" s="36"/>
      <c r="B1294" s="36"/>
      <c r="C1294" s="36"/>
      <c r="D1294" s="36"/>
      <c r="E1294" s="531"/>
      <c r="F1294" s="531"/>
      <c r="G1294" s="531"/>
    </row>
    <row r="1295" spans="1:7" x14ac:dyDescent="0.3">
      <c r="A1295" s="36"/>
      <c r="B1295" s="36"/>
      <c r="C1295" s="36"/>
      <c r="D1295" s="36"/>
      <c r="E1295" s="531"/>
      <c r="F1295" s="531"/>
      <c r="G1295" s="531"/>
    </row>
    <row r="1296" spans="1:7" x14ac:dyDescent="0.3">
      <c r="A1296" s="36"/>
      <c r="B1296" s="36"/>
      <c r="C1296" s="36"/>
      <c r="D1296" s="36"/>
      <c r="E1296" s="531"/>
      <c r="F1296" s="531"/>
      <c r="G1296" s="531"/>
    </row>
    <row r="1297" spans="1:7" x14ac:dyDescent="0.3">
      <c r="A1297" s="36"/>
      <c r="B1297" s="36"/>
      <c r="C1297" s="36"/>
      <c r="D1297" s="36"/>
      <c r="E1297" s="531"/>
      <c r="F1297" s="531"/>
      <c r="G1297" s="531"/>
    </row>
    <row r="1298" spans="1:7" x14ac:dyDescent="0.3">
      <c r="A1298" s="36"/>
      <c r="B1298" s="36"/>
      <c r="C1298" s="36"/>
      <c r="D1298" s="36"/>
      <c r="E1298" s="531"/>
      <c r="F1298" s="531"/>
      <c r="G1298" s="531"/>
    </row>
    <row r="1299" spans="1:7" x14ac:dyDescent="0.3">
      <c r="A1299" s="36"/>
      <c r="B1299" s="36"/>
      <c r="C1299" s="36"/>
      <c r="D1299" s="36"/>
      <c r="E1299" s="531"/>
      <c r="F1299" s="531"/>
      <c r="G1299" s="531"/>
    </row>
    <row r="1300" spans="1:7" x14ac:dyDescent="0.3">
      <c r="A1300" s="36"/>
      <c r="B1300" s="36"/>
      <c r="C1300" s="36"/>
      <c r="D1300" s="36"/>
      <c r="E1300" s="531"/>
      <c r="F1300" s="531"/>
      <c r="G1300" s="531"/>
    </row>
    <row r="1301" spans="1:7" x14ac:dyDescent="0.3">
      <c r="A1301" s="36"/>
      <c r="B1301" s="36"/>
      <c r="C1301" s="36"/>
      <c r="D1301" s="36"/>
      <c r="E1301" s="531"/>
      <c r="F1301" s="531"/>
      <c r="G1301" s="531"/>
    </row>
    <row r="1302" spans="1:7" x14ac:dyDescent="0.3">
      <c r="A1302" s="36"/>
      <c r="B1302" s="36"/>
      <c r="C1302" s="36"/>
      <c r="D1302" s="36"/>
      <c r="E1302" s="531"/>
      <c r="F1302" s="531"/>
      <c r="G1302" s="531"/>
    </row>
    <row r="1303" spans="1:7" x14ac:dyDescent="0.3">
      <c r="A1303" s="36"/>
      <c r="B1303" s="36"/>
      <c r="C1303" s="36"/>
      <c r="D1303" s="36"/>
      <c r="E1303" s="531"/>
      <c r="F1303" s="531"/>
      <c r="G1303" s="531"/>
    </row>
    <row r="1304" spans="1:7" x14ac:dyDescent="0.3">
      <c r="A1304" s="36"/>
      <c r="B1304" s="36"/>
      <c r="C1304" s="36"/>
      <c r="D1304" s="36"/>
      <c r="E1304" s="531"/>
      <c r="F1304" s="531"/>
      <c r="G1304" s="531"/>
    </row>
    <row r="1305" spans="1:7" x14ac:dyDescent="0.3">
      <c r="A1305" s="36"/>
      <c r="B1305" s="36"/>
      <c r="C1305" s="36"/>
      <c r="D1305" s="36"/>
      <c r="E1305" s="531"/>
      <c r="F1305" s="531"/>
      <c r="G1305" s="531"/>
    </row>
    <row r="1306" spans="1:7" x14ac:dyDescent="0.3">
      <c r="A1306" s="36"/>
      <c r="B1306" s="36"/>
      <c r="C1306" s="36"/>
      <c r="D1306" s="36"/>
      <c r="E1306" s="531"/>
      <c r="F1306" s="531"/>
      <c r="G1306" s="531"/>
    </row>
    <row r="1307" spans="1:7" x14ac:dyDescent="0.3">
      <c r="A1307" s="36"/>
      <c r="B1307" s="36"/>
      <c r="C1307" s="36"/>
      <c r="D1307" s="36"/>
      <c r="E1307" s="531"/>
      <c r="F1307" s="531"/>
      <c r="G1307" s="531"/>
    </row>
    <row r="1308" spans="1:7" x14ac:dyDescent="0.3">
      <c r="A1308" s="36"/>
      <c r="B1308" s="36"/>
      <c r="C1308" s="36"/>
      <c r="D1308" s="36"/>
      <c r="E1308" s="531"/>
      <c r="F1308" s="531"/>
      <c r="G1308" s="531"/>
    </row>
    <row r="1309" spans="1:7" x14ac:dyDescent="0.3">
      <c r="A1309" s="36"/>
      <c r="B1309" s="36"/>
      <c r="C1309" s="36"/>
      <c r="D1309" s="36"/>
      <c r="E1309" s="531"/>
      <c r="F1309" s="531"/>
      <c r="G1309" s="531"/>
    </row>
    <row r="1310" spans="1:7" x14ac:dyDescent="0.3">
      <c r="A1310" s="36"/>
      <c r="B1310" s="36"/>
      <c r="C1310" s="36"/>
      <c r="D1310" s="36"/>
      <c r="E1310" s="531"/>
      <c r="F1310" s="531"/>
      <c r="G1310" s="531"/>
    </row>
    <row r="1311" spans="1:7" x14ac:dyDescent="0.3">
      <c r="A1311" s="36"/>
      <c r="B1311" s="36"/>
      <c r="C1311" s="36"/>
      <c r="D1311" s="36"/>
      <c r="E1311" s="531"/>
      <c r="F1311" s="531"/>
      <c r="G1311" s="531"/>
    </row>
    <row r="1312" spans="1:7" x14ac:dyDescent="0.3">
      <c r="A1312" s="36"/>
      <c r="B1312" s="36"/>
      <c r="C1312" s="36"/>
      <c r="D1312" s="36"/>
      <c r="E1312" s="531"/>
      <c r="F1312" s="531"/>
      <c r="G1312" s="531"/>
    </row>
    <row r="1313" spans="1:7" x14ac:dyDescent="0.3">
      <c r="A1313" s="36"/>
      <c r="B1313" s="36"/>
      <c r="C1313" s="36"/>
      <c r="D1313" s="36"/>
      <c r="E1313" s="531"/>
      <c r="F1313" s="531"/>
      <c r="G1313" s="531"/>
    </row>
    <row r="1314" spans="1:7" x14ac:dyDescent="0.3">
      <c r="A1314" s="36"/>
      <c r="B1314" s="36"/>
      <c r="C1314" s="36"/>
      <c r="D1314" s="36"/>
      <c r="E1314" s="531"/>
      <c r="F1314" s="531"/>
      <c r="G1314" s="531"/>
    </row>
    <row r="1315" spans="1:7" x14ac:dyDescent="0.3">
      <c r="A1315" s="36"/>
      <c r="B1315" s="36"/>
      <c r="C1315" s="36"/>
      <c r="D1315" s="36"/>
      <c r="E1315" s="531"/>
      <c r="F1315" s="531"/>
      <c r="G1315" s="531"/>
    </row>
    <row r="1316" spans="1:7" x14ac:dyDescent="0.3">
      <c r="A1316" s="36"/>
      <c r="B1316" s="36"/>
      <c r="C1316" s="36"/>
      <c r="D1316" s="36"/>
      <c r="E1316" s="531"/>
      <c r="F1316" s="531"/>
      <c r="G1316" s="531"/>
    </row>
    <row r="1317" spans="1:7" x14ac:dyDescent="0.3">
      <c r="A1317" s="36"/>
      <c r="B1317" s="36"/>
      <c r="C1317" s="36"/>
      <c r="D1317" s="36"/>
      <c r="E1317" s="531"/>
      <c r="F1317" s="531"/>
      <c r="G1317" s="531"/>
    </row>
    <row r="1318" spans="1:7" x14ac:dyDescent="0.3">
      <c r="A1318" s="36"/>
      <c r="B1318" s="36"/>
      <c r="C1318" s="36"/>
      <c r="D1318" s="36"/>
      <c r="E1318" s="531"/>
      <c r="F1318" s="531"/>
      <c r="G1318" s="531"/>
    </row>
    <row r="1319" spans="1:7" x14ac:dyDescent="0.3">
      <c r="A1319" s="36"/>
      <c r="B1319" s="36"/>
      <c r="C1319" s="36"/>
      <c r="D1319" s="36"/>
      <c r="E1319" s="531"/>
      <c r="F1319" s="531"/>
      <c r="G1319" s="531"/>
    </row>
    <row r="1320" spans="1:7" x14ac:dyDescent="0.3">
      <c r="A1320" s="36"/>
      <c r="B1320" s="36"/>
      <c r="C1320" s="36"/>
      <c r="D1320" s="36"/>
      <c r="E1320" s="531"/>
      <c r="F1320" s="531"/>
      <c r="G1320" s="531"/>
    </row>
    <row r="1321" spans="1:7" x14ac:dyDescent="0.3">
      <c r="A1321" s="36"/>
      <c r="B1321" s="36"/>
      <c r="C1321" s="36"/>
      <c r="D1321" s="36"/>
      <c r="E1321" s="531"/>
      <c r="F1321" s="531"/>
      <c r="G1321" s="531"/>
    </row>
    <row r="1322" spans="1:7" x14ac:dyDescent="0.3">
      <c r="A1322" s="36"/>
      <c r="B1322" s="36"/>
      <c r="C1322" s="36"/>
      <c r="D1322" s="36"/>
      <c r="E1322" s="531"/>
      <c r="F1322" s="531"/>
      <c r="G1322" s="531"/>
    </row>
    <row r="1323" spans="1:7" x14ac:dyDescent="0.3">
      <c r="A1323" s="36"/>
      <c r="B1323" s="36"/>
      <c r="C1323" s="36"/>
      <c r="D1323" s="36"/>
      <c r="E1323" s="531"/>
      <c r="F1323" s="531"/>
      <c r="G1323" s="531"/>
    </row>
    <row r="1324" spans="1:7" x14ac:dyDescent="0.3">
      <c r="A1324" s="36"/>
      <c r="B1324" s="36"/>
      <c r="C1324" s="36"/>
      <c r="D1324" s="36"/>
      <c r="E1324" s="531"/>
      <c r="F1324" s="531"/>
      <c r="G1324" s="531"/>
    </row>
    <row r="1325" spans="1:7" x14ac:dyDescent="0.3">
      <c r="A1325" s="36"/>
      <c r="B1325" s="36"/>
      <c r="C1325" s="36"/>
      <c r="D1325" s="36"/>
      <c r="E1325" s="531"/>
      <c r="F1325" s="531"/>
      <c r="G1325" s="531"/>
    </row>
    <row r="1326" spans="1:7" x14ac:dyDescent="0.3">
      <c r="A1326" s="36"/>
      <c r="B1326" s="36"/>
      <c r="C1326" s="36"/>
      <c r="D1326" s="36"/>
      <c r="E1326" s="531"/>
      <c r="F1326" s="531"/>
      <c r="G1326" s="531"/>
    </row>
    <row r="1327" spans="1:7" x14ac:dyDescent="0.3">
      <c r="A1327" s="36"/>
      <c r="B1327" s="36"/>
      <c r="C1327" s="36"/>
      <c r="D1327" s="36"/>
      <c r="E1327" s="531"/>
      <c r="F1327" s="531"/>
      <c r="G1327" s="531"/>
    </row>
    <row r="1328" spans="1:7" x14ac:dyDescent="0.3">
      <c r="A1328" s="36"/>
      <c r="B1328" s="36"/>
      <c r="C1328" s="36"/>
      <c r="D1328" s="36"/>
      <c r="E1328" s="531"/>
      <c r="F1328" s="531"/>
      <c r="G1328" s="531"/>
    </row>
    <row r="1329" spans="1:7" x14ac:dyDescent="0.3">
      <c r="A1329" s="36"/>
      <c r="B1329" s="36"/>
      <c r="C1329" s="36"/>
      <c r="D1329" s="36"/>
      <c r="E1329" s="531"/>
      <c r="F1329" s="531"/>
      <c r="G1329" s="531"/>
    </row>
    <row r="1330" spans="1:7" x14ac:dyDescent="0.3">
      <c r="A1330" s="36"/>
      <c r="B1330" s="36"/>
      <c r="C1330" s="36"/>
      <c r="D1330" s="36"/>
      <c r="E1330" s="531"/>
      <c r="F1330" s="531"/>
      <c r="G1330" s="531"/>
    </row>
    <row r="1331" spans="1:7" x14ac:dyDescent="0.3">
      <c r="A1331" s="36"/>
      <c r="B1331" s="36"/>
      <c r="C1331" s="36"/>
      <c r="D1331" s="36"/>
      <c r="E1331" s="531"/>
      <c r="F1331" s="531"/>
      <c r="G1331" s="531"/>
    </row>
    <row r="1332" spans="1:7" x14ac:dyDescent="0.3">
      <c r="A1332" s="36"/>
      <c r="B1332" s="36"/>
      <c r="C1332" s="36"/>
      <c r="D1332" s="36"/>
      <c r="E1332" s="531"/>
      <c r="F1332" s="531"/>
      <c r="G1332" s="531"/>
    </row>
    <row r="1333" spans="1:7" x14ac:dyDescent="0.3">
      <c r="A1333" s="36"/>
      <c r="B1333" s="36"/>
      <c r="C1333" s="36"/>
      <c r="D1333" s="36"/>
      <c r="E1333" s="531"/>
      <c r="F1333" s="531"/>
      <c r="G1333" s="531"/>
    </row>
    <row r="1334" spans="1:7" x14ac:dyDescent="0.3">
      <c r="A1334" s="36"/>
      <c r="B1334" s="36"/>
      <c r="C1334" s="36"/>
      <c r="D1334" s="36"/>
      <c r="E1334" s="531"/>
      <c r="F1334" s="531"/>
      <c r="G1334" s="531"/>
    </row>
    <row r="1335" spans="1:7" x14ac:dyDescent="0.3">
      <c r="A1335" s="36"/>
      <c r="B1335" s="36"/>
      <c r="C1335" s="36"/>
      <c r="D1335" s="36"/>
      <c r="E1335" s="531"/>
      <c r="F1335" s="531"/>
      <c r="G1335" s="531"/>
    </row>
    <row r="1336" spans="1:7" x14ac:dyDescent="0.3">
      <c r="A1336" s="36"/>
      <c r="B1336" s="36"/>
      <c r="C1336" s="36"/>
      <c r="D1336" s="36"/>
      <c r="E1336" s="531"/>
      <c r="F1336" s="531"/>
      <c r="G1336" s="531"/>
    </row>
    <row r="1337" spans="1:7" x14ac:dyDescent="0.3">
      <c r="A1337" s="36"/>
      <c r="B1337" s="36"/>
      <c r="C1337" s="36"/>
      <c r="D1337" s="36"/>
      <c r="E1337" s="531"/>
      <c r="F1337" s="531"/>
      <c r="G1337" s="531"/>
    </row>
    <row r="1338" spans="1:7" x14ac:dyDescent="0.3">
      <c r="A1338" s="36"/>
      <c r="B1338" s="36"/>
      <c r="C1338" s="36"/>
      <c r="D1338" s="36"/>
      <c r="E1338" s="531"/>
      <c r="F1338" s="531"/>
      <c r="G1338" s="531"/>
    </row>
    <row r="1339" spans="1:7" x14ac:dyDescent="0.3">
      <c r="A1339" s="36"/>
      <c r="B1339" s="36"/>
      <c r="C1339" s="36"/>
      <c r="D1339" s="36"/>
      <c r="E1339" s="531"/>
      <c r="F1339" s="531"/>
      <c r="G1339" s="531"/>
    </row>
    <row r="1340" spans="1:7" x14ac:dyDescent="0.3">
      <c r="A1340" s="36"/>
      <c r="B1340" s="36"/>
      <c r="C1340" s="36"/>
      <c r="D1340" s="36"/>
      <c r="E1340" s="531"/>
      <c r="F1340" s="531"/>
      <c r="G1340" s="531"/>
    </row>
    <row r="1341" spans="1:7" x14ac:dyDescent="0.3">
      <c r="A1341" s="36"/>
      <c r="B1341" s="36"/>
      <c r="C1341" s="36"/>
      <c r="D1341" s="36"/>
      <c r="E1341" s="531"/>
      <c r="F1341" s="531"/>
      <c r="G1341" s="531"/>
    </row>
    <row r="1342" spans="1:7" x14ac:dyDescent="0.3">
      <c r="A1342" s="36"/>
      <c r="B1342" s="36"/>
      <c r="C1342" s="36"/>
      <c r="D1342" s="36"/>
      <c r="E1342" s="531"/>
      <c r="F1342" s="531"/>
      <c r="G1342" s="531"/>
    </row>
    <row r="1343" spans="1:7" x14ac:dyDescent="0.3">
      <c r="A1343" s="36"/>
      <c r="B1343" s="36"/>
      <c r="C1343" s="36"/>
      <c r="D1343" s="36"/>
      <c r="E1343" s="531"/>
      <c r="F1343" s="531"/>
      <c r="G1343" s="531"/>
    </row>
    <row r="1344" spans="1:7" x14ac:dyDescent="0.3">
      <c r="A1344" s="36"/>
      <c r="B1344" s="36"/>
      <c r="C1344" s="36"/>
      <c r="D1344" s="36"/>
      <c r="E1344" s="531"/>
      <c r="F1344" s="531"/>
      <c r="G1344" s="531"/>
    </row>
    <row r="1345" spans="1:7" x14ac:dyDescent="0.3">
      <c r="A1345" s="36"/>
      <c r="B1345" s="36"/>
      <c r="C1345" s="36"/>
      <c r="D1345" s="36"/>
      <c r="E1345" s="531"/>
      <c r="F1345" s="531"/>
      <c r="G1345" s="531"/>
    </row>
    <row r="1346" spans="1:7" x14ac:dyDescent="0.3">
      <c r="A1346" s="36"/>
      <c r="B1346" s="36"/>
      <c r="C1346" s="36"/>
      <c r="D1346" s="36"/>
      <c r="E1346" s="531"/>
      <c r="F1346" s="531"/>
      <c r="G1346" s="531"/>
    </row>
    <row r="1347" spans="1:7" x14ac:dyDescent="0.3">
      <c r="A1347" s="36"/>
      <c r="B1347" s="36"/>
      <c r="C1347" s="36"/>
      <c r="D1347" s="36"/>
      <c r="E1347" s="531"/>
      <c r="F1347" s="531"/>
      <c r="G1347" s="531"/>
    </row>
    <row r="1348" spans="1:7" x14ac:dyDescent="0.3">
      <c r="A1348" s="36"/>
      <c r="B1348" s="36"/>
      <c r="C1348" s="36"/>
      <c r="D1348" s="36"/>
      <c r="E1348" s="531"/>
      <c r="F1348" s="531"/>
      <c r="G1348" s="531"/>
    </row>
    <row r="1349" spans="1:7" x14ac:dyDescent="0.3">
      <c r="A1349" s="36"/>
      <c r="B1349" s="36"/>
      <c r="C1349" s="36"/>
      <c r="D1349" s="36"/>
      <c r="E1349" s="531"/>
      <c r="F1349" s="531"/>
      <c r="G1349" s="531"/>
    </row>
    <row r="1350" spans="1:7" x14ac:dyDescent="0.3">
      <c r="A1350" s="36"/>
      <c r="B1350" s="36"/>
      <c r="C1350" s="36"/>
      <c r="D1350" s="36"/>
      <c r="E1350" s="531"/>
      <c r="F1350" s="531"/>
      <c r="G1350" s="531"/>
    </row>
    <row r="1351" spans="1:7" x14ac:dyDescent="0.3">
      <c r="A1351" s="36"/>
      <c r="B1351" s="36"/>
      <c r="C1351" s="36"/>
      <c r="D1351" s="36"/>
      <c r="E1351" s="531"/>
      <c r="F1351" s="531"/>
      <c r="G1351" s="531"/>
    </row>
    <row r="1352" spans="1:7" x14ac:dyDescent="0.3">
      <c r="A1352" s="36"/>
      <c r="B1352" s="36"/>
      <c r="C1352" s="36"/>
      <c r="D1352" s="36"/>
      <c r="E1352" s="531"/>
      <c r="F1352" s="531"/>
      <c r="G1352" s="531"/>
    </row>
    <row r="1353" spans="1:7" x14ac:dyDescent="0.3">
      <c r="A1353" s="36"/>
      <c r="B1353" s="36"/>
      <c r="C1353" s="36"/>
      <c r="D1353" s="36"/>
      <c r="E1353" s="531"/>
      <c r="F1353" s="531"/>
      <c r="G1353" s="531"/>
    </row>
    <row r="1354" spans="1:7" x14ac:dyDescent="0.3">
      <c r="A1354" s="36"/>
      <c r="B1354" s="36"/>
      <c r="C1354" s="36"/>
      <c r="D1354" s="36"/>
      <c r="E1354" s="531"/>
      <c r="F1354" s="531"/>
      <c r="G1354" s="531"/>
    </row>
    <row r="1355" spans="1:7" x14ac:dyDescent="0.3">
      <c r="A1355" s="36"/>
      <c r="B1355" s="36"/>
      <c r="C1355" s="36"/>
      <c r="D1355" s="36"/>
      <c r="E1355" s="531"/>
      <c r="F1355" s="531"/>
      <c r="G1355" s="531"/>
    </row>
    <row r="1356" spans="1:7" x14ac:dyDescent="0.3">
      <c r="A1356" s="36"/>
      <c r="B1356" s="36"/>
      <c r="C1356" s="36"/>
      <c r="D1356" s="36"/>
      <c r="E1356" s="531"/>
      <c r="F1356" s="531"/>
      <c r="G1356" s="531"/>
    </row>
    <row r="1357" spans="1:7" x14ac:dyDescent="0.3">
      <c r="A1357" s="36"/>
      <c r="B1357" s="36"/>
      <c r="C1357" s="36"/>
      <c r="D1357" s="36"/>
      <c r="E1357" s="531"/>
      <c r="F1357" s="531"/>
      <c r="G1357" s="531"/>
    </row>
    <row r="1358" spans="1:7" x14ac:dyDescent="0.3">
      <c r="A1358" s="36"/>
      <c r="B1358" s="36"/>
      <c r="C1358" s="36"/>
      <c r="D1358" s="36"/>
      <c r="E1358" s="531"/>
      <c r="F1358" s="531"/>
      <c r="G1358" s="531"/>
    </row>
    <row r="1359" spans="1:7" x14ac:dyDescent="0.3">
      <c r="A1359" s="36"/>
      <c r="B1359" s="36"/>
      <c r="C1359" s="36"/>
      <c r="D1359" s="36"/>
      <c r="E1359" s="531"/>
      <c r="F1359" s="531"/>
      <c r="G1359" s="531"/>
    </row>
    <row r="1360" spans="1:7" x14ac:dyDescent="0.3">
      <c r="A1360" s="36"/>
      <c r="B1360" s="36"/>
      <c r="C1360" s="36"/>
      <c r="D1360" s="36"/>
      <c r="E1360" s="531"/>
      <c r="F1360" s="531"/>
      <c r="G1360" s="531"/>
    </row>
    <row r="1361" spans="1:7" x14ac:dyDescent="0.3">
      <c r="A1361" s="36"/>
      <c r="B1361" s="36"/>
      <c r="C1361" s="36"/>
      <c r="D1361" s="36"/>
      <c r="E1361" s="531"/>
      <c r="F1361" s="531"/>
      <c r="G1361" s="531"/>
    </row>
    <row r="1362" spans="1:7" x14ac:dyDescent="0.3">
      <c r="A1362" s="36"/>
      <c r="B1362" s="36"/>
      <c r="C1362" s="36"/>
      <c r="D1362" s="36"/>
      <c r="E1362" s="531"/>
      <c r="F1362" s="531"/>
      <c r="G1362" s="531"/>
    </row>
    <row r="1363" spans="1:7" x14ac:dyDescent="0.3">
      <c r="A1363" s="36"/>
      <c r="B1363" s="36"/>
      <c r="C1363" s="36"/>
      <c r="D1363" s="36"/>
      <c r="E1363" s="531"/>
      <c r="F1363" s="531"/>
      <c r="G1363" s="531"/>
    </row>
    <row r="1364" spans="1:7" x14ac:dyDescent="0.3">
      <c r="A1364" s="36"/>
      <c r="B1364" s="36"/>
      <c r="C1364" s="36"/>
      <c r="D1364" s="36"/>
      <c r="E1364" s="531"/>
      <c r="F1364" s="531"/>
      <c r="G1364" s="531"/>
    </row>
    <row r="1365" spans="1:7" x14ac:dyDescent="0.3">
      <c r="A1365" s="36"/>
      <c r="B1365" s="36"/>
      <c r="C1365" s="36"/>
      <c r="D1365" s="36"/>
      <c r="E1365" s="531"/>
      <c r="F1365" s="531"/>
      <c r="G1365" s="531"/>
    </row>
    <row r="1366" spans="1:7" x14ac:dyDescent="0.3">
      <c r="A1366" s="36"/>
      <c r="B1366" s="36"/>
      <c r="C1366" s="36"/>
      <c r="D1366" s="36"/>
      <c r="E1366" s="531"/>
      <c r="F1366" s="531"/>
      <c r="G1366" s="531"/>
    </row>
    <row r="1367" spans="1:7" x14ac:dyDescent="0.3">
      <c r="A1367" s="36"/>
      <c r="B1367" s="36"/>
      <c r="C1367" s="36"/>
      <c r="D1367" s="36"/>
      <c r="E1367" s="531"/>
      <c r="F1367" s="531"/>
      <c r="G1367" s="531"/>
    </row>
    <row r="1368" spans="1:7" x14ac:dyDescent="0.3">
      <c r="A1368" s="36"/>
      <c r="B1368" s="36"/>
      <c r="C1368" s="36"/>
      <c r="D1368" s="36"/>
      <c r="E1368" s="531"/>
      <c r="F1368" s="531"/>
      <c r="G1368" s="531"/>
    </row>
    <row r="1369" spans="1:7" x14ac:dyDescent="0.3">
      <c r="A1369" s="36"/>
      <c r="B1369" s="36"/>
      <c r="C1369" s="36"/>
      <c r="D1369" s="36"/>
      <c r="E1369" s="531"/>
      <c r="F1369" s="531"/>
      <c r="G1369" s="531"/>
    </row>
    <row r="1370" spans="1:7" x14ac:dyDescent="0.3">
      <c r="A1370" s="36"/>
      <c r="B1370" s="36"/>
      <c r="C1370" s="36"/>
      <c r="D1370" s="36"/>
      <c r="E1370" s="531"/>
      <c r="F1370" s="531"/>
      <c r="G1370" s="531"/>
    </row>
    <row r="1371" spans="1:7" x14ac:dyDescent="0.3">
      <c r="A1371" s="36"/>
      <c r="B1371" s="36"/>
      <c r="C1371" s="36"/>
      <c r="D1371" s="36"/>
      <c r="E1371" s="531"/>
      <c r="F1371" s="531"/>
      <c r="G1371" s="531"/>
    </row>
    <row r="1372" spans="1:7" x14ac:dyDescent="0.3">
      <c r="A1372" s="36"/>
      <c r="B1372" s="36"/>
      <c r="C1372" s="36"/>
      <c r="D1372" s="36"/>
      <c r="E1372" s="531"/>
      <c r="F1372" s="531"/>
      <c r="G1372" s="531"/>
    </row>
    <row r="1373" spans="1:7" x14ac:dyDescent="0.3">
      <c r="A1373" s="36"/>
      <c r="B1373" s="36"/>
      <c r="C1373" s="36"/>
      <c r="D1373" s="36"/>
      <c r="E1373" s="531"/>
      <c r="F1373" s="531"/>
      <c r="G1373" s="531"/>
    </row>
    <row r="1374" spans="1:7" x14ac:dyDescent="0.3">
      <c r="A1374" s="36"/>
      <c r="B1374" s="36"/>
      <c r="C1374" s="36"/>
      <c r="D1374" s="36"/>
      <c r="E1374" s="531"/>
      <c r="F1374" s="531"/>
      <c r="G1374" s="531"/>
    </row>
    <row r="1375" spans="1:7" x14ac:dyDescent="0.3">
      <c r="A1375" s="36"/>
      <c r="B1375" s="36"/>
      <c r="C1375" s="36"/>
      <c r="D1375" s="36"/>
      <c r="E1375" s="531"/>
      <c r="F1375" s="531"/>
      <c r="G1375" s="531"/>
    </row>
    <row r="1376" spans="1:7" x14ac:dyDescent="0.3">
      <c r="A1376" s="36"/>
      <c r="B1376" s="36"/>
      <c r="C1376" s="36"/>
      <c r="D1376" s="36"/>
      <c r="E1376" s="531"/>
      <c r="F1376" s="531"/>
      <c r="G1376" s="531"/>
    </row>
    <row r="1377" spans="1:7" x14ac:dyDescent="0.3">
      <c r="A1377" s="36"/>
      <c r="B1377" s="36"/>
      <c r="C1377" s="36"/>
      <c r="D1377" s="36"/>
      <c r="E1377" s="531"/>
      <c r="F1377" s="531"/>
      <c r="G1377" s="531"/>
    </row>
    <row r="1378" spans="1:7" x14ac:dyDescent="0.3">
      <c r="A1378" s="36"/>
      <c r="B1378" s="36"/>
      <c r="C1378" s="36"/>
      <c r="D1378" s="36"/>
      <c r="E1378" s="531"/>
      <c r="F1378" s="531"/>
      <c r="G1378" s="531"/>
    </row>
    <row r="1379" spans="1:7" x14ac:dyDescent="0.3">
      <c r="A1379" s="36"/>
      <c r="B1379" s="36"/>
      <c r="C1379" s="36"/>
      <c r="D1379" s="36"/>
      <c r="E1379" s="531"/>
      <c r="F1379" s="531"/>
      <c r="G1379" s="531"/>
    </row>
    <row r="1380" spans="1:7" x14ac:dyDescent="0.3">
      <c r="A1380" s="36"/>
      <c r="B1380" s="36"/>
      <c r="C1380" s="36"/>
      <c r="D1380" s="36"/>
      <c r="E1380" s="531"/>
      <c r="F1380" s="531"/>
      <c r="G1380" s="531"/>
    </row>
    <row r="1381" spans="1:7" x14ac:dyDescent="0.3">
      <c r="A1381" s="36"/>
      <c r="B1381" s="36"/>
      <c r="C1381" s="36"/>
      <c r="D1381" s="36"/>
      <c r="E1381" s="531"/>
      <c r="F1381" s="531"/>
      <c r="G1381" s="531"/>
    </row>
    <row r="1382" spans="1:7" x14ac:dyDescent="0.3">
      <c r="A1382" s="36"/>
      <c r="B1382" s="36"/>
      <c r="C1382" s="36"/>
      <c r="D1382" s="36"/>
      <c r="E1382" s="531"/>
      <c r="F1382" s="531"/>
      <c r="G1382" s="531"/>
    </row>
    <row r="1383" spans="1:7" x14ac:dyDescent="0.3">
      <c r="A1383" s="36"/>
      <c r="B1383" s="36"/>
      <c r="C1383" s="36"/>
      <c r="D1383" s="36"/>
      <c r="E1383" s="531"/>
      <c r="F1383" s="531"/>
      <c r="G1383" s="531"/>
    </row>
    <row r="1384" spans="1:7" x14ac:dyDescent="0.3">
      <c r="A1384" s="36"/>
      <c r="B1384" s="36"/>
      <c r="C1384" s="36"/>
      <c r="D1384" s="36"/>
      <c r="E1384" s="531"/>
      <c r="F1384" s="531"/>
      <c r="G1384" s="531"/>
    </row>
    <row r="1385" spans="1:7" x14ac:dyDescent="0.3">
      <c r="A1385" s="36"/>
      <c r="B1385" s="36"/>
      <c r="C1385" s="36"/>
      <c r="D1385" s="36"/>
      <c r="E1385" s="531"/>
      <c r="F1385" s="531"/>
      <c r="G1385" s="531"/>
    </row>
    <row r="1386" spans="1:7" x14ac:dyDescent="0.3">
      <c r="A1386" s="36"/>
      <c r="B1386" s="36"/>
      <c r="C1386" s="36"/>
      <c r="D1386" s="36"/>
      <c r="E1386" s="531"/>
      <c r="F1386" s="531"/>
      <c r="G1386" s="531"/>
    </row>
    <row r="1387" spans="1:7" x14ac:dyDescent="0.3">
      <c r="A1387" s="36"/>
      <c r="B1387" s="36"/>
      <c r="C1387" s="36"/>
      <c r="D1387" s="36"/>
      <c r="E1387" s="531"/>
      <c r="F1387" s="531"/>
      <c r="G1387" s="531"/>
    </row>
    <row r="1388" spans="1:7" x14ac:dyDescent="0.3">
      <c r="A1388" s="36"/>
      <c r="B1388" s="36"/>
      <c r="C1388" s="36"/>
      <c r="D1388" s="36"/>
      <c r="E1388" s="531"/>
      <c r="F1388" s="531"/>
      <c r="G1388" s="531"/>
    </row>
    <row r="1389" spans="1:7" x14ac:dyDescent="0.3">
      <c r="A1389" s="36"/>
      <c r="B1389" s="36"/>
      <c r="C1389" s="36"/>
      <c r="D1389" s="36"/>
      <c r="E1389" s="531"/>
      <c r="F1389" s="531"/>
      <c r="G1389" s="531"/>
    </row>
    <row r="1390" spans="1:7" x14ac:dyDescent="0.3">
      <c r="A1390" s="36"/>
      <c r="B1390" s="36"/>
      <c r="C1390" s="36"/>
      <c r="D1390" s="36"/>
      <c r="E1390" s="531"/>
      <c r="F1390" s="531"/>
      <c r="G1390" s="531"/>
    </row>
    <row r="1391" spans="1:7" x14ac:dyDescent="0.3">
      <c r="A1391" s="36"/>
      <c r="B1391" s="36"/>
      <c r="C1391" s="36"/>
      <c r="D1391" s="36"/>
      <c r="E1391" s="531"/>
      <c r="F1391" s="531"/>
      <c r="G1391" s="531"/>
    </row>
    <row r="1392" spans="1:7" x14ac:dyDescent="0.3">
      <c r="A1392" s="36"/>
      <c r="B1392" s="36"/>
      <c r="C1392" s="36"/>
      <c r="D1392" s="36"/>
      <c r="E1392" s="531"/>
      <c r="F1392" s="531"/>
      <c r="G1392" s="531"/>
    </row>
    <row r="1393" spans="1:7" x14ac:dyDescent="0.3">
      <c r="A1393" s="36"/>
      <c r="B1393" s="36"/>
      <c r="C1393" s="36"/>
      <c r="D1393" s="36"/>
      <c r="E1393" s="531"/>
      <c r="F1393" s="531"/>
      <c r="G1393" s="531"/>
    </row>
    <row r="1394" spans="1:7" x14ac:dyDescent="0.3">
      <c r="A1394" s="36"/>
      <c r="B1394" s="36"/>
      <c r="C1394" s="36"/>
      <c r="D1394" s="36"/>
      <c r="E1394" s="531"/>
      <c r="F1394" s="531"/>
      <c r="G1394" s="531"/>
    </row>
    <row r="1395" spans="1:7" x14ac:dyDescent="0.3">
      <c r="A1395" s="36"/>
      <c r="B1395" s="36"/>
      <c r="C1395" s="36"/>
      <c r="D1395" s="36"/>
      <c r="E1395" s="531"/>
      <c r="F1395" s="531"/>
      <c r="G1395" s="531"/>
    </row>
    <row r="1396" spans="1:7" x14ac:dyDescent="0.3">
      <c r="A1396" s="36"/>
      <c r="B1396" s="36"/>
      <c r="C1396" s="36"/>
      <c r="D1396" s="36"/>
      <c r="E1396" s="531"/>
      <c r="F1396" s="531"/>
      <c r="G1396" s="531"/>
    </row>
    <row r="1397" spans="1:7" x14ac:dyDescent="0.3">
      <c r="A1397" s="36"/>
      <c r="B1397" s="36"/>
      <c r="C1397" s="36"/>
      <c r="D1397" s="36"/>
      <c r="E1397" s="531"/>
      <c r="F1397" s="531"/>
      <c r="G1397" s="531"/>
    </row>
    <row r="1398" spans="1:7" x14ac:dyDescent="0.3">
      <c r="A1398" s="36"/>
      <c r="B1398" s="36"/>
      <c r="C1398" s="36"/>
      <c r="D1398" s="36"/>
      <c r="E1398" s="531"/>
      <c r="F1398" s="531"/>
      <c r="G1398" s="531"/>
    </row>
    <row r="1399" spans="1:7" x14ac:dyDescent="0.3">
      <c r="A1399" s="36"/>
      <c r="B1399" s="36"/>
      <c r="C1399" s="36"/>
      <c r="D1399" s="36"/>
      <c r="E1399" s="531"/>
      <c r="F1399" s="531"/>
      <c r="G1399" s="531"/>
    </row>
    <row r="1400" spans="1:7" x14ac:dyDescent="0.3">
      <c r="A1400" s="36"/>
      <c r="B1400" s="36"/>
      <c r="C1400" s="36"/>
      <c r="D1400" s="36"/>
      <c r="E1400" s="531"/>
      <c r="F1400" s="531"/>
      <c r="G1400" s="531"/>
    </row>
    <row r="1401" spans="1:7" x14ac:dyDescent="0.3">
      <c r="A1401" s="36"/>
      <c r="B1401" s="36"/>
      <c r="C1401" s="36"/>
      <c r="D1401" s="36"/>
      <c r="E1401" s="531"/>
      <c r="F1401" s="531"/>
      <c r="G1401" s="531"/>
    </row>
    <row r="1402" spans="1:7" x14ac:dyDescent="0.3">
      <c r="A1402" s="36"/>
      <c r="B1402" s="36"/>
      <c r="C1402" s="36"/>
      <c r="D1402" s="36"/>
      <c r="E1402" s="531"/>
      <c r="F1402" s="531"/>
      <c r="G1402" s="531"/>
    </row>
    <row r="1403" spans="1:7" x14ac:dyDescent="0.3">
      <c r="A1403" s="36"/>
      <c r="B1403" s="36"/>
      <c r="C1403" s="36"/>
      <c r="D1403" s="36"/>
      <c r="E1403" s="531"/>
      <c r="F1403" s="531"/>
      <c r="G1403" s="531"/>
    </row>
    <row r="1404" spans="1:7" x14ac:dyDescent="0.3">
      <c r="A1404" s="36"/>
      <c r="B1404" s="36"/>
      <c r="C1404" s="36"/>
      <c r="D1404" s="36"/>
      <c r="E1404" s="531"/>
      <c r="F1404" s="531"/>
      <c r="G1404" s="531"/>
    </row>
    <row r="1405" spans="1:7" x14ac:dyDescent="0.3">
      <c r="A1405" s="36"/>
      <c r="B1405" s="36"/>
      <c r="C1405" s="36"/>
      <c r="D1405" s="36"/>
      <c r="E1405" s="531"/>
      <c r="F1405" s="531"/>
      <c r="G1405" s="531"/>
    </row>
    <row r="1406" spans="1:7" x14ac:dyDescent="0.3">
      <c r="A1406" s="36"/>
      <c r="B1406" s="36"/>
      <c r="C1406" s="36"/>
      <c r="D1406" s="36"/>
      <c r="E1406" s="531"/>
      <c r="F1406" s="531"/>
      <c r="G1406" s="531"/>
    </row>
    <row r="1407" spans="1:7" x14ac:dyDescent="0.3">
      <c r="A1407" s="36"/>
      <c r="B1407" s="36"/>
      <c r="C1407" s="36"/>
      <c r="D1407" s="36"/>
      <c r="E1407" s="531"/>
      <c r="F1407" s="531"/>
      <c r="G1407" s="531"/>
    </row>
    <row r="1408" spans="1:7" x14ac:dyDescent="0.3">
      <c r="A1408" s="36"/>
      <c r="B1408" s="36"/>
      <c r="C1408" s="36"/>
      <c r="D1408" s="36"/>
      <c r="E1408" s="531"/>
      <c r="F1408" s="531"/>
      <c r="G1408" s="531"/>
    </row>
    <row r="1409" spans="1:7" x14ac:dyDescent="0.3">
      <c r="A1409" s="36"/>
      <c r="B1409" s="36"/>
      <c r="C1409" s="36"/>
      <c r="D1409" s="36"/>
      <c r="E1409" s="531"/>
      <c r="F1409" s="531"/>
      <c r="G1409" s="531"/>
    </row>
    <row r="1410" spans="1:7" x14ac:dyDescent="0.3">
      <c r="A1410" s="36"/>
      <c r="B1410" s="36"/>
      <c r="C1410" s="36"/>
      <c r="D1410" s="36"/>
      <c r="E1410" s="531"/>
      <c r="F1410" s="531"/>
      <c r="G1410" s="531"/>
    </row>
    <row r="1411" spans="1:7" x14ac:dyDescent="0.3">
      <c r="A1411" s="36"/>
      <c r="B1411" s="36"/>
      <c r="C1411" s="36"/>
      <c r="D1411" s="36"/>
      <c r="E1411" s="531"/>
      <c r="F1411" s="531"/>
      <c r="G1411" s="531"/>
    </row>
    <row r="1412" spans="1:7" x14ac:dyDescent="0.3">
      <c r="A1412" s="36"/>
      <c r="B1412" s="36"/>
      <c r="C1412" s="36"/>
      <c r="D1412" s="36"/>
      <c r="E1412" s="531"/>
      <c r="F1412" s="531"/>
      <c r="G1412" s="531"/>
    </row>
    <row r="1413" spans="1:7" x14ac:dyDescent="0.3">
      <c r="A1413" s="36"/>
      <c r="B1413" s="36"/>
      <c r="C1413" s="36"/>
      <c r="D1413" s="36"/>
      <c r="E1413" s="531"/>
      <c r="F1413" s="531"/>
      <c r="G1413" s="531"/>
    </row>
    <row r="1414" spans="1:7" x14ac:dyDescent="0.3">
      <c r="A1414" s="36"/>
      <c r="B1414" s="36"/>
      <c r="C1414" s="36"/>
      <c r="D1414" s="36"/>
      <c r="E1414" s="531"/>
      <c r="F1414" s="531"/>
      <c r="G1414" s="531"/>
    </row>
    <row r="1415" spans="1:7" x14ac:dyDescent="0.3">
      <c r="A1415" s="36"/>
      <c r="B1415" s="36"/>
      <c r="C1415" s="36"/>
      <c r="D1415" s="36"/>
      <c r="E1415" s="531"/>
      <c r="F1415" s="531"/>
      <c r="G1415" s="531"/>
    </row>
    <row r="1416" spans="1:7" x14ac:dyDescent="0.3">
      <c r="A1416" s="36"/>
      <c r="B1416" s="36"/>
      <c r="C1416" s="36"/>
      <c r="D1416" s="36"/>
      <c r="E1416" s="531"/>
      <c r="F1416" s="531"/>
      <c r="G1416" s="531"/>
    </row>
    <row r="1417" spans="1:7" x14ac:dyDescent="0.3">
      <c r="A1417" s="36"/>
      <c r="B1417" s="36"/>
      <c r="C1417" s="36"/>
      <c r="D1417" s="36"/>
      <c r="E1417" s="531"/>
      <c r="F1417" s="531"/>
      <c r="G1417" s="531"/>
    </row>
    <row r="1418" spans="1:7" x14ac:dyDescent="0.3">
      <c r="A1418" s="36"/>
      <c r="B1418" s="36"/>
      <c r="C1418" s="36"/>
      <c r="D1418" s="36"/>
      <c r="E1418" s="531"/>
      <c r="F1418" s="531"/>
      <c r="G1418" s="531"/>
    </row>
    <row r="1419" spans="1:7" x14ac:dyDescent="0.3">
      <c r="A1419" s="36"/>
      <c r="B1419" s="36"/>
      <c r="C1419" s="36"/>
      <c r="D1419" s="36"/>
      <c r="E1419" s="531"/>
      <c r="F1419" s="531"/>
      <c r="G1419" s="531"/>
    </row>
    <row r="1420" spans="1:7" x14ac:dyDescent="0.3">
      <c r="A1420" s="36"/>
      <c r="B1420" s="36"/>
      <c r="C1420" s="36"/>
      <c r="D1420" s="36"/>
      <c r="E1420" s="531"/>
      <c r="F1420" s="531"/>
      <c r="G1420" s="531"/>
    </row>
    <row r="1421" spans="1:7" x14ac:dyDescent="0.3">
      <c r="A1421" s="36"/>
      <c r="B1421" s="36"/>
      <c r="C1421" s="36"/>
      <c r="D1421" s="36"/>
      <c r="E1421" s="531"/>
      <c r="F1421" s="531"/>
      <c r="G1421" s="531"/>
    </row>
    <row r="1422" spans="1:7" x14ac:dyDescent="0.3">
      <c r="A1422" s="36"/>
      <c r="B1422" s="36"/>
      <c r="C1422" s="36"/>
      <c r="D1422" s="36"/>
      <c r="E1422" s="531"/>
      <c r="F1422" s="531"/>
      <c r="G1422" s="531"/>
    </row>
    <row r="1423" spans="1:7" x14ac:dyDescent="0.3">
      <c r="A1423" s="36"/>
      <c r="B1423" s="36"/>
      <c r="C1423" s="36"/>
      <c r="D1423" s="36"/>
      <c r="E1423" s="531"/>
      <c r="F1423" s="531"/>
      <c r="G1423" s="531"/>
    </row>
    <row r="1424" spans="1:7" x14ac:dyDescent="0.3">
      <c r="A1424" s="36"/>
      <c r="B1424" s="36"/>
      <c r="C1424" s="36"/>
      <c r="D1424" s="36"/>
      <c r="E1424" s="531"/>
      <c r="F1424" s="531"/>
      <c r="G1424" s="531"/>
    </row>
    <row r="1425" spans="1:7" x14ac:dyDescent="0.3">
      <c r="A1425" s="36"/>
      <c r="B1425" s="36"/>
      <c r="C1425" s="36"/>
      <c r="D1425" s="36"/>
      <c r="E1425" s="531"/>
      <c r="F1425" s="531"/>
      <c r="G1425" s="531"/>
    </row>
    <row r="1426" spans="1:7" x14ac:dyDescent="0.3">
      <c r="A1426" s="36"/>
      <c r="B1426" s="36"/>
      <c r="C1426" s="36"/>
      <c r="D1426" s="36"/>
      <c r="E1426" s="531"/>
      <c r="F1426" s="531"/>
      <c r="G1426" s="531"/>
    </row>
    <row r="1427" spans="1:7" x14ac:dyDescent="0.3">
      <c r="A1427" s="36"/>
      <c r="B1427" s="36"/>
      <c r="C1427" s="36"/>
      <c r="D1427" s="36"/>
      <c r="E1427" s="531"/>
      <c r="F1427" s="531"/>
      <c r="G1427" s="531"/>
    </row>
    <row r="1428" spans="1:7" x14ac:dyDescent="0.3">
      <c r="A1428" s="36"/>
      <c r="B1428" s="36"/>
      <c r="C1428" s="36"/>
      <c r="D1428" s="36"/>
      <c r="E1428" s="531"/>
      <c r="F1428" s="531"/>
      <c r="G1428" s="531"/>
    </row>
    <row r="1429" spans="1:7" x14ac:dyDescent="0.3">
      <c r="A1429" s="36"/>
      <c r="B1429" s="36"/>
      <c r="C1429" s="36"/>
      <c r="D1429" s="36"/>
      <c r="E1429" s="531"/>
      <c r="F1429" s="531"/>
      <c r="G1429" s="531"/>
    </row>
    <row r="1430" spans="1:7" x14ac:dyDescent="0.3">
      <c r="A1430" s="36"/>
      <c r="B1430" s="36"/>
      <c r="C1430" s="36"/>
      <c r="D1430" s="36"/>
      <c r="E1430" s="531"/>
      <c r="F1430" s="531"/>
      <c r="G1430" s="531"/>
    </row>
    <row r="1431" spans="1:7" x14ac:dyDescent="0.3">
      <c r="A1431" s="36"/>
      <c r="B1431" s="36"/>
      <c r="C1431" s="36"/>
      <c r="D1431" s="36"/>
      <c r="E1431" s="531"/>
      <c r="F1431" s="531"/>
      <c r="G1431" s="531"/>
    </row>
    <row r="1432" spans="1:7" x14ac:dyDescent="0.3">
      <c r="A1432" s="36"/>
      <c r="B1432" s="36"/>
      <c r="C1432" s="36"/>
      <c r="D1432" s="36"/>
      <c r="E1432" s="531"/>
      <c r="F1432" s="531"/>
      <c r="G1432" s="531"/>
    </row>
    <row r="1433" spans="1:7" x14ac:dyDescent="0.3">
      <c r="A1433" s="36"/>
      <c r="B1433" s="36"/>
      <c r="C1433" s="36"/>
      <c r="D1433" s="36"/>
      <c r="E1433" s="531"/>
      <c r="F1433" s="531"/>
      <c r="G1433" s="531"/>
    </row>
    <row r="1434" spans="1:7" x14ac:dyDescent="0.3">
      <c r="A1434" s="36"/>
      <c r="B1434" s="36"/>
      <c r="C1434" s="36"/>
      <c r="D1434" s="36"/>
      <c r="E1434" s="531"/>
      <c r="F1434" s="531"/>
      <c r="G1434" s="531"/>
    </row>
    <row r="1435" spans="1:7" x14ac:dyDescent="0.3">
      <c r="A1435" s="36"/>
      <c r="B1435" s="36"/>
      <c r="C1435" s="36"/>
      <c r="D1435" s="36"/>
      <c r="E1435" s="531"/>
      <c r="F1435" s="531"/>
      <c r="G1435" s="531"/>
    </row>
    <row r="1436" spans="1:7" x14ac:dyDescent="0.3">
      <c r="A1436" s="36"/>
      <c r="B1436" s="36"/>
      <c r="C1436" s="36"/>
      <c r="D1436" s="36"/>
      <c r="E1436" s="531"/>
      <c r="F1436" s="531"/>
      <c r="G1436" s="531"/>
    </row>
    <row r="1437" spans="1:7" x14ac:dyDescent="0.3">
      <c r="A1437" s="36"/>
      <c r="B1437" s="36"/>
      <c r="C1437" s="36"/>
      <c r="D1437" s="36"/>
      <c r="E1437" s="531"/>
      <c r="F1437" s="531"/>
      <c r="G1437" s="531"/>
    </row>
    <row r="1438" spans="1:7" x14ac:dyDescent="0.3">
      <c r="A1438" s="36"/>
      <c r="B1438" s="36"/>
      <c r="C1438" s="36"/>
      <c r="D1438" s="36"/>
      <c r="E1438" s="531"/>
      <c r="F1438" s="531"/>
      <c r="G1438" s="531"/>
    </row>
    <row r="1439" spans="1:7" x14ac:dyDescent="0.3">
      <c r="A1439" s="36"/>
      <c r="B1439" s="36"/>
      <c r="C1439" s="36"/>
      <c r="D1439" s="36"/>
      <c r="E1439" s="531"/>
      <c r="F1439" s="531"/>
      <c r="G1439" s="531"/>
    </row>
    <row r="1440" spans="1:7" x14ac:dyDescent="0.3">
      <c r="A1440" s="36"/>
      <c r="B1440" s="36"/>
      <c r="C1440" s="36"/>
      <c r="D1440" s="36"/>
      <c r="E1440" s="531"/>
      <c r="F1440" s="531"/>
      <c r="G1440" s="531"/>
    </row>
    <row r="1441" spans="1:7" x14ac:dyDescent="0.3">
      <c r="A1441" s="36"/>
      <c r="B1441" s="36"/>
      <c r="C1441" s="36"/>
      <c r="D1441" s="36"/>
      <c r="E1441" s="531"/>
      <c r="F1441" s="531"/>
      <c r="G1441" s="531"/>
    </row>
    <row r="1442" spans="1:7" x14ac:dyDescent="0.3">
      <c r="A1442" s="36"/>
      <c r="B1442" s="36"/>
      <c r="C1442" s="36"/>
      <c r="D1442" s="36"/>
      <c r="E1442" s="531"/>
      <c r="F1442" s="531"/>
      <c r="G1442" s="531"/>
    </row>
    <row r="1443" spans="1:7" x14ac:dyDescent="0.3">
      <c r="A1443" s="36"/>
      <c r="B1443" s="36"/>
      <c r="C1443" s="36"/>
      <c r="D1443" s="36"/>
      <c r="E1443" s="531"/>
      <c r="F1443" s="531"/>
      <c r="G1443" s="531"/>
    </row>
    <row r="1444" spans="1:7" x14ac:dyDescent="0.3">
      <c r="A1444" s="36"/>
      <c r="B1444" s="36"/>
      <c r="C1444" s="36"/>
      <c r="D1444" s="36"/>
      <c r="E1444" s="531"/>
      <c r="F1444" s="531"/>
      <c r="G1444" s="531"/>
    </row>
    <row r="1445" spans="1:7" x14ac:dyDescent="0.3">
      <c r="A1445" s="36"/>
      <c r="B1445" s="36"/>
      <c r="C1445" s="36"/>
      <c r="D1445" s="36"/>
      <c r="E1445" s="531"/>
      <c r="F1445" s="531"/>
      <c r="G1445" s="531"/>
    </row>
    <row r="1446" spans="1:7" x14ac:dyDescent="0.3">
      <c r="A1446" s="36"/>
      <c r="B1446" s="36"/>
      <c r="C1446" s="36"/>
      <c r="D1446" s="36"/>
      <c r="E1446" s="531"/>
      <c r="F1446" s="531"/>
      <c r="G1446" s="531"/>
    </row>
    <row r="1447" spans="1:7" x14ac:dyDescent="0.3">
      <c r="A1447" s="36"/>
      <c r="B1447" s="36"/>
      <c r="C1447" s="36"/>
      <c r="D1447" s="36"/>
      <c r="E1447" s="531"/>
      <c r="F1447" s="531"/>
      <c r="G1447" s="531"/>
    </row>
    <row r="1448" spans="1:7" x14ac:dyDescent="0.3">
      <c r="A1448" s="36"/>
      <c r="B1448" s="36"/>
      <c r="C1448" s="36"/>
      <c r="D1448" s="36"/>
      <c r="E1448" s="531"/>
      <c r="F1448" s="531"/>
      <c r="G1448" s="531"/>
    </row>
    <row r="1449" spans="1:7" x14ac:dyDescent="0.3">
      <c r="A1449" s="36"/>
      <c r="B1449" s="36"/>
      <c r="C1449" s="36"/>
      <c r="D1449" s="36"/>
      <c r="E1449" s="531"/>
      <c r="F1449" s="531"/>
      <c r="G1449" s="531"/>
    </row>
    <row r="1450" spans="1:7" x14ac:dyDescent="0.3">
      <c r="A1450" s="36"/>
      <c r="B1450" s="36"/>
      <c r="C1450" s="36"/>
      <c r="D1450" s="36"/>
      <c r="E1450" s="531"/>
      <c r="F1450" s="531"/>
      <c r="G1450" s="531"/>
    </row>
    <row r="1451" spans="1:7" x14ac:dyDescent="0.3">
      <c r="A1451" s="36"/>
      <c r="B1451" s="36"/>
      <c r="C1451" s="36"/>
      <c r="D1451" s="36"/>
      <c r="E1451" s="531"/>
      <c r="F1451" s="531"/>
      <c r="G1451" s="531"/>
    </row>
    <row r="1452" spans="1:7" x14ac:dyDescent="0.3">
      <c r="A1452" s="36"/>
      <c r="B1452" s="36"/>
      <c r="C1452" s="36"/>
      <c r="D1452" s="36"/>
      <c r="E1452" s="531"/>
      <c r="F1452" s="531"/>
      <c r="G1452" s="531"/>
    </row>
    <row r="1453" spans="1:7" x14ac:dyDescent="0.3">
      <c r="A1453" s="36"/>
      <c r="B1453" s="36"/>
      <c r="C1453" s="36"/>
      <c r="D1453" s="36"/>
      <c r="E1453" s="531"/>
      <c r="F1453" s="531"/>
      <c r="G1453" s="531"/>
    </row>
    <row r="1454" spans="1:7" x14ac:dyDescent="0.3">
      <c r="A1454" s="36"/>
      <c r="B1454" s="36"/>
      <c r="C1454" s="36"/>
      <c r="D1454" s="36"/>
      <c r="E1454" s="531"/>
      <c r="F1454" s="531"/>
      <c r="G1454" s="531"/>
    </row>
    <row r="1455" spans="1:7" x14ac:dyDescent="0.3">
      <c r="A1455" s="36"/>
      <c r="B1455" s="36"/>
      <c r="C1455" s="36"/>
      <c r="D1455" s="36"/>
      <c r="E1455" s="531"/>
      <c r="F1455" s="531"/>
      <c r="G1455" s="531"/>
    </row>
    <row r="1456" spans="1:7" x14ac:dyDescent="0.3">
      <c r="A1456" s="36"/>
      <c r="B1456" s="36"/>
      <c r="C1456" s="36"/>
      <c r="D1456" s="36"/>
      <c r="E1456" s="531"/>
      <c r="F1456" s="531"/>
      <c r="G1456" s="531"/>
    </row>
    <row r="1457" spans="1:7" x14ac:dyDescent="0.3">
      <c r="A1457" s="36"/>
      <c r="B1457" s="36"/>
      <c r="C1457" s="36"/>
      <c r="D1457" s="36"/>
      <c r="E1457" s="531"/>
      <c r="F1457" s="531"/>
      <c r="G1457" s="531"/>
    </row>
    <row r="1458" spans="1:7" x14ac:dyDescent="0.3">
      <c r="A1458" s="36"/>
      <c r="B1458" s="36"/>
      <c r="C1458" s="36"/>
      <c r="D1458" s="36"/>
      <c r="E1458" s="531"/>
      <c r="F1458" s="531"/>
      <c r="G1458" s="531"/>
    </row>
    <row r="1459" spans="1:7" x14ac:dyDescent="0.3">
      <c r="A1459" s="36"/>
      <c r="B1459" s="36"/>
      <c r="C1459" s="36"/>
      <c r="D1459" s="36"/>
      <c r="E1459" s="531"/>
      <c r="F1459" s="531"/>
      <c r="G1459" s="531"/>
    </row>
    <row r="1460" spans="1:7" x14ac:dyDescent="0.3">
      <c r="A1460" s="36"/>
      <c r="B1460" s="36"/>
      <c r="C1460" s="36"/>
      <c r="D1460" s="36"/>
      <c r="E1460" s="531"/>
      <c r="F1460" s="531"/>
      <c r="G1460" s="531"/>
    </row>
    <row r="1461" spans="1:7" x14ac:dyDescent="0.3">
      <c r="A1461" s="36"/>
      <c r="B1461" s="36"/>
      <c r="C1461" s="36"/>
      <c r="D1461" s="36"/>
      <c r="E1461" s="531"/>
      <c r="F1461" s="531"/>
      <c r="G1461" s="531"/>
    </row>
    <row r="1462" spans="1:7" x14ac:dyDescent="0.3">
      <c r="A1462" s="36"/>
      <c r="B1462" s="36"/>
      <c r="C1462" s="36"/>
      <c r="D1462" s="36"/>
      <c r="E1462" s="531"/>
      <c r="F1462" s="531"/>
      <c r="G1462" s="531"/>
    </row>
    <row r="1463" spans="1:7" x14ac:dyDescent="0.3">
      <c r="A1463" s="36"/>
      <c r="B1463" s="36"/>
      <c r="C1463" s="36"/>
      <c r="D1463" s="36"/>
      <c r="E1463" s="531"/>
      <c r="F1463" s="531"/>
      <c r="G1463" s="531"/>
    </row>
    <row r="1464" spans="1:7" x14ac:dyDescent="0.3">
      <c r="A1464" s="36"/>
      <c r="B1464" s="36"/>
      <c r="C1464" s="36"/>
      <c r="D1464" s="36"/>
      <c r="E1464" s="531"/>
      <c r="F1464" s="531"/>
      <c r="G1464" s="531"/>
    </row>
    <row r="1465" spans="1:7" x14ac:dyDescent="0.3">
      <c r="A1465" s="36"/>
      <c r="B1465" s="36"/>
      <c r="C1465" s="36"/>
      <c r="D1465" s="36"/>
      <c r="E1465" s="531"/>
      <c r="F1465" s="531"/>
      <c r="G1465" s="531"/>
    </row>
    <row r="1466" spans="1:7" x14ac:dyDescent="0.3">
      <c r="A1466" s="36"/>
      <c r="B1466" s="36"/>
      <c r="C1466" s="36"/>
      <c r="D1466" s="36"/>
      <c r="E1466" s="531"/>
      <c r="F1466" s="531"/>
      <c r="G1466" s="531"/>
    </row>
    <row r="1467" spans="1:7" x14ac:dyDescent="0.3">
      <c r="A1467" s="36"/>
      <c r="B1467" s="36"/>
      <c r="C1467" s="36"/>
      <c r="D1467" s="36"/>
      <c r="E1467" s="531"/>
      <c r="F1467" s="531"/>
      <c r="G1467" s="531"/>
    </row>
    <row r="1468" spans="1:7" x14ac:dyDescent="0.3">
      <c r="A1468" s="36"/>
      <c r="B1468" s="36"/>
      <c r="C1468" s="36"/>
      <c r="D1468" s="36"/>
      <c r="E1468" s="531"/>
      <c r="F1468" s="531"/>
      <c r="G1468" s="531"/>
    </row>
    <row r="1469" spans="1:7" x14ac:dyDescent="0.3">
      <c r="A1469" s="36"/>
      <c r="B1469" s="36"/>
      <c r="C1469" s="36"/>
      <c r="D1469" s="36"/>
      <c r="E1469" s="531"/>
      <c r="F1469" s="531"/>
      <c r="G1469" s="531"/>
    </row>
    <row r="1470" spans="1:7" x14ac:dyDescent="0.3">
      <c r="A1470" s="36"/>
      <c r="B1470" s="36"/>
      <c r="C1470" s="36"/>
      <c r="D1470" s="36"/>
      <c r="E1470" s="531"/>
      <c r="F1470" s="531"/>
      <c r="G1470" s="531"/>
    </row>
    <row r="1471" spans="1:7" x14ac:dyDescent="0.3">
      <c r="A1471" s="36"/>
      <c r="B1471" s="36"/>
      <c r="C1471" s="36"/>
      <c r="D1471" s="36"/>
      <c r="E1471" s="531"/>
      <c r="F1471" s="531"/>
      <c r="G1471" s="531"/>
    </row>
    <row r="1472" spans="1:7" x14ac:dyDescent="0.3">
      <c r="A1472" s="36"/>
      <c r="B1472" s="36"/>
      <c r="C1472" s="36"/>
      <c r="D1472" s="36"/>
      <c r="E1472" s="531"/>
      <c r="F1472" s="531"/>
      <c r="G1472" s="531"/>
    </row>
    <row r="1473" spans="1:7" x14ac:dyDescent="0.3">
      <c r="A1473" s="36"/>
      <c r="B1473" s="36"/>
      <c r="C1473" s="36"/>
      <c r="D1473" s="36"/>
      <c r="E1473" s="531"/>
      <c r="F1473" s="531"/>
      <c r="G1473" s="531"/>
    </row>
    <row r="1474" spans="1:7" x14ac:dyDescent="0.3">
      <c r="A1474" s="36"/>
      <c r="B1474" s="36"/>
      <c r="C1474" s="36"/>
      <c r="D1474" s="36"/>
      <c r="E1474" s="531"/>
      <c r="F1474" s="531"/>
      <c r="G1474" s="531"/>
    </row>
    <row r="1475" spans="1:7" x14ac:dyDescent="0.3">
      <c r="A1475" s="36"/>
      <c r="B1475" s="36"/>
      <c r="C1475" s="36"/>
      <c r="D1475" s="36"/>
      <c r="E1475" s="531"/>
      <c r="F1475" s="531"/>
      <c r="G1475" s="531"/>
    </row>
    <row r="1476" spans="1:7" x14ac:dyDescent="0.3">
      <c r="A1476" s="36"/>
      <c r="B1476" s="36"/>
      <c r="C1476" s="36"/>
      <c r="D1476" s="36"/>
      <c r="E1476" s="531"/>
      <c r="F1476" s="531"/>
      <c r="G1476" s="531"/>
    </row>
    <row r="1477" spans="1:7" x14ac:dyDescent="0.3">
      <c r="A1477" s="36"/>
      <c r="B1477" s="36"/>
      <c r="C1477" s="36"/>
      <c r="D1477" s="36"/>
      <c r="E1477" s="531"/>
      <c r="F1477" s="531"/>
      <c r="G1477" s="531"/>
    </row>
    <row r="1478" spans="1:7" x14ac:dyDescent="0.3">
      <c r="A1478" s="36"/>
      <c r="B1478" s="36"/>
      <c r="C1478" s="36"/>
      <c r="D1478" s="36"/>
      <c r="E1478" s="531"/>
      <c r="F1478" s="531"/>
      <c r="G1478" s="531"/>
    </row>
    <row r="1479" spans="1:7" x14ac:dyDescent="0.3">
      <c r="A1479" s="36"/>
      <c r="B1479" s="36"/>
      <c r="C1479" s="36"/>
      <c r="D1479" s="36"/>
      <c r="E1479" s="531"/>
      <c r="F1479" s="531"/>
      <c r="G1479" s="531"/>
    </row>
    <row r="1480" spans="1:7" x14ac:dyDescent="0.3">
      <c r="A1480" s="36"/>
      <c r="B1480" s="36"/>
      <c r="C1480" s="36"/>
      <c r="D1480" s="36"/>
      <c r="E1480" s="531"/>
      <c r="F1480" s="531"/>
      <c r="G1480" s="531"/>
    </row>
    <row r="1481" spans="1:7" x14ac:dyDescent="0.3">
      <c r="A1481" s="36"/>
      <c r="B1481" s="36"/>
      <c r="C1481" s="36"/>
      <c r="D1481" s="36"/>
      <c r="E1481" s="531"/>
      <c r="F1481" s="531"/>
      <c r="G1481" s="531"/>
    </row>
    <row r="1482" spans="1:7" x14ac:dyDescent="0.3">
      <c r="A1482" s="36"/>
      <c r="B1482" s="36"/>
      <c r="C1482" s="36"/>
      <c r="D1482" s="36"/>
      <c r="E1482" s="531"/>
      <c r="F1482" s="531"/>
      <c r="G1482" s="531"/>
    </row>
    <row r="1483" spans="1:7" x14ac:dyDescent="0.3">
      <c r="A1483" s="36"/>
      <c r="B1483" s="36"/>
      <c r="C1483" s="36"/>
      <c r="D1483" s="36"/>
      <c r="E1483" s="531"/>
      <c r="F1483" s="531"/>
      <c r="G1483" s="531"/>
    </row>
    <row r="1484" spans="1:7" x14ac:dyDescent="0.3">
      <c r="A1484" s="36"/>
      <c r="B1484" s="36"/>
      <c r="C1484" s="36"/>
      <c r="D1484" s="36"/>
      <c r="E1484" s="531"/>
      <c r="F1484" s="531"/>
      <c r="G1484" s="531"/>
    </row>
    <row r="1485" spans="1:7" x14ac:dyDescent="0.3">
      <c r="A1485" s="36"/>
      <c r="B1485" s="36"/>
      <c r="C1485" s="36"/>
      <c r="D1485" s="36"/>
      <c r="E1485" s="531"/>
      <c r="F1485" s="531"/>
      <c r="G1485" s="531"/>
    </row>
    <row r="1486" spans="1:7" x14ac:dyDescent="0.3">
      <c r="A1486" s="36"/>
      <c r="B1486" s="36"/>
      <c r="C1486" s="36"/>
      <c r="D1486" s="36"/>
      <c r="E1486" s="531"/>
      <c r="F1486" s="531"/>
      <c r="G1486" s="531"/>
    </row>
    <row r="1487" spans="1:7" x14ac:dyDescent="0.3">
      <c r="A1487" s="36"/>
      <c r="B1487" s="36"/>
      <c r="C1487" s="36"/>
      <c r="D1487" s="36"/>
      <c r="E1487" s="531"/>
      <c r="F1487" s="531"/>
      <c r="G1487" s="531"/>
    </row>
    <row r="1488" spans="1:7" x14ac:dyDescent="0.3">
      <c r="A1488" s="36"/>
      <c r="B1488" s="36"/>
      <c r="C1488" s="36"/>
      <c r="D1488" s="36"/>
      <c r="E1488" s="531"/>
      <c r="F1488" s="531"/>
      <c r="G1488" s="531"/>
    </row>
    <row r="1489" spans="1:7" x14ac:dyDescent="0.3">
      <c r="A1489" s="36"/>
      <c r="B1489" s="36"/>
      <c r="C1489" s="36"/>
      <c r="D1489" s="36"/>
      <c r="E1489" s="531"/>
      <c r="F1489" s="531"/>
      <c r="G1489" s="531"/>
    </row>
    <row r="1490" spans="1:7" x14ac:dyDescent="0.3">
      <c r="A1490" s="36"/>
      <c r="B1490" s="36"/>
      <c r="C1490" s="36"/>
      <c r="D1490" s="36"/>
      <c r="E1490" s="531"/>
      <c r="F1490" s="531"/>
      <c r="G1490" s="531"/>
    </row>
    <row r="1491" spans="1:7" x14ac:dyDescent="0.3">
      <c r="A1491" s="36"/>
      <c r="B1491" s="36"/>
      <c r="C1491" s="36"/>
      <c r="D1491" s="36"/>
      <c r="E1491" s="531"/>
      <c r="F1491" s="531"/>
      <c r="G1491" s="531"/>
    </row>
    <row r="1492" spans="1:7" x14ac:dyDescent="0.3">
      <c r="A1492" s="36"/>
      <c r="B1492" s="36"/>
      <c r="C1492" s="36"/>
      <c r="D1492" s="36"/>
      <c r="E1492" s="531"/>
      <c r="F1492" s="531"/>
      <c r="G1492" s="531"/>
    </row>
    <row r="1493" spans="1:7" x14ac:dyDescent="0.3">
      <c r="A1493" s="36"/>
      <c r="B1493" s="36"/>
      <c r="C1493" s="36"/>
      <c r="D1493" s="36"/>
      <c r="E1493" s="531"/>
      <c r="F1493" s="531"/>
      <c r="G1493" s="531"/>
    </row>
    <row r="1494" spans="1:7" x14ac:dyDescent="0.3">
      <c r="A1494" s="36"/>
      <c r="B1494" s="36"/>
      <c r="C1494" s="36"/>
      <c r="D1494" s="36"/>
      <c r="E1494" s="531"/>
      <c r="F1494" s="531"/>
      <c r="G1494" s="531"/>
    </row>
    <row r="1495" spans="1:7" x14ac:dyDescent="0.3">
      <c r="A1495" s="36"/>
      <c r="B1495" s="36"/>
      <c r="C1495" s="36"/>
      <c r="D1495" s="36"/>
      <c r="E1495" s="531"/>
      <c r="F1495" s="531"/>
      <c r="G1495" s="531"/>
    </row>
    <row r="1496" spans="1:7" x14ac:dyDescent="0.3">
      <c r="A1496" s="36"/>
      <c r="B1496" s="36"/>
      <c r="C1496" s="36"/>
      <c r="D1496" s="36"/>
      <c r="E1496" s="531"/>
      <c r="F1496" s="531"/>
      <c r="G1496" s="531"/>
    </row>
    <row r="1497" spans="1:7" x14ac:dyDescent="0.3">
      <c r="A1497" s="36"/>
      <c r="B1497" s="36"/>
      <c r="C1497" s="36"/>
      <c r="D1497" s="36"/>
      <c r="E1497" s="531"/>
      <c r="F1497" s="531"/>
      <c r="G1497" s="531"/>
    </row>
    <row r="1498" spans="1:7" x14ac:dyDescent="0.3">
      <c r="A1498" s="36"/>
      <c r="B1498" s="36"/>
      <c r="C1498" s="36"/>
      <c r="D1498" s="36"/>
      <c r="E1498" s="531"/>
      <c r="F1498" s="531"/>
      <c r="G1498" s="531"/>
    </row>
    <row r="1499" spans="1:7" x14ac:dyDescent="0.3">
      <c r="A1499" s="36"/>
      <c r="B1499" s="36"/>
      <c r="C1499" s="36"/>
      <c r="D1499" s="36"/>
      <c r="E1499" s="531"/>
      <c r="F1499" s="531"/>
      <c r="G1499" s="531"/>
    </row>
    <row r="1500" spans="1:7" x14ac:dyDescent="0.3">
      <c r="A1500" s="36"/>
      <c r="B1500" s="36"/>
      <c r="C1500" s="36"/>
      <c r="D1500" s="36"/>
      <c r="E1500" s="531"/>
      <c r="F1500" s="531"/>
      <c r="G1500" s="531"/>
    </row>
    <row r="1501" spans="1:7" x14ac:dyDescent="0.3">
      <c r="A1501" s="36"/>
      <c r="B1501" s="36"/>
      <c r="C1501" s="36"/>
      <c r="D1501" s="36"/>
      <c r="E1501" s="531"/>
      <c r="F1501" s="531"/>
      <c r="G1501" s="531"/>
    </row>
    <row r="1502" spans="1:7" x14ac:dyDescent="0.3">
      <c r="A1502" s="36"/>
      <c r="B1502" s="36"/>
      <c r="C1502" s="36"/>
      <c r="D1502" s="36"/>
      <c r="E1502" s="531"/>
      <c r="F1502" s="531"/>
      <c r="G1502" s="531"/>
    </row>
    <row r="1503" spans="1:7" x14ac:dyDescent="0.3">
      <c r="A1503" s="36"/>
      <c r="B1503" s="36"/>
      <c r="C1503" s="36"/>
      <c r="D1503" s="36"/>
      <c r="E1503" s="531"/>
      <c r="F1503" s="531"/>
      <c r="G1503" s="531"/>
    </row>
    <row r="1504" spans="1:7" x14ac:dyDescent="0.3">
      <c r="A1504" s="36"/>
      <c r="B1504" s="36"/>
      <c r="C1504" s="36"/>
      <c r="D1504" s="36"/>
      <c r="E1504" s="531"/>
      <c r="F1504" s="531"/>
      <c r="G1504" s="531"/>
    </row>
    <row r="1505" spans="1:7" x14ac:dyDescent="0.3">
      <c r="A1505" s="36"/>
      <c r="B1505" s="36"/>
      <c r="C1505" s="36"/>
      <c r="D1505" s="36"/>
      <c r="E1505" s="531"/>
      <c r="F1505" s="531"/>
      <c r="G1505" s="531"/>
    </row>
    <row r="1506" spans="1:7" x14ac:dyDescent="0.3">
      <c r="A1506" s="36"/>
      <c r="B1506" s="36"/>
      <c r="C1506" s="36"/>
      <c r="D1506" s="36"/>
      <c r="E1506" s="531"/>
      <c r="F1506" s="531"/>
      <c r="G1506" s="531"/>
    </row>
    <row r="1507" spans="1:7" x14ac:dyDescent="0.3">
      <c r="A1507" s="36"/>
      <c r="B1507" s="36"/>
      <c r="C1507" s="36"/>
      <c r="D1507" s="36"/>
      <c r="E1507" s="531"/>
      <c r="F1507" s="531"/>
      <c r="G1507" s="531"/>
    </row>
    <row r="1508" spans="1:7" x14ac:dyDescent="0.3">
      <c r="A1508" s="36"/>
      <c r="B1508" s="36"/>
      <c r="C1508" s="36"/>
      <c r="D1508" s="36"/>
      <c r="E1508" s="531"/>
      <c r="F1508" s="531"/>
      <c r="G1508" s="531"/>
    </row>
    <row r="1509" spans="1:7" x14ac:dyDescent="0.3">
      <c r="A1509" s="36"/>
      <c r="B1509" s="36"/>
      <c r="C1509" s="36"/>
      <c r="D1509" s="36"/>
      <c r="E1509" s="531"/>
      <c r="F1509" s="531"/>
      <c r="G1509" s="531"/>
    </row>
    <row r="1510" spans="1:7" x14ac:dyDescent="0.3">
      <c r="A1510" s="36"/>
      <c r="B1510" s="36"/>
      <c r="C1510" s="36"/>
      <c r="D1510" s="36"/>
      <c r="E1510" s="531"/>
      <c r="F1510" s="531"/>
      <c r="G1510" s="531"/>
    </row>
    <row r="1511" spans="1:7" x14ac:dyDescent="0.3">
      <c r="A1511" s="36"/>
      <c r="B1511" s="36"/>
      <c r="C1511" s="36"/>
      <c r="D1511" s="36"/>
      <c r="E1511" s="531"/>
      <c r="F1511" s="531"/>
      <c r="G1511" s="531"/>
    </row>
    <row r="1512" spans="1:7" x14ac:dyDescent="0.3">
      <c r="A1512" s="36"/>
      <c r="B1512" s="36"/>
      <c r="C1512" s="36"/>
      <c r="D1512" s="36"/>
      <c r="E1512" s="531"/>
      <c r="F1512" s="531"/>
      <c r="G1512" s="531"/>
    </row>
    <row r="1513" spans="1:7" x14ac:dyDescent="0.3">
      <c r="A1513" s="36"/>
      <c r="B1513" s="36"/>
      <c r="C1513" s="36"/>
      <c r="D1513" s="36"/>
      <c r="E1513" s="531"/>
      <c r="F1513" s="531"/>
      <c r="G1513" s="531"/>
    </row>
    <row r="1514" spans="1:7" x14ac:dyDescent="0.3">
      <c r="A1514" s="36"/>
      <c r="B1514" s="36"/>
      <c r="C1514" s="36"/>
      <c r="D1514" s="36"/>
      <c r="E1514" s="531"/>
      <c r="F1514" s="531"/>
      <c r="G1514" s="531"/>
    </row>
    <row r="1515" spans="1:7" x14ac:dyDescent="0.3">
      <c r="A1515" s="36"/>
      <c r="B1515" s="36"/>
      <c r="C1515" s="36"/>
      <c r="D1515" s="36"/>
      <c r="E1515" s="531"/>
      <c r="F1515" s="531"/>
      <c r="G1515" s="531"/>
    </row>
    <row r="1516" spans="1:7" x14ac:dyDescent="0.3">
      <c r="A1516" s="36"/>
      <c r="B1516" s="36"/>
      <c r="C1516" s="36"/>
      <c r="D1516" s="36"/>
      <c r="E1516" s="531"/>
      <c r="F1516" s="531"/>
      <c r="G1516" s="531"/>
    </row>
    <row r="1517" spans="1:7" x14ac:dyDescent="0.3">
      <c r="A1517" s="36"/>
      <c r="B1517" s="36"/>
      <c r="C1517" s="36"/>
      <c r="D1517" s="36"/>
      <c r="E1517" s="531"/>
      <c r="F1517" s="531"/>
      <c r="G1517" s="531"/>
    </row>
    <row r="1518" spans="1:7" x14ac:dyDescent="0.3">
      <c r="A1518" s="36"/>
      <c r="B1518" s="36"/>
      <c r="C1518" s="36"/>
      <c r="D1518" s="36"/>
      <c r="E1518" s="531"/>
      <c r="F1518" s="531"/>
      <c r="G1518" s="531"/>
    </row>
    <row r="1519" spans="1:7" x14ac:dyDescent="0.3">
      <c r="A1519" s="36"/>
      <c r="B1519" s="36"/>
      <c r="C1519" s="36"/>
      <c r="D1519" s="36"/>
      <c r="E1519" s="531"/>
      <c r="F1519" s="531"/>
      <c r="G1519" s="531"/>
    </row>
    <row r="1520" spans="1:7" x14ac:dyDescent="0.3">
      <c r="A1520" s="36"/>
      <c r="B1520" s="36"/>
      <c r="C1520" s="36"/>
      <c r="D1520" s="36"/>
      <c r="E1520" s="531"/>
      <c r="F1520" s="531"/>
      <c r="G1520" s="531"/>
    </row>
    <row r="1521" spans="1:7" x14ac:dyDescent="0.3">
      <c r="A1521" s="36"/>
      <c r="B1521" s="36"/>
      <c r="C1521" s="36"/>
      <c r="D1521" s="36"/>
      <c r="E1521" s="531"/>
      <c r="F1521" s="531"/>
      <c r="G1521" s="531"/>
    </row>
    <row r="1522" spans="1:7" x14ac:dyDescent="0.3">
      <c r="A1522" s="36"/>
      <c r="B1522" s="36"/>
      <c r="C1522" s="36"/>
      <c r="D1522" s="36"/>
      <c r="E1522" s="531"/>
      <c r="F1522" s="531"/>
      <c r="G1522" s="531"/>
    </row>
    <row r="1523" spans="1:7" x14ac:dyDescent="0.3">
      <c r="A1523" s="36"/>
      <c r="B1523" s="36"/>
      <c r="C1523" s="36"/>
      <c r="D1523" s="36"/>
      <c r="E1523" s="531"/>
      <c r="F1523" s="531"/>
      <c r="G1523" s="531"/>
    </row>
    <row r="1524" spans="1:7" x14ac:dyDescent="0.3">
      <c r="A1524" s="36"/>
      <c r="B1524" s="36"/>
      <c r="C1524" s="36"/>
      <c r="D1524" s="36"/>
      <c r="E1524" s="531"/>
      <c r="F1524" s="531"/>
      <c r="G1524" s="531"/>
    </row>
    <row r="1525" spans="1:7" x14ac:dyDescent="0.3">
      <c r="A1525" s="36"/>
      <c r="B1525" s="36"/>
      <c r="C1525" s="36"/>
      <c r="D1525" s="36"/>
      <c r="E1525" s="531"/>
      <c r="F1525" s="531"/>
      <c r="G1525" s="531"/>
    </row>
    <row r="1526" spans="1:7" x14ac:dyDescent="0.3">
      <c r="A1526" s="36"/>
      <c r="B1526" s="36"/>
      <c r="C1526" s="36"/>
      <c r="D1526" s="36"/>
      <c r="E1526" s="531"/>
      <c r="F1526" s="531"/>
      <c r="G1526" s="531"/>
    </row>
    <row r="1527" spans="1:7" x14ac:dyDescent="0.3">
      <c r="A1527" s="36"/>
      <c r="B1527" s="36"/>
      <c r="C1527" s="36"/>
      <c r="D1527" s="36"/>
      <c r="E1527" s="531"/>
      <c r="F1527" s="531"/>
      <c r="G1527" s="531"/>
    </row>
    <row r="1528" spans="1:7" x14ac:dyDescent="0.3">
      <c r="A1528" s="36"/>
      <c r="B1528" s="36"/>
      <c r="C1528" s="36"/>
      <c r="D1528" s="36"/>
      <c r="E1528" s="531"/>
      <c r="F1528" s="531"/>
      <c r="G1528" s="531"/>
    </row>
    <row r="1529" spans="1:7" x14ac:dyDescent="0.3">
      <c r="A1529" s="36"/>
      <c r="B1529" s="36"/>
      <c r="C1529" s="36"/>
      <c r="D1529" s="36"/>
      <c r="E1529" s="531"/>
      <c r="F1529" s="531"/>
      <c r="G1529" s="531"/>
    </row>
    <row r="1530" spans="1:7" x14ac:dyDescent="0.3">
      <c r="A1530" s="36"/>
      <c r="B1530" s="36"/>
      <c r="C1530" s="36"/>
      <c r="D1530" s="36"/>
      <c r="E1530" s="531"/>
      <c r="F1530" s="531"/>
      <c r="G1530" s="531"/>
    </row>
    <row r="1531" spans="1:7" x14ac:dyDescent="0.3">
      <c r="A1531" s="36"/>
      <c r="B1531" s="36"/>
      <c r="C1531" s="36"/>
      <c r="D1531" s="36"/>
      <c r="E1531" s="531"/>
      <c r="F1531" s="531"/>
      <c r="G1531" s="531"/>
    </row>
    <row r="1532" spans="1:7" x14ac:dyDescent="0.3">
      <c r="A1532" s="36"/>
      <c r="B1532" s="36"/>
      <c r="C1532" s="36"/>
      <c r="D1532" s="36"/>
      <c r="E1532" s="531"/>
      <c r="F1532" s="531"/>
      <c r="G1532" s="531"/>
    </row>
    <row r="1533" spans="1:7" x14ac:dyDescent="0.3">
      <c r="A1533" s="36"/>
      <c r="B1533" s="36"/>
      <c r="C1533" s="36"/>
      <c r="D1533" s="36"/>
      <c r="E1533" s="531"/>
      <c r="F1533" s="531"/>
      <c r="G1533" s="531"/>
    </row>
    <row r="1534" spans="1:7" x14ac:dyDescent="0.3">
      <c r="A1534" s="36"/>
      <c r="B1534" s="36"/>
      <c r="C1534" s="36"/>
      <c r="D1534" s="36"/>
      <c r="E1534" s="531"/>
      <c r="F1534" s="531"/>
      <c r="G1534" s="531"/>
    </row>
    <row r="1535" spans="1:7" x14ac:dyDescent="0.3">
      <c r="A1535" s="36"/>
      <c r="B1535" s="36"/>
      <c r="C1535" s="36"/>
      <c r="D1535" s="36"/>
      <c r="E1535" s="531"/>
      <c r="F1535" s="531"/>
      <c r="G1535" s="531"/>
    </row>
    <row r="1536" spans="1:7" x14ac:dyDescent="0.3">
      <c r="A1536" s="36"/>
      <c r="B1536" s="36"/>
      <c r="C1536" s="36"/>
      <c r="D1536" s="36"/>
      <c r="E1536" s="531"/>
      <c r="F1536" s="531"/>
      <c r="G1536" s="531"/>
    </row>
    <row r="1537" spans="1:7" x14ac:dyDescent="0.3">
      <c r="A1537" s="36"/>
      <c r="B1537" s="36"/>
      <c r="C1537" s="36"/>
      <c r="D1537" s="36"/>
      <c r="E1537" s="531"/>
      <c r="F1537" s="531"/>
      <c r="G1537" s="531"/>
    </row>
    <row r="1538" spans="1:7" x14ac:dyDescent="0.3">
      <c r="A1538" s="36"/>
      <c r="B1538" s="36"/>
      <c r="C1538" s="36"/>
      <c r="D1538" s="36"/>
      <c r="E1538" s="531"/>
      <c r="F1538" s="531"/>
      <c r="G1538" s="531"/>
    </row>
    <row r="1539" spans="1:7" x14ac:dyDescent="0.3">
      <c r="A1539" s="36"/>
      <c r="B1539" s="36"/>
      <c r="C1539" s="36"/>
      <c r="D1539" s="36"/>
      <c r="E1539" s="531"/>
      <c r="F1539" s="531"/>
      <c r="G1539" s="531"/>
    </row>
    <row r="1540" spans="1:7" x14ac:dyDescent="0.3">
      <c r="A1540" s="36"/>
      <c r="B1540" s="36"/>
      <c r="C1540" s="36"/>
      <c r="D1540" s="36"/>
      <c r="E1540" s="531"/>
      <c r="F1540" s="531"/>
      <c r="G1540" s="531"/>
    </row>
    <row r="1541" spans="1:7" x14ac:dyDescent="0.3">
      <c r="A1541" s="36"/>
      <c r="B1541" s="36"/>
      <c r="C1541" s="36"/>
      <c r="D1541" s="36"/>
      <c r="E1541" s="531"/>
      <c r="F1541" s="531"/>
      <c r="G1541" s="531"/>
    </row>
    <row r="1542" spans="1:7" x14ac:dyDescent="0.3">
      <c r="A1542" s="36"/>
      <c r="B1542" s="36"/>
      <c r="C1542" s="36"/>
      <c r="D1542" s="36"/>
      <c r="E1542" s="531"/>
      <c r="F1542" s="531"/>
      <c r="G1542" s="531"/>
    </row>
    <row r="1543" spans="1:7" x14ac:dyDescent="0.3">
      <c r="A1543" s="36"/>
      <c r="B1543" s="36"/>
      <c r="C1543" s="36"/>
      <c r="D1543" s="36"/>
      <c r="E1543" s="531"/>
      <c r="F1543" s="531"/>
      <c r="G1543" s="531"/>
    </row>
    <row r="1544" spans="1:7" x14ac:dyDescent="0.3">
      <c r="A1544" s="36"/>
      <c r="B1544" s="36"/>
      <c r="C1544" s="36"/>
      <c r="D1544" s="36"/>
      <c r="E1544" s="531"/>
      <c r="F1544" s="531"/>
      <c r="G1544" s="531"/>
    </row>
    <row r="1545" spans="1:7" x14ac:dyDescent="0.3">
      <c r="A1545" s="36"/>
      <c r="B1545" s="36"/>
      <c r="C1545" s="36"/>
      <c r="D1545" s="36"/>
      <c r="E1545" s="531"/>
      <c r="F1545" s="531"/>
      <c r="G1545" s="531"/>
    </row>
    <row r="1546" spans="1:7" x14ac:dyDescent="0.3">
      <c r="A1546" s="36"/>
      <c r="B1546" s="36"/>
      <c r="C1546" s="36"/>
      <c r="D1546" s="36"/>
      <c r="E1546" s="531"/>
      <c r="F1546" s="531"/>
      <c r="G1546" s="531"/>
    </row>
    <row r="1547" spans="1:7" x14ac:dyDescent="0.3">
      <c r="A1547" s="36"/>
      <c r="B1547" s="36"/>
      <c r="C1547" s="36"/>
      <c r="D1547" s="36"/>
      <c r="E1547" s="531"/>
      <c r="F1547" s="531"/>
      <c r="G1547" s="531"/>
    </row>
    <row r="1548" spans="1:7" x14ac:dyDescent="0.3">
      <c r="A1548" s="36"/>
      <c r="B1548" s="36"/>
      <c r="C1548" s="36"/>
      <c r="D1548" s="36"/>
      <c r="E1548" s="531"/>
      <c r="F1548" s="531"/>
      <c r="G1548" s="531"/>
    </row>
    <row r="1549" spans="1:7" x14ac:dyDescent="0.3">
      <c r="A1549" s="36"/>
      <c r="B1549" s="36"/>
      <c r="C1549" s="36"/>
      <c r="D1549" s="36"/>
      <c r="E1549" s="531"/>
      <c r="F1549" s="531"/>
      <c r="G1549" s="531"/>
    </row>
    <row r="1550" spans="1:7" x14ac:dyDescent="0.3">
      <c r="A1550" s="36"/>
      <c r="B1550" s="36"/>
      <c r="C1550" s="36"/>
      <c r="D1550" s="36"/>
      <c r="E1550" s="531"/>
      <c r="F1550" s="531"/>
      <c r="G1550" s="531"/>
    </row>
    <row r="1551" spans="1:7" x14ac:dyDescent="0.3">
      <c r="A1551" s="36"/>
      <c r="B1551" s="36"/>
      <c r="C1551" s="36"/>
      <c r="D1551" s="36"/>
      <c r="E1551" s="531"/>
      <c r="F1551" s="531"/>
      <c r="G1551" s="531"/>
    </row>
    <row r="1552" spans="1:7" x14ac:dyDescent="0.3">
      <c r="A1552" s="36"/>
      <c r="B1552" s="36"/>
      <c r="C1552" s="36"/>
      <c r="D1552" s="36"/>
      <c r="E1552" s="531"/>
      <c r="F1552" s="531"/>
      <c r="G1552" s="531"/>
    </row>
    <row r="1553" spans="1:7" x14ac:dyDescent="0.3">
      <c r="A1553" s="36"/>
      <c r="B1553" s="36"/>
      <c r="C1553" s="36"/>
      <c r="D1553" s="36"/>
      <c r="E1553" s="531"/>
      <c r="F1553" s="531"/>
      <c r="G1553" s="531"/>
    </row>
    <row r="1554" spans="1:7" x14ac:dyDescent="0.3">
      <c r="A1554" s="36"/>
      <c r="B1554" s="36"/>
      <c r="C1554" s="36"/>
      <c r="D1554" s="36"/>
      <c r="E1554" s="531"/>
      <c r="F1554" s="531"/>
      <c r="G1554" s="531"/>
    </row>
    <row r="1555" spans="1:7" x14ac:dyDescent="0.3">
      <c r="A1555" s="36"/>
      <c r="B1555" s="36"/>
      <c r="C1555" s="36"/>
      <c r="D1555" s="36"/>
      <c r="E1555" s="531"/>
      <c r="F1555" s="531"/>
      <c r="G1555" s="531"/>
    </row>
    <row r="1556" spans="1:7" x14ac:dyDescent="0.3">
      <c r="A1556" s="36"/>
      <c r="B1556" s="36"/>
      <c r="C1556" s="36"/>
      <c r="D1556" s="36"/>
      <c r="E1556" s="531"/>
      <c r="F1556" s="531"/>
      <c r="G1556" s="531"/>
    </row>
    <row r="1557" spans="1:7" x14ac:dyDescent="0.3">
      <c r="A1557" s="36"/>
      <c r="B1557" s="36"/>
      <c r="C1557" s="36"/>
      <c r="D1557" s="36"/>
      <c r="E1557" s="531"/>
      <c r="F1557" s="531"/>
      <c r="G1557" s="531"/>
    </row>
    <row r="1558" spans="1:7" x14ac:dyDescent="0.3">
      <c r="A1558" s="36"/>
      <c r="B1558" s="36"/>
      <c r="C1558" s="36"/>
      <c r="D1558" s="36"/>
      <c r="E1558" s="531"/>
      <c r="F1558" s="531"/>
      <c r="G1558" s="531"/>
    </row>
    <row r="1559" spans="1:7" x14ac:dyDescent="0.3">
      <c r="A1559" s="36"/>
      <c r="B1559" s="36"/>
      <c r="C1559" s="36"/>
      <c r="D1559" s="36"/>
      <c r="E1559" s="531"/>
      <c r="F1559" s="531"/>
      <c r="G1559" s="531"/>
    </row>
    <row r="1560" spans="1:7" x14ac:dyDescent="0.3">
      <c r="A1560" s="36"/>
      <c r="B1560" s="36"/>
      <c r="C1560" s="36"/>
      <c r="D1560" s="36"/>
      <c r="E1560" s="531"/>
      <c r="F1560" s="531"/>
      <c r="G1560" s="531"/>
    </row>
    <row r="1561" spans="1:7" x14ac:dyDescent="0.3">
      <c r="A1561" s="36"/>
      <c r="B1561" s="36"/>
      <c r="C1561" s="36"/>
      <c r="D1561" s="36"/>
      <c r="E1561" s="531"/>
      <c r="F1561" s="531"/>
      <c r="G1561" s="531"/>
    </row>
    <row r="1562" spans="1:7" x14ac:dyDescent="0.3">
      <c r="A1562" s="36"/>
      <c r="B1562" s="36"/>
      <c r="C1562" s="36"/>
      <c r="D1562" s="36"/>
      <c r="E1562" s="531"/>
      <c r="F1562" s="531"/>
      <c r="G1562" s="531"/>
    </row>
    <row r="1563" spans="1:7" x14ac:dyDescent="0.3">
      <c r="A1563" s="36"/>
      <c r="B1563" s="36"/>
      <c r="C1563" s="36"/>
      <c r="D1563" s="36"/>
      <c r="E1563" s="531"/>
      <c r="F1563" s="531"/>
      <c r="G1563" s="531"/>
    </row>
    <row r="1564" spans="1:7" x14ac:dyDescent="0.3">
      <c r="A1564" s="36"/>
      <c r="B1564" s="36"/>
      <c r="C1564" s="36"/>
      <c r="D1564" s="36"/>
      <c r="E1564" s="531"/>
      <c r="F1564" s="531"/>
      <c r="G1564" s="531"/>
    </row>
    <row r="1565" spans="1:7" x14ac:dyDescent="0.3">
      <c r="A1565" s="36"/>
      <c r="B1565" s="36"/>
      <c r="C1565" s="36"/>
      <c r="D1565" s="36"/>
      <c r="E1565" s="531"/>
      <c r="F1565" s="531"/>
      <c r="G1565" s="531"/>
    </row>
    <row r="1566" spans="1:7" x14ac:dyDescent="0.3">
      <c r="A1566" s="36"/>
      <c r="B1566" s="36"/>
      <c r="C1566" s="36"/>
      <c r="D1566" s="36"/>
      <c r="E1566" s="531"/>
      <c r="F1566" s="531"/>
      <c r="G1566" s="531"/>
    </row>
    <row r="1567" spans="1:7" x14ac:dyDescent="0.3">
      <c r="A1567" s="36"/>
      <c r="B1567" s="36"/>
      <c r="C1567" s="36"/>
      <c r="D1567" s="36"/>
      <c r="E1567" s="531"/>
      <c r="F1567" s="531"/>
      <c r="G1567" s="531"/>
    </row>
    <row r="1568" spans="1:7" x14ac:dyDescent="0.3">
      <c r="A1568" s="36"/>
      <c r="B1568" s="36"/>
      <c r="C1568" s="36"/>
      <c r="D1568" s="36"/>
      <c r="E1568" s="531"/>
      <c r="F1568" s="531"/>
      <c r="G1568" s="531"/>
    </row>
    <row r="1569" spans="1:7" x14ac:dyDescent="0.3">
      <c r="A1569" s="36"/>
      <c r="B1569" s="36"/>
      <c r="C1569" s="36"/>
      <c r="D1569" s="36"/>
      <c r="E1569" s="531"/>
      <c r="F1569" s="531"/>
      <c r="G1569" s="531"/>
    </row>
    <row r="1570" spans="1:7" x14ac:dyDescent="0.3">
      <c r="A1570" s="36"/>
      <c r="B1570" s="36"/>
      <c r="C1570" s="36"/>
      <c r="D1570" s="36"/>
      <c r="E1570" s="531"/>
      <c r="F1570" s="531"/>
      <c r="G1570" s="531"/>
    </row>
    <row r="1571" spans="1:7" x14ac:dyDescent="0.3">
      <c r="A1571" s="36"/>
      <c r="B1571" s="36"/>
      <c r="C1571" s="36"/>
      <c r="D1571" s="36"/>
      <c r="E1571" s="531"/>
      <c r="F1571" s="531"/>
      <c r="G1571" s="531"/>
    </row>
    <row r="1572" spans="1:7" x14ac:dyDescent="0.3">
      <c r="A1572" s="36"/>
      <c r="B1572" s="36"/>
      <c r="C1572" s="36"/>
      <c r="D1572" s="36"/>
      <c r="E1572" s="531"/>
      <c r="F1572" s="531"/>
      <c r="G1572" s="531"/>
    </row>
    <row r="1573" spans="1:7" x14ac:dyDescent="0.3">
      <c r="A1573" s="36"/>
      <c r="B1573" s="36"/>
      <c r="C1573" s="36"/>
      <c r="D1573" s="36"/>
      <c r="E1573" s="531"/>
      <c r="F1573" s="531"/>
      <c r="G1573" s="531"/>
    </row>
    <row r="1574" spans="1:7" x14ac:dyDescent="0.3">
      <c r="A1574" s="36"/>
      <c r="B1574" s="36"/>
      <c r="C1574" s="36"/>
      <c r="D1574" s="36"/>
      <c r="E1574" s="531"/>
      <c r="F1574" s="531"/>
      <c r="G1574" s="531"/>
    </row>
    <row r="1575" spans="1:7" x14ac:dyDescent="0.3">
      <c r="A1575" s="36"/>
      <c r="B1575" s="36"/>
      <c r="C1575" s="36"/>
      <c r="D1575" s="36"/>
      <c r="E1575" s="531"/>
      <c r="F1575" s="531"/>
      <c r="G1575" s="531"/>
    </row>
    <row r="1576" spans="1:7" x14ac:dyDescent="0.3">
      <c r="A1576" s="36"/>
      <c r="B1576" s="36"/>
      <c r="C1576" s="36"/>
      <c r="D1576" s="36"/>
      <c r="E1576" s="531"/>
      <c r="F1576" s="531"/>
      <c r="G1576" s="531"/>
    </row>
    <row r="1577" spans="1:7" x14ac:dyDescent="0.3">
      <c r="A1577" s="36"/>
      <c r="B1577" s="36"/>
      <c r="C1577" s="36"/>
      <c r="D1577" s="36"/>
      <c r="E1577" s="531"/>
      <c r="F1577" s="531"/>
      <c r="G1577" s="531"/>
    </row>
    <row r="1578" spans="1:7" x14ac:dyDescent="0.3">
      <c r="A1578" s="36"/>
      <c r="B1578" s="36"/>
      <c r="C1578" s="36"/>
      <c r="D1578" s="36"/>
      <c r="E1578" s="531"/>
      <c r="F1578" s="531"/>
      <c r="G1578" s="531"/>
    </row>
    <row r="1579" spans="1:7" x14ac:dyDescent="0.3">
      <c r="A1579" s="36"/>
      <c r="B1579" s="36"/>
      <c r="C1579" s="36"/>
      <c r="D1579" s="36"/>
      <c r="E1579" s="531"/>
      <c r="F1579" s="531"/>
      <c r="G1579" s="531"/>
    </row>
    <row r="1580" spans="1:7" x14ac:dyDescent="0.3">
      <c r="A1580" s="36"/>
      <c r="B1580" s="36"/>
      <c r="C1580" s="36"/>
      <c r="D1580" s="36"/>
      <c r="E1580" s="531"/>
      <c r="F1580" s="531"/>
      <c r="G1580" s="531"/>
    </row>
    <row r="1581" spans="1:7" x14ac:dyDescent="0.3">
      <c r="A1581" s="36"/>
      <c r="B1581" s="36"/>
      <c r="C1581" s="36"/>
      <c r="D1581" s="36"/>
      <c r="E1581" s="531"/>
      <c r="F1581" s="531"/>
      <c r="G1581" s="531"/>
    </row>
    <row r="1582" spans="1:7" x14ac:dyDescent="0.3">
      <c r="A1582" s="36"/>
      <c r="B1582" s="36"/>
      <c r="C1582" s="36"/>
      <c r="D1582" s="36"/>
      <c r="E1582" s="531"/>
      <c r="F1582" s="531"/>
      <c r="G1582" s="531"/>
    </row>
    <row r="1583" spans="1:7" x14ac:dyDescent="0.3">
      <c r="A1583" s="36"/>
      <c r="B1583" s="36"/>
      <c r="C1583" s="36"/>
      <c r="D1583" s="36"/>
      <c r="E1583" s="531"/>
      <c r="F1583" s="531"/>
      <c r="G1583" s="531"/>
    </row>
    <row r="1584" spans="1:7" x14ac:dyDescent="0.3">
      <c r="A1584" s="36"/>
      <c r="B1584" s="36"/>
      <c r="C1584" s="36"/>
      <c r="D1584" s="36"/>
      <c r="E1584" s="531"/>
      <c r="F1584" s="531"/>
      <c r="G1584" s="531"/>
    </row>
    <row r="1585" spans="1:7" x14ac:dyDescent="0.3">
      <c r="A1585" s="36"/>
      <c r="B1585" s="36"/>
      <c r="C1585" s="36"/>
      <c r="D1585" s="36"/>
      <c r="E1585" s="531"/>
      <c r="F1585" s="531"/>
      <c r="G1585" s="531"/>
    </row>
    <row r="1586" spans="1:7" x14ac:dyDescent="0.3">
      <c r="A1586" s="36"/>
      <c r="B1586" s="36"/>
      <c r="C1586" s="36"/>
      <c r="D1586" s="36"/>
      <c r="E1586" s="531"/>
      <c r="F1586" s="531"/>
      <c r="G1586" s="531"/>
    </row>
    <row r="1587" spans="1:7" x14ac:dyDescent="0.3">
      <c r="A1587" s="36"/>
      <c r="B1587" s="36"/>
      <c r="C1587" s="36"/>
      <c r="D1587" s="36"/>
      <c r="E1587" s="531"/>
      <c r="F1587" s="531"/>
      <c r="G1587" s="531"/>
    </row>
    <row r="1588" spans="1:7" x14ac:dyDescent="0.3">
      <c r="A1588" s="36"/>
      <c r="B1588" s="36"/>
      <c r="C1588" s="36"/>
      <c r="D1588" s="36"/>
      <c r="E1588" s="531"/>
      <c r="F1588" s="531"/>
      <c r="G1588" s="531"/>
    </row>
    <row r="1589" spans="1:7" x14ac:dyDescent="0.3">
      <c r="A1589" s="36"/>
      <c r="B1589" s="36"/>
      <c r="C1589" s="36"/>
      <c r="D1589" s="36"/>
      <c r="E1589" s="531"/>
      <c r="F1589" s="531"/>
      <c r="G1589" s="531"/>
    </row>
    <row r="1590" spans="1:7" x14ac:dyDescent="0.3">
      <c r="A1590" s="36"/>
      <c r="B1590" s="36"/>
      <c r="C1590" s="36"/>
      <c r="D1590" s="36"/>
      <c r="E1590" s="531"/>
      <c r="F1590" s="531"/>
      <c r="G1590" s="531"/>
    </row>
    <row r="1591" spans="1:7" x14ac:dyDescent="0.3">
      <c r="A1591" s="36"/>
      <c r="B1591" s="36"/>
      <c r="C1591" s="36"/>
      <c r="D1591" s="36"/>
      <c r="E1591" s="531"/>
      <c r="F1591" s="531"/>
      <c r="G1591" s="531"/>
    </row>
    <row r="1592" spans="1:7" x14ac:dyDescent="0.3">
      <c r="A1592" s="36"/>
      <c r="B1592" s="36"/>
      <c r="C1592" s="36"/>
      <c r="D1592" s="36"/>
      <c r="E1592" s="531"/>
      <c r="F1592" s="531"/>
      <c r="G1592" s="531"/>
    </row>
    <row r="1593" spans="1:7" x14ac:dyDescent="0.3">
      <c r="A1593" s="36"/>
      <c r="B1593" s="36"/>
      <c r="C1593" s="36"/>
      <c r="D1593" s="36"/>
      <c r="E1593" s="531"/>
      <c r="F1593" s="531"/>
      <c r="G1593" s="531"/>
    </row>
    <row r="1594" spans="1:7" x14ac:dyDescent="0.3">
      <c r="A1594" s="36"/>
      <c r="B1594" s="36"/>
      <c r="C1594" s="36"/>
      <c r="D1594" s="36"/>
      <c r="E1594" s="531"/>
      <c r="F1594" s="531"/>
      <c r="G1594" s="531"/>
    </row>
    <row r="1595" spans="1:7" x14ac:dyDescent="0.3">
      <c r="A1595" s="36"/>
      <c r="B1595" s="36"/>
      <c r="C1595" s="36"/>
      <c r="D1595" s="36"/>
      <c r="E1595" s="531"/>
      <c r="F1595" s="531"/>
      <c r="G1595" s="531"/>
    </row>
    <row r="1596" spans="1:7" x14ac:dyDescent="0.3">
      <c r="A1596" s="36"/>
      <c r="B1596" s="36"/>
      <c r="C1596" s="36"/>
      <c r="D1596" s="36"/>
      <c r="E1596" s="531"/>
      <c r="F1596" s="531"/>
      <c r="G1596" s="531"/>
    </row>
    <row r="1597" spans="1:7" x14ac:dyDescent="0.3">
      <c r="A1597" s="36"/>
      <c r="B1597" s="36"/>
      <c r="C1597" s="36"/>
      <c r="D1597" s="36"/>
      <c r="E1597" s="531"/>
      <c r="F1597" s="531"/>
      <c r="G1597" s="531"/>
    </row>
    <row r="1598" spans="1:7" x14ac:dyDescent="0.3">
      <c r="A1598" s="36"/>
      <c r="B1598" s="36"/>
      <c r="C1598" s="36"/>
      <c r="D1598" s="36"/>
      <c r="E1598" s="531"/>
      <c r="F1598" s="531"/>
      <c r="G1598" s="531"/>
    </row>
    <row r="1599" spans="1:7" x14ac:dyDescent="0.3">
      <c r="A1599" s="36"/>
      <c r="B1599" s="36"/>
      <c r="C1599" s="36"/>
      <c r="D1599" s="36"/>
      <c r="E1599" s="531"/>
      <c r="F1599" s="531"/>
      <c r="G1599" s="531"/>
    </row>
    <row r="1600" spans="1:7" x14ac:dyDescent="0.3">
      <c r="A1600" s="36"/>
      <c r="B1600" s="36"/>
      <c r="C1600" s="36"/>
      <c r="D1600" s="36"/>
      <c r="E1600" s="531"/>
      <c r="F1600" s="531"/>
      <c r="G1600" s="531"/>
    </row>
    <row r="1601" spans="1:7" x14ac:dyDescent="0.3">
      <c r="A1601" s="36"/>
      <c r="B1601" s="36"/>
      <c r="C1601" s="36"/>
      <c r="D1601" s="36"/>
      <c r="E1601" s="531"/>
      <c r="F1601" s="531"/>
      <c r="G1601" s="531"/>
    </row>
    <row r="1602" spans="1:7" x14ac:dyDescent="0.3">
      <c r="A1602" s="36"/>
      <c r="B1602" s="36"/>
      <c r="C1602" s="36"/>
      <c r="D1602" s="36"/>
      <c r="E1602" s="531"/>
      <c r="F1602" s="531"/>
      <c r="G1602" s="531"/>
    </row>
    <row r="1603" spans="1:7" x14ac:dyDescent="0.3">
      <c r="A1603" s="36"/>
      <c r="B1603" s="36"/>
      <c r="C1603" s="36"/>
      <c r="D1603" s="36"/>
      <c r="E1603" s="531"/>
      <c r="F1603" s="531"/>
      <c r="G1603" s="531"/>
    </row>
    <row r="1604" spans="1:7" x14ac:dyDescent="0.3">
      <c r="A1604" s="36"/>
      <c r="B1604" s="36"/>
      <c r="C1604" s="36"/>
      <c r="D1604" s="36"/>
      <c r="E1604" s="531"/>
      <c r="F1604" s="531"/>
      <c r="G1604" s="531"/>
    </row>
    <row r="1605" spans="1:7" x14ac:dyDescent="0.3">
      <c r="A1605" s="36"/>
      <c r="B1605" s="36"/>
      <c r="C1605" s="36"/>
      <c r="D1605" s="36"/>
      <c r="E1605" s="531"/>
      <c r="F1605" s="531"/>
      <c r="G1605" s="531"/>
    </row>
    <row r="1606" spans="1:7" x14ac:dyDescent="0.3">
      <c r="A1606" s="36"/>
      <c r="B1606" s="36"/>
      <c r="C1606" s="36"/>
      <c r="D1606" s="36"/>
      <c r="E1606" s="531"/>
      <c r="F1606" s="531"/>
      <c r="G1606" s="531"/>
    </row>
    <row r="1607" spans="1:7" x14ac:dyDescent="0.3">
      <c r="A1607" s="36"/>
      <c r="B1607" s="36"/>
      <c r="C1607" s="36"/>
      <c r="D1607" s="36"/>
      <c r="E1607" s="531"/>
      <c r="F1607" s="531"/>
      <c r="G1607" s="531"/>
    </row>
    <row r="1608" spans="1:7" x14ac:dyDescent="0.3">
      <c r="A1608" s="36"/>
      <c r="B1608" s="36"/>
      <c r="C1608" s="36"/>
      <c r="D1608" s="36"/>
      <c r="E1608" s="531"/>
      <c r="F1608" s="531"/>
      <c r="G1608" s="531"/>
    </row>
    <row r="1609" spans="1:7" x14ac:dyDescent="0.3">
      <c r="A1609" s="36"/>
      <c r="B1609" s="36"/>
      <c r="C1609" s="36"/>
      <c r="D1609" s="36"/>
      <c r="E1609" s="531"/>
      <c r="F1609" s="531"/>
      <c r="G1609" s="531"/>
    </row>
    <row r="1610" spans="1:7" x14ac:dyDescent="0.3">
      <c r="A1610" s="36"/>
      <c r="B1610" s="36"/>
      <c r="C1610" s="36"/>
      <c r="D1610" s="36"/>
      <c r="E1610" s="531"/>
      <c r="F1610" s="531"/>
      <c r="G1610" s="531"/>
    </row>
    <row r="1611" spans="1:7" x14ac:dyDescent="0.3">
      <c r="A1611" s="36"/>
      <c r="B1611" s="36"/>
      <c r="C1611" s="36"/>
      <c r="D1611" s="36"/>
      <c r="E1611" s="531"/>
      <c r="F1611" s="531"/>
      <c r="G1611" s="531"/>
    </row>
    <row r="1612" spans="1:7" x14ac:dyDescent="0.3">
      <c r="A1612" s="36"/>
      <c r="B1612" s="36"/>
      <c r="C1612" s="36"/>
      <c r="D1612" s="36"/>
      <c r="E1612" s="531"/>
      <c r="F1612" s="531"/>
      <c r="G1612" s="531"/>
    </row>
    <row r="1613" spans="1:7" x14ac:dyDescent="0.3">
      <c r="A1613" s="36"/>
      <c r="B1613" s="36"/>
      <c r="C1613" s="36"/>
      <c r="D1613" s="36"/>
      <c r="E1613" s="531"/>
      <c r="F1613" s="531"/>
      <c r="G1613" s="531"/>
    </row>
    <row r="1614" spans="1:7" x14ac:dyDescent="0.3">
      <c r="A1614" s="36"/>
      <c r="B1614" s="36"/>
      <c r="C1614" s="36"/>
      <c r="D1614" s="36"/>
      <c r="E1614" s="531"/>
      <c r="F1614" s="531"/>
      <c r="G1614" s="531"/>
    </row>
    <row r="1615" spans="1:7" x14ac:dyDescent="0.3">
      <c r="A1615" s="36"/>
      <c r="B1615" s="36"/>
      <c r="C1615" s="36"/>
      <c r="D1615" s="36"/>
      <c r="E1615" s="531"/>
      <c r="F1615" s="531"/>
      <c r="G1615" s="531"/>
    </row>
    <row r="1616" spans="1:7" x14ac:dyDescent="0.3">
      <c r="A1616" s="36"/>
      <c r="B1616" s="36"/>
      <c r="C1616" s="36"/>
      <c r="D1616" s="36"/>
      <c r="E1616" s="531"/>
      <c r="F1616" s="531"/>
      <c r="G1616" s="531"/>
    </row>
    <row r="1617" spans="1:7" x14ac:dyDescent="0.3">
      <c r="A1617" s="36"/>
      <c r="B1617" s="36"/>
      <c r="C1617" s="36"/>
      <c r="D1617" s="36"/>
      <c r="E1617" s="531"/>
      <c r="F1617" s="531"/>
      <c r="G1617" s="531"/>
    </row>
    <row r="1618" spans="1:7" x14ac:dyDescent="0.3">
      <c r="A1618" s="36"/>
      <c r="B1618" s="36"/>
      <c r="C1618" s="36"/>
      <c r="D1618" s="36"/>
      <c r="E1618" s="531"/>
      <c r="F1618" s="531"/>
      <c r="G1618" s="531"/>
    </row>
    <row r="1619" spans="1:7" x14ac:dyDescent="0.3">
      <c r="A1619" s="36"/>
      <c r="B1619" s="36"/>
      <c r="C1619" s="36"/>
      <c r="D1619" s="36"/>
      <c r="E1619" s="531"/>
      <c r="F1619" s="531"/>
      <c r="G1619" s="531"/>
    </row>
    <row r="1620" spans="1:7" x14ac:dyDescent="0.3">
      <c r="A1620" s="36"/>
      <c r="B1620" s="36"/>
      <c r="C1620" s="36"/>
      <c r="D1620" s="36"/>
      <c r="E1620" s="531"/>
      <c r="F1620" s="531"/>
      <c r="G1620" s="531"/>
    </row>
    <row r="1621" spans="1:7" x14ac:dyDescent="0.3">
      <c r="A1621" s="36"/>
      <c r="B1621" s="36"/>
      <c r="C1621" s="36"/>
      <c r="D1621" s="36"/>
      <c r="E1621" s="531"/>
      <c r="F1621" s="531"/>
      <c r="G1621" s="531"/>
    </row>
    <row r="1622" spans="1:7" x14ac:dyDescent="0.3">
      <c r="A1622" s="36"/>
      <c r="B1622" s="36"/>
      <c r="C1622" s="36"/>
      <c r="D1622" s="36"/>
      <c r="E1622" s="531"/>
      <c r="F1622" s="531"/>
      <c r="G1622" s="531"/>
    </row>
    <row r="1623" spans="1:7" x14ac:dyDescent="0.3">
      <c r="A1623" s="36"/>
      <c r="B1623" s="36"/>
      <c r="C1623" s="36"/>
      <c r="D1623" s="36"/>
      <c r="E1623" s="531"/>
      <c r="F1623" s="531"/>
      <c r="G1623" s="531"/>
    </row>
    <row r="1624" spans="1:7" x14ac:dyDescent="0.3">
      <c r="A1624" s="36"/>
      <c r="B1624" s="36"/>
      <c r="C1624" s="36"/>
      <c r="D1624" s="36"/>
      <c r="E1624" s="531"/>
      <c r="F1624" s="531"/>
      <c r="G1624" s="531"/>
    </row>
    <row r="1625" spans="1:7" x14ac:dyDescent="0.3">
      <c r="A1625" s="36"/>
      <c r="B1625" s="36"/>
      <c r="C1625" s="36"/>
      <c r="D1625" s="36"/>
      <c r="E1625" s="531"/>
      <c r="F1625" s="531"/>
      <c r="G1625" s="531"/>
    </row>
    <row r="1626" spans="1:7" x14ac:dyDescent="0.3">
      <c r="A1626" s="36"/>
      <c r="B1626" s="36"/>
      <c r="C1626" s="36"/>
      <c r="D1626" s="36"/>
      <c r="E1626" s="531"/>
      <c r="F1626" s="531"/>
      <c r="G1626" s="531"/>
    </row>
    <row r="1627" spans="1:7" x14ac:dyDescent="0.3">
      <c r="A1627" s="36"/>
      <c r="B1627" s="36"/>
      <c r="C1627" s="36"/>
      <c r="D1627" s="36"/>
      <c r="E1627" s="531"/>
      <c r="F1627" s="531"/>
      <c r="G1627" s="531"/>
    </row>
    <row r="1628" spans="1:7" x14ac:dyDescent="0.3">
      <c r="A1628" s="36"/>
      <c r="B1628" s="36"/>
      <c r="C1628" s="36"/>
      <c r="D1628" s="36"/>
      <c r="E1628" s="531"/>
      <c r="F1628" s="531"/>
      <c r="G1628" s="531"/>
    </row>
    <row r="1629" spans="1:7" x14ac:dyDescent="0.3">
      <c r="A1629" s="36"/>
      <c r="B1629" s="36"/>
      <c r="C1629" s="36"/>
      <c r="D1629" s="36"/>
      <c r="E1629" s="531"/>
      <c r="F1629" s="531"/>
      <c r="G1629" s="531"/>
    </row>
    <row r="1630" spans="1:7" x14ac:dyDescent="0.3">
      <c r="A1630" s="36"/>
      <c r="B1630" s="36"/>
      <c r="C1630" s="36"/>
      <c r="D1630" s="36"/>
      <c r="E1630" s="531"/>
      <c r="F1630" s="531"/>
      <c r="G1630" s="531"/>
    </row>
    <row r="1631" spans="1:7" x14ac:dyDescent="0.3">
      <c r="A1631" s="36"/>
      <c r="B1631" s="36"/>
      <c r="C1631" s="36"/>
      <c r="D1631" s="36"/>
      <c r="E1631" s="531"/>
      <c r="F1631" s="531"/>
      <c r="G1631" s="531"/>
    </row>
    <row r="1632" spans="1:7" x14ac:dyDescent="0.3">
      <c r="A1632" s="36"/>
      <c r="B1632" s="36"/>
      <c r="C1632" s="36"/>
      <c r="D1632" s="36"/>
      <c r="E1632" s="531"/>
      <c r="F1632" s="531"/>
      <c r="G1632" s="531"/>
    </row>
    <row r="1633" spans="1:7" x14ac:dyDescent="0.3">
      <c r="A1633" s="36"/>
      <c r="B1633" s="36"/>
      <c r="C1633" s="36"/>
      <c r="D1633" s="36"/>
      <c r="E1633" s="531"/>
      <c r="F1633" s="531"/>
      <c r="G1633" s="531"/>
    </row>
    <row r="1634" spans="1:7" x14ac:dyDescent="0.3">
      <c r="A1634" s="36"/>
      <c r="B1634" s="36"/>
      <c r="C1634" s="36"/>
      <c r="D1634" s="36"/>
      <c r="E1634" s="531"/>
      <c r="F1634" s="531"/>
      <c r="G1634" s="531"/>
    </row>
    <row r="1635" spans="1:7" x14ac:dyDescent="0.3">
      <c r="A1635" s="36"/>
      <c r="B1635" s="36"/>
      <c r="C1635" s="36"/>
      <c r="D1635" s="36"/>
      <c r="E1635" s="531"/>
      <c r="F1635" s="531"/>
      <c r="G1635" s="531"/>
    </row>
    <row r="1636" spans="1:7" x14ac:dyDescent="0.3">
      <c r="A1636" s="36"/>
      <c r="B1636" s="36"/>
      <c r="C1636" s="36"/>
      <c r="D1636" s="36"/>
      <c r="E1636" s="531"/>
      <c r="F1636" s="531"/>
      <c r="G1636" s="531"/>
    </row>
    <row r="1637" spans="1:7" x14ac:dyDescent="0.3">
      <c r="A1637" s="36"/>
      <c r="B1637" s="36"/>
      <c r="C1637" s="36"/>
      <c r="D1637" s="36"/>
      <c r="E1637" s="531"/>
      <c r="F1637" s="531"/>
      <c r="G1637" s="531"/>
    </row>
    <row r="1638" spans="1:7" x14ac:dyDescent="0.3">
      <c r="A1638" s="36"/>
      <c r="B1638" s="36"/>
      <c r="C1638" s="36"/>
      <c r="D1638" s="36"/>
      <c r="E1638" s="531"/>
      <c r="F1638" s="531"/>
      <c r="G1638" s="531"/>
    </row>
    <row r="1639" spans="1:7" x14ac:dyDescent="0.3">
      <c r="A1639" s="36"/>
      <c r="B1639" s="36"/>
      <c r="C1639" s="36"/>
      <c r="D1639" s="36"/>
      <c r="E1639" s="531"/>
      <c r="F1639" s="531"/>
      <c r="G1639" s="531"/>
    </row>
    <row r="1640" spans="1:7" x14ac:dyDescent="0.3">
      <c r="A1640" s="36"/>
      <c r="B1640" s="36"/>
      <c r="C1640" s="36"/>
      <c r="D1640" s="36"/>
      <c r="E1640" s="531"/>
      <c r="F1640" s="531"/>
      <c r="G1640" s="531"/>
    </row>
    <row r="1641" spans="1:7" x14ac:dyDescent="0.3">
      <c r="A1641" s="36"/>
      <c r="B1641" s="36"/>
      <c r="C1641" s="36"/>
      <c r="D1641" s="36"/>
      <c r="E1641" s="531"/>
      <c r="F1641" s="531"/>
      <c r="G1641" s="531"/>
    </row>
    <row r="1642" spans="1:7" x14ac:dyDescent="0.3">
      <c r="A1642" s="36"/>
      <c r="B1642" s="36"/>
      <c r="C1642" s="36"/>
      <c r="D1642" s="36"/>
      <c r="E1642" s="531"/>
      <c r="F1642" s="531"/>
      <c r="G1642" s="531"/>
    </row>
    <row r="1643" spans="1:7" x14ac:dyDescent="0.3">
      <c r="A1643" s="36"/>
      <c r="B1643" s="36"/>
      <c r="C1643" s="36"/>
      <c r="D1643" s="36"/>
      <c r="E1643" s="531"/>
      <c r="F1643" s="531"/>
      <c r="G1643" s="531"/>
    </row>
    <row r="1644" spans="1:7" x14ac:dyDescent="0.3">
      <c r="A1644" s="36"/>
      <c r="B1644" s="36"/>
      <c r="C1644" s="36"/>
      <c r="D1644" s="36"/>
      <c r="E1644" s="531"/>
      <c r="F1644" s="531"/>
      <c r="G1644" s="531"/>
    </row>
    <row r="1645" spans="1:7" x14ac:dyDescent="0.3">
      <c r="A1645" s="36"/>
      <c r="B1645" s="36"/>
      <c r="C1645" s="36"/>
      <c r="D1645" s="36"/>
      <c r="E1645" s="531"/>
      <c r="F1645" s="531"/>
      <c r="G1645" s="531"/>
    </row>
    <row r="1646" spans="1:7" x14ac:dyDescent="0.3">
      <c r="A1646" s="36"/>
      <c r="B1646" s="36"/>
      <c r="C1646" s="36"/>
      <c r="D1646" s="36"/>
      <c r="E1646" s="531"/>
      <c r="F1646" s="531"/>
      <c r="G1646" s="531"/>
    </row>
    <row r="1647" spans="1:7" x14ac:dyDescent="0.3">
      <c r="A1647" s="36"/>
      <c r="B1647" s="36"/>
      <c r="C1647" s="36"/>
      <c r="D1647" s="36"/>
      <c r="E1647" s="531"/>
      <c r="F1647" s="531"/>
      <c r="G1647" s="531"/>
    </row>
    <row r="1648" spans="1:7" x14ac:dyDescent="0.3">
      <c r="A1648" s="36"/>
      <c r="B1648" s="36"/>
      <c r="C1648" s="36"/>
      <c r="D1648" s="36"/>
      <c r="E1648" s="531"/>
      <c r="F1648" s="531"/>
      <c r="G1648" s="531"/>
    </row>
    <row r="1649" spans="1:7" x14ac:dyDescent="0.3">
      <c r="A1649" s="36"/>
      <c r="B1649" s="36"/>
      <c r="C1649" s="36"/>
      <c r="D1649" s="36"/>
      <c r="E1649" s="531"/>
      <c r="F1649" s="531"/>
      <c r="G1649" s="531"/>
    </row>
    <row r="1650" spans="1:7" x14ac:dyDescent="0.3">
      <c r="A1650" s="36"/>
      <c r="B1650" s="36"/>
      <c r="C1650" s="36"/>
      <c r="D1650" s="36"/>
      <c r="E1650" s="531"/>
      <c r="F1650" s="531"/>
      <c r="G1650" s="531"/>
    </row>
    <row r="1651" spans="1:7" x14ac:dyDescent="0.3">
      <c r="A1651" s="36"/>
      <c r="B1651" s="36"/>
      <c r="C1651" s="36"/>
      <c r="D1651" s="36"/>
      <c r="E1651" s="531"/>
      <c r="F1651" s="531"/>
      <c r="G1651" s="531"/>
    </row>
    <row r="1652" spans="1:7" x14ac:dyDescent="0.3">
      <c r="A1652" s="36"/>
      <c r="B1652" s="36"/>
      <c r="C1652" s="36"/>
      <c r="D1652" s="36"/>
      <c r="E1652" s="531"/>
      <c r="F1652" s="531"/>
      <c r="G1652" s="531"/>
    </row>
    <row r="1653" spans="1:7" x14ac:dyDescent="0.3">
      <c r="A1653" s="36"/>
      <c r="B1653" s="36"/>
      <c r="C1653" s="36"/>
      <c r="D1653" s="36"/>
      <c r="E1653" s="531"/>
      <c r="F1653" s="531"/>
      <c r="G1653" s="531"/>
    </row>
    <row r="1654" spans="1:7" x14ac:dyDescent="0.3">
      <c r="A1654" s="36"/>
      <c r="B1654" s="36"/>
      <c r="C1654" s="36"/>
      <c r="D1654" s="36"/>
      <c r="E1654" s="531"/>
      <c r="F1654" s="531"/>
      <c r="G1654" s="531"/>
    </row>
    <row r="1655" spans="1:7" x14ac:dyDescent="0.3">
      <c r="A1655" s="36"/>
      <c r="B1655" s="36"/>
      <c r="C1655" s="36"/>
      <c r="D1655" s="36"/>
      <c r="E1655" s="531"/>
      <c r="F1655" s="531"/>
      <c r="G1655" s="531"/>
    </row>
    <row r="1656" spans="1:7" x14ac:dyDescent="0.3">
      <c r="A1656" s="36"/>
      <c r="B1656" s="36"/>
      <c r="C1656" s="36"/>
      <c r="D1656" s="36"/>
      <c r="E1656" s="531"/>
      <c r="F1656" s="531"/>
      <c r="G1656" s="531"/>
    </row>
    <row r="1657" spans="1:7" x14ac:dyDescent="0.3">
      <c r="A1657" s="36"/>
      <c r="B1657" s="36"/>
      <c r="C1657" s="36"/>
      <c r="D1657" s="36"/>
      <c r="E1657" s="531"/>
      <c r="F1657" s="531"/>
      <c r="G1657" s="531"/>
    </row>
    <row r="1658" spans="1:7" x14ac:dyDescent="0.3">
      <c r="A1658" s="36"/>
      <c r="B1658" s="36"/>
      <c r="C1658" s="36"/>
      <c r="D1658" s="36"/>
      <c r="E1658" s="531"/>
      <c r="F1658" s="531"/>
      <c r="G1658" s="531"/>
    </row>
    <row r="1659" spans="1:7" x14ac:dyDescent="0.3">
      <c r="A1659" s="36"/>
      <c r="B1659" s="36"/>
      <c r="C1659" s="36"/>
      <c r="D1659" s="36"/>
      <c r="E1659" s="531"/>
      <c r="F1659" s="531"/>
      <c r="G1659" s="531"/>
    </row>
    <row r="1660" spans="1:7" x14ac:dyDescent="0.3">
      <c r="A1660" s="36"/>
      <c r="B1660" s="36"/>
      <c r="C1660" s="36"/>
      <c r="D1660" s="36"/>
      <c r="E1660" s="531"/>
      <c r="F1660" s="531"/>
      <c r="G1660" s="531"/>
    </row>
    <row r="1661" spans="1:7" x14ac:dyDescent="0.3">
      <c r="A1661" s="36"/>
      <c r="B1661" s="36"/>
      <c r="C1661" s="36"/>
      <c r="D1661" s="36"/>
      <c r="E1661" s="531"/>
      <c r="F1661" s="531"/>
      <c r="G1661" s="531"/>
    </row>
    <row r="1662" spans="1:7" x14ac:dyDescent="0.3">
      <c r="A1662" s="36"/>
      <c r="B1662" s="36"/>
      <c r="C1662" s="36"/>
      <c r="D1662" s="36"/>
      <c r="E1662" s="531"/>
      <c r="F1662" s="531"/>
      <c r="G1662" s="531"/>
    </row>
    <row r="1663" spans="1:7" x14ac:dyDescent="0.3">
      <c r="A1663" s="36"/>
      <c r="B1663" s="36"/>
      <c r="C1663" s="36"/>
      <c r="D1663" s="36"/>
      <c r="E1663" s="531"/>
      <c r="F1663" s="531"/>
      <c r="G1663" s="531"/>
    </row>
    <row r="1664" spans="1:7" x14ac:dyDescent="0.3">
      <c r="A1664" s="36"/>
      <c r="B1664" s="36"/>
      <c r="C1664" s="36"/>
      <c r="D1664" s="36"/>
      <c r="E1664" s="531"/>
      <c r="F1664" s="531"/>
      <c r="G1664" s="531"/>
    </row>
    <row r="1665" spans="1:7" x14ac:dyDescent="0.3">
      <c r="A1665" s="36"/>
      <c r="B1665" s="36"/>
      <c r="C1665" s="36"/>
      <c r="D1665" s="36"/>
      <c r="E1665" s="531"/>
      <c r="F1665" s="531"/>
      <c r="G1665" s="531"/>
    </row>
    <row r="1666" spans="1:7" x14ac:dyDescent="0.3">
      <c r="A1666" s="36"/>
      <c r="B1666" s="36"/>
      <c r="C1666" s="36"/>
      <c r="D1666" s="36"/>
      <c r="E1666" s="531"/>
      <c r="F1666" s="531"/>
      <c r="G1666" s="531"/>
    </row>
    <row r="1667" spans="1:7" x14ac:dyDescent="0.3">
      <c r="A1667" s="36"/>
      <c r="B1667" s="36"/>
      <c r="C1667" s="36"/>
      <c r="D1667" s="36"/>
      <c r="E1667" s="531"/>
      <c r="F1667" s="531"/>
      <c r="G1667" s="531"/>
    </row>
    <row r="1668" spans="1:7" x14ac:dyDescent="0.3">
      <c r="A1668" s="36"/>
      <c r="B1668" s="36"/>
      <c r="C1668" s="36"/>
      <c r="D1668" s="36"/>
      <c r="E1668" s="531"/>
      <c r="F1668" s="531"/>
      <c r="G1668" s="531"/>
    </row>
    <row r="1669" spans="1:7" x14ac:dyDescent="0.3">
      <c r="A1669" s="36"/>
      <c r="B1669" s="36"/>
      <c r="C1669" s="36"/>
      <c r="D1669" s="36"/>
      <c r="E1669" s="531"/>
      <c r="F1669" s="531"/>
      <c r="G1669" s="531"/>
    </row>
    <row r="1670" spans="1:7" x14ac:dyDescent="0.3">
      <c r="A1670" s="36"/>
      <c r="B1670" s="36"/>
      <c r="C1670" s="36"/>
      <c r="D1670" s="36"/>
      <c r="E1670" s="531"/>
      <c r="F1670" s="531"/>
      <c r="G1670" s="531"/>
    </row>
    <row r="1671" spans="1:7" x14ac:dyDescent="0.3">
      <c r="A1671" s="36"/>
      <c r="B1671" s="36"/>
      <c r="C1671" s="36"/>
      <c r="D1671" s="36"/>
      <c r="E1671" s="531"/>
      <c r="F1671" s="531"/>
      <c r="G1671" s="531"/>
    </row>
    <row r="1672" spans="1:7" x14ac:dyDescent="0.3">
      <c r="A1672" s="36"/>
      <c r="B1672" s="36"/>
      <c r="C1672" s="36"/>
      <c r="D1672" s="36"/>
      <c r="E1672" s="531"/>
      <c r="F1672" s="531"/>
      <c r="G1672" s="531"/>
    </row>
    <row r="1673" spans="1:7" x14ac:dyDescent="0.3">
      <c r="A1673" s="36"/>
      <c r="B1673" s="36"/>
      <c r="C1673" s="36"/>
      <c r="D1673" s="36"/>
      <c r="E1673" s="531"/>
      <c r="F1673" s="531"/>
      <c r="G1673" s="531"/>
    </row>
    <row r="1674" spans="1:7" x14ac:dyDescent="0.3">
      <c r="A1674" s="36"/>
      <c r="B1674" s="36"/>
      <c r="C1674" s="36"/>
      <c r="D1674" s="36"/>
      <c r="E1674" s="531"/>
      <c r="F1674" s="531"/>
      <c r="G1674" s="531"/>
    </row>
    <row r="1675" spans="1:7" x14ac:dyDescent="0.3">
      <c r="A1675" s="36"/>
      <c r="B1675" s="36"/>
      <c r="C1675" s="36"/>
      <c r="D1675" s="36"/>
      <c r="E1675" s="531"/>
      <c r="F1675" s="531"/>
      <c r="G1675" s="531"/>
    </row>
    <row r="1676" spans="1:7" x14ac:dyDescent="0.3">
      <c r="A1676" s="36"/>
      <c r="B1676" s="36"/>
      <c r="C1676" s="36"/>
      <c r="D1676" s="36"/>
      <c r="E1676" s="531"/>
      <c r="F1676" s="531"/>
      <c r="G1676" s="531"/>
    </row>
    <row r="1677" spans="1:7" x14ac:dyDescent="0.3">
      <c r="A1677" s="36"/>
      <c r="B1677" s="36"/>
      <c r="C1677" s="36"/>
      <c r="D1677" s="36"/>
      <c r="E1677" s="531"/>
      <c r="F1677" s="531"/>
      <c r="G1677" s="531"/>
    </row>
    <row r="1678" spans="1:7" x14ac:dyDescent="0.3">
      <c r="A1678" s="36"/>
      <c r="B1678" s="36"/>
      <c r="C1678" s="36"/>
      <c r="D1678" s="36"/>
      <c r="E1678" s="531"/>
      <c r="F1678" s="531"/>
      <c r="G1678" s="531"/>
    </row>
    <row r="1679" spans="1:7" x14ac:dyDescent="0.3">
      <c r="A1679" s="36"/>
      <c r="B1679" s="36"/>
      <c r="C1679" s="36"/>
      <c r="D1679" s="36"/>
      <c r="E1679" s="531"/>
      <c r="F1679" s="531"/>
      <c r="G1679" s="531"/>
    </row>
    <row r="1680" spans="1:7" x14ac:dyDescent="0.3">
      <c r="A1680" s="36"/>
      <c r="B1680" s="36"/>
      <c r="C1680" s="36"/>
      <c r="D1680" s="36"/>
      <c r="E1680" s="531"/>
      <c r="F1680" s="531"/>
      <c r="G1680" s="531"/>
    </row>
    <row r="1681" spans="1:7" x14ac:dyDescent="0.3">
      <c r="A1681" s="36"/>
      <c r="B1681" s="36"/>
      <c r="C1681" s="36"/>
      <c r="D1681" s="36"/>
      <c r="E1681" s="531"/>
      <c r="F1681" s="531"/>
      <c r="G1681" s="531"/>
    </row>
    <row r="1682" spans="1:7" x14ac:dyDescent="0.3">
      <c r="A1682" s="36"/>
      <c r="B1682" s="36"/>
      <c r="C1682" s="36"/>
      <c r="D1682" s="36"/>
      <c r="E1682" s="531"/>
      <c r="F1682" s="531"/>
      <c r="G1682" s="531"/>
    </row>
    <row r="1683" spans="1:7" x14ac:dyDescent="0.3">
      <c r="A1683" s="36"/>
      <c r="B1683" s="36"/>
      <c r="C1683" s="36"/>
      <c r="D1683" s="36"/>
      <c r="E1683" s="531"/>
      <c r="F1683" s="531"/>
      <c r="G1683" s="531"/>
    </row>
    <row r="1684" spans="1:7" x14ac:dyDescent="0.3">
      <c r="A1684" s="36"/>
      <c r="B1684" s="36"/>
      <c r="C1684" s="36"/>
      <c r="D1684" s="36"/>
      <c r="E1684" s="531"/>
      <c r="F1684" s="531"/>
      <c r="G1684" s="531"/>
    </row>
    <row r="1685" spans="1:7" x14ac:dyDescent="0.3">
      <c r="A1685" s="36"/>
      <c r="B1685" s="36"/>
      <c r="C1685" s="36"/>
      <c r="D1685" s="36"/>
      <c r="E1685" s="531"/>
      <c r="F1685" s="531"/>
      <c r="G1685" s="531"/>
    </row>
    <row r="1686" spans="1:7" x14ac:dyDescent="0.3">
      <c r="A1686" s="36"/>
      <c r="B1686" s="36"/>
      <c r="C1686" s="36"/>
      <c r="D1686" s="36"/>
      <c r="E1686" s="531"/>
      <c r="F1686" s="531"/>
      <c r="G1686" s="531"/>
    </row>
    <row r="1687" spans="1:7" x14ac:dyDescent="0.3">
      <c r="A1687" s="36"/>
      <c r="B1687" s="36"/>
      <c r="C1687" s="36"/>
      <c r="D1687" s="36"/>
      <c r="E1687" s="531"/>
      <c r="F1687" s="531"/>
      <c r="G1687" s="531"/>
    </row>
    <row r="1688" spans="1:7" x14ac:dyDescent="0.3">
      <c r="A1688" s="36"/>
      <c r="B1688" s="36"/>
      <c r="C1688" s="36"/>
      <c r="D1688" s="36"/>
      <c r="E1688" s="531"/>
      <c r="F1688" s="531"/>
      <c r="G1688" s="531"/>
    </row>
    <row r="1689" spans="1:7" x14ac:dyDescent="0.3">
      <c r="A1689" s="36"/>
      <c r="B1689" s="36"/>
      <c r="C1689" s="36"/>
      <c r="D1689" s="36"/>
      <c r="E1689" s="531"/>
      <c r="F1689" s="531"/>
      <c r="G1689" s="531"/>
    </row>
    <row r="1690" spans="1:7" x14ac:dyDescent="0.3">
      <c r="A1690" s="36"/>
      <c r="B1690" s="36"/>
      <c r="C1690" s="36"/>
      <c r="D1690" s="36"/>
      <c r="E1690" s="531"/>
      <c r="F1690" s="531"/>
      <c r="G1690" s="531"/>
    </row>
    <row r="1691" spans="1:7" x14ac:dyDescent="0.3">
      <c r="A1691" s="36"/>
      <c r="B1691" s="36"/>
      <c r="C1691" s="36"/>
      <c r="D1691" s="36"/>
      <c r="E1691" s="531"/>
      <c r="F1691" s="531"/>
      <c r="G1691" s="531"/>
    </row>
    <row r="1692" spans="1:7" x14ac:dyDescent="0.3">
      <c r="A1692" s="36"/>
      <c r="B1692" s="36"/>
      <c r="C1692" s="36"/>
      <c r="D1692" s="36"/>
      <c r="E1692" s="531"/>
      <c r="F1692" s="531"/>
      <c r="G1692" s="531"/>
    </row>
    <row r="1693" spans="1:7" x14ac:dyDescent="0.3">
      <c r="A1693" s="36"/>
      <c r="B1693" s="36"/>
      <c r="C1693" s="36"/>
      <c r="D1693" s="36"/>
      <c r="E1693" s="531"/>
      <c r="F1693" s="531"/>
      <c r="G1693" s="531"/>
    </row>
    <row r="1694" spans="1:7" x14ac:dyDescent="0.3">
      <c r="A1694" s="36"/>
      <c r="B1694" s="36"/>
      <c r="C1694" s="36"/>
      <c r="D1694" s="36"/>
      <c r="E1694" s="531"/>
      <c r="F1694" s="531"/>
      <c r="G1694" s="531"/>
    </row>
    <row r="1695" spans="1:7" x14ac:dyDescent="0.3">
      <c r="A1695" s="36"/>
      <c r="B1695" s="36"/>
      <c r="C1695" s="36"/>
      <c r="D1695" s="36"/>
      <c r="E1695" s="531"/>
      <c r="F1695" s="531"/>
      <c r="G1695" s="531"/>
    </row>
    <row r="1696" spans="1:7" x14ac:dyDescent="0.3">
      <c r="A1696" s="36"/>
      <c r="B1696" s="36"/>
      <c r="C1696" s="36"/>
      <c r="D1696" s="36"/>
      <c r="E1696" s="531"/>
      <c r="F1696" s="531"/>
      <c r="G1696" s="531"/>
    </row>
    <row r="1697" spans="1:7" x14ac:dyDescent="0.3">
      <c r="A1697" s="36"/>
      <c r="B1697" s="36"/>
      <c r="C1697" s="36"/>
      <c r="D1697" s="36"/>
      <c r="E1697" s="531"/>
      <c r="F1697" s="531"/>
      <c r="G1697" s="531"/>
    </row>
    <row r="1698" spans="1:7" x14ac:dyDescent="0.3">
      <c r="A1698" s="36"/>
      <c r="B1698" s="36"/>
      <c r="C1698" s="36"/>
      <c r="D1698" s="36"/>
      <c r="E1698" s="531"/>
      <c r="F1698" s="531"/>
      <c r="G1698" s="531"/>
    </row>
    <row r="1699" spans="1:7" x14ac:dyDescent="0.3">
      <c r="A1699" s="36"/>
      <c r="B1699" s="36"/>
      <c r="C1699" s="36"/>
      <c r="D1699" s="36"/>
      <c r="E1699" s="531"/>
      <c r="F1699" s="531"/>
      <c r="G1699" s="531"/>
    </row>
    <row r="1700" spans="1:7" x14ac:dyDescent="0.3">
      <c r="A1700" s="36"/>
      <c r="B1700" s="36"/>
      <c r="C1700" s="36"/>
      <c r="D1700" s="36"/>
      <c r="E1700" s="531"/>
      <c r="F1700" s="531"/>
      <c r="G1700" s="531"/>
    </row>
    <row r="1701" spans="1:7" x14ac:dyDescent="0.3">
      <c r="A1701" s="36"/>
      <c r="B1701" s="36"/>
      <c r="C1701" s="36"/>
      <c r="D1701" s="36"/>
      <c r="E1701" s="531"/>
      <c r="F1701" s="531"/>
      <c r="G1701" s="531"/>
    </row>
    <row r="1702" spans="1:7" x14ac:dyDescent="0.3">
      <c r="A1702" s="36"/>
      <c r="B1702" s="36"/>
      <c r="C1702" s="36"/>
      <c r="D1702" s="36"/>
      <c r="E1702" s="531"/>
      <c r="F1702" s="531"/>
      <c r="G1702" s="531"/>
    </row>
    <row r="1703" spans="1:7" x14ac:dyDescent="0.3">
      <c r="A1703" s="36"/>
      <c r="B1703" s="36"/>
      <c r="C1703" s="36"/>
      <c r="D1703" s="36"/>
      <c r="E1703" s="531"/>
      <c r="F1703" s="531"/>
      <c r="G1703" s="531"/>
    </row>
    <row r="1704" spans="1:7" x14ac:dyDescent="0.3">
      <c r="A1704" s="36"/>
      <c r="B1704" s="36"/>
      <c r="C1704" s="36"/>
      <c r="D1704" s="36"/>
      <c r="E1704" s="531"/>
      <c r="F1704" s="531"/>
      <c r="G1704" s="531"/>
    </row>
    <row r="1705" spans="1:7" x14ac:dyDescent="0.3">
      <c r="A1705" s="36"/>
      <c r="B1705" s="36"/>
      <c r="C1705" s="36"/>
      <c r="D1705" s="36"/>
      <c r="E1705" s="531"/>
      <c r="F1705" s="531"/>
      <c r="G1705" s="531"/>
    </row>
    <row r="1706" spans="1:7" x14ac:dyDescent="0.3">
      <c r="A1706" s="36"/>
      <c r="B1706" s="36"/>
      <c r="C1706" s="36"/>
      <c r="D1706" s="36"/>
      <c r="E1706" s="531"/>
      <c r="F1706" s="531"/>
      <c r="G1706" s="531"/>
    </row>
    <row r="1707" spans="1:7" x14ac:dyDescent="0.3">
      <c r="A1707" s="36"/>
      <c r="B1707" s="36"/>
      <c r="C1707" s="36"/>
      <c r="D1707" s="36"/>
      <c r="E1707" s="531"/>
      <c r="F1707" s="531"/>
      <c r="G1707" s="531"/>
    </row>
    <row r="1708" spans="1:7" x14ac:dyDescent="0.3">
      <c r="A1708" s="36"/>
      <c r="B1708" s="36"/>
      <c r="C1708" s="36"/>
      <c r="D1708" s="36"/>
      <c r="E1708" s="531"/>
      <c r="F1708" s="531"/>
      <c r="G1708" s="531"/>
    </row>
    <row r="1709" spans="1:7" x14ac:dyDescent="0.3">
      <c r="A1709" s="36"/>
      <c r="B1709" s="36"/>
      <c r="C1709" s="36"/>
      <c r="D1709" s="36"/>
      <c r="E1709" s="531"/>
      <c r="F1709" s="531"/>
      <c r="G1709" s="531"/>
    </row>
    <row r="1710" spans="1:7" x14ac:dyDescent="0.3">
      <c r="A1710" s="36"/>
      <c r="B1710" s="36"/>
      <c r="C1710" s="36"/>
      <c r="D1710" s="36"/>
      <c r="E1710" s="531"/>
      <c r="F1710" s="531"/>
      <c r="G1710" s="531"/>
    </row>
    <row r="1711" spans="1:7" x14ac:dyDescent="0.3">
      <c r="A1711" s="36"/>
      <c r="B1711" s="36"/>
      <c r="C1711" s="36"/>
      <c r="D1711" s="36"/>
      <c r="E1711" s="531"/>
      <c r="F1711" s="531"/>
      <c r="G1711" s="531"/>
    </row>
    <row r="1712" spans="1:7" x14ac:dyDescent="0.3">
      <c r="A1712" s="36"/>
      <c r="B1712" s="36"/>
      <c r="C1712" s="36"/>
      <c r="D1712" s="36"/>
      <c r="E1712" s="531"/>
      <c r="F1712" s="531"/>
      <c r="G1712" s="531"/>
    </row>
    <row r="1713" spans="1:7" x14ac:dyDescent="0.3">
      <c r="A1713" s="36"/>
      <c r="B1713" s="36"/>
      <c r="C1713" s="36"/>
      <c r="D1713" s="36"/>
      <c r="E1713" s="531"/>
      <c r="F1713" s="531"/>
      <c r="G1713" s="531"/>
    </row>
    <row r="1714" spans="1:7" x14ac:dyDescent="0.3">
      <c r="A1714" s="36"/>
      <c r="B1714" s="36"/>
      <c r="C1714" s="36"/>
      <c r="D1714" s="36"/>
      <c r="E1714" s="531"/>
      <c r="F1714" s="531"/>
      <c r="G1714" s="531"/>
    </row>
    <row r="1715" spans="1:7" x14ac:dyDescent="0.3">
      <c r="A1715" s="36"/>
      <c r="B1715" s="36"/>
      <c r="C1715" s="36"/>
      <c r="D1715" s="36"/>
      <c r="E1715" s="531"/>
      <c r="F1715" s="531"/>
      <c r="G1715" s="531"/>
    </row>
    <row r="1716" spans="1:7" x14ac:dyDescent="0.3">
      <c r="A1716" s="36"/>
      <c r="B1716" s="36"/>
      <c r="C1716" s="36"/>
      <c r="D1716" s="36"/>
      <c r="E1716" s="531"/>
      <c r="F1716" s="531"/>
      <c r="G1716" s="531"/>
    </row>
    <row r="1717" spans="1:7" x14ac:dyDescent="0.3">
      <c r="A1717" s="36"/>
      <c r="B1717" s="36"/>
      <c r="C1717" s="36"/>
      <c r="D1717" s="36"/>
      <c r="E1717" s="531"/>
      <c r="F1717" s="531"/>
      <c r="G1717" s="531"/>
    </row>
    <row r="1718" spans="1:7" x14ac:dyDescent="0.3">
      <c r="A1718" s="36"/>
      <c r="B1718" s="36"/>
      <c r="C1718" s="36"/>
      <c r="D1718" s="36"/>
      <c r="E1718" s="531"/>
      <c r="F1718" s="531"/>
      <c r="G1718" s="531"/>
    </row>
    <row r="1719" spans="1:7" x14ac:dyDescent="0.3">
      <c r="A1719" s="36"/>
      <c r="B1719" s="36"/>
      <c r="C1719" s="36"/>
      <c r="D1719" s="36"/>
      <c r="E1719" s="531"/>
      <c r="F1719" s="531"/>
      <c r="G1719" s="531"/>
    </row>
    <row r="1720" spans="1:7" x14ac:dyDescent="0.3">
      <c r="A1720" s="36"/>
      <c r="B1720" s="36"/>
      <c r="C1720" s="36"/>
      <c r="D1720" s="36"/>
      <c r="E1720" s="531"/>
      <c r="F1720" s="531"/>
      <c r="G1720" s="531"/>
    </row>
    <row r="1721" spans="1:7" x14ac:dyDescent="0.3">
      <c r="A1721" s="36"/>
      <c r="B1721" s="36"/>
      <c r="C1721" s="36"/>
      <c r="D1721" s="36"/>
      <c r="E1721" s="531"/>
      <c r="F1721" s="531"/>
      <c r="G1721" s="531"/>
    </row>
    <row r="1722" spans="1:7" x14ac:dyDescent="0.3">
      <c r="A1722" s="36"/>
      <c r="B1722" s="36"/>
      <c r="C1722" s="36"/>
      <c r="D1722" s="36"/>
      <c r="E1722" s="531"/>
      <c r="F1722" s="531"/>
      <c r="G1722" s="531"/>
    </row>
    <row r="1723" spans="1:7" x14ac:dyDescent="0.3">
      <c r="A1723" s="36"/>
      <c r="B1723" s="36"/>
      <c r="C1723" s="36"/>
      <c r="D1723" s="36"/>
      <c r="E1723" s="531"/>
      <c r="F1723" s="531"/>
      <c r="G1723" s="531"/>
    </row>
    <row r="1724" spans="1:7" x14ac:dyDescent="0.3">
      <c r="A1724" s="36"/>
      <c r="B1724" s="36"/>
      <c r="C1724" s="36"/>
      <c r="D1724" s="36"/>
      <c r="E1724" s="531"/>
      <c r="F1724" s="531"/>
      <c r="G1724" s="531"/>
    </row>
    <row r="1725" spans="1:7" x14ac:dyDescent="0.3">
      <c r="A1725" s="36"/>
      <c r="B1725" s="36"/>
      <c r="C1725" s="36"/>
      <c r="D1725" s="36"/>
      <c r="E1725" s="531"/>
      <c r="F1725" s="531"/>
      <c r="G1725" s="531"/>
    </row>
    <row r="1726" spans="1:7" x14ac:dyDescent="0.3">
      <c r="A1726" s="36"/>
      <c r="B1726" s="36"/>
      <c r="C1726" s="36"/>
      <c r="D1726" s="36"/>
      <c r="E1726" s="531"/>
      <c r="F1726" s="531"/>
      <c r="G1726" s="531"/>
    </row>
    <row r="1727" spans="1:7" x14ac:dyDescent="0.3">
      <c r="A1727" s="36"/>
      <c r="B1727" s="36"/>
      <c r="C1727" s="36"/>
      <c r="D1727" s="36"/>
      <c r="E1727" s="531"/>
      <c r="F1727" s="531"/>
      <c r="G1727" s="531"/>
    </row>
    <row r="1728" spans="1:7" x14ac:dyDescent="0.3">
      <c r="A1728" s="36"/>
      <c r="B1728" s="36"/>
      <c r="C1728" s="36"/>
      <c r="D1728" s="36"/>
      <c r="E1728" s="531"/>
      <c r="F1728" s="531"/>
      <c r="G1728" s="531"/>
    </row>
    <row r="1729" spans="1:7" x14ac:dyDescent="0.3">
      <c r="A1729" s="36"/>
      <c r="B1729" s="36"/>
      <c r="C1729" s="36"/>
      <c r="D1729" s="36"/>
      <c r="E1729" s="531"/>
      <c r="F1729" s="531"/>
      <c r="G1729" s="531"/>
    </row>
    <row r="1730" spans="1:7" x14ac:dyDescent="0.3">
      <c r="A1730" s="36"/>
      <c r="B1730" s="36"/>
      <c r="C1730" s="36"/>
      <c r="D1730" s="36"/>
      <c r="E1730" s="531"/>
      <c r="F1730" s="531"/>
      <c r="G1730" s="531"/>
    </row>
    <row r="1731" spans="1:7" x14ac:dyDescent="0.3">
      <c r="A1731" s="36"/>
      <c r="B1731" s="36"/>
      <c r="C1731" s="36"/>
      <c r="D1731" s="36"/>
      <c r="E1731" s="531"/>
      <c r="F1731" s="531"/>
      <c r="G1731" s="531"/>
    </row>
    <row r="1732" spans="1:7" x14ac:dyDescent="0.3">
      <c r="A1732" s="36"/>
      <c r="B1732" s="36"/>
      <c r="C1732" s="36"/>
      <c r="D1732" s="36"/>
      <c r="E1732" s="531"/>
      <c r="F1732" s="531"/>
      <c r="G1732" s="531"/>
    </row>
    <row r="1733" spans="1:7" x14ac:dyDescent="0.3">
      <c r="A1733" s="36"/>
      <c r="B1733" s="36"/>
      <c r="C1733" s="36"/>
      <c r="D1733" s="36"/>
      <c r="E1733" s="531"/>
      <c r="F1733" s="531"/>
      <c r="G1733" s="531"/>
    </row>
    <row r="1734" spans="1:7" x14ac:dyDescent="0.3">
      <c r="A1734" s="36"/>
      <c r="B1734" s="36"/>
      <c r="C1734" s="36"/>
      <c r="D1734" s="36"/>
      <c r="E1734" s="531"/>
      <c r="F1734" s="531"/>
      <c r="G1734" s="531"/>
    </row>
    <row r="1735" spans="1:7" x14ac:dyDescent="0.3">
      <c r="A1735" s="36"/>
      <c r="B1735" s="36"/>
      <c r="C1735" s="36"/>
      <c r="D1735" s="36"/>
      <c r="E1735" s="531"/>
      <c r="F1735" s="531"/>
      <c r="G1735" s="531"/>
    </row>
    <row r="1736" spans="1:7" x14ac:dyDescent="0.3">
      <c r="A1736" s="36"/>
      <c r="B1736" s="36"/>
      <c r="C1736" s="36"/>
      <c r="D1736" s="36"/>
      <c r="E1736" s="531"/>
      <c r="F1736" s="531"/>
      <c r="G1736" s="531"/>
    </row>
    <row r="1737" spans="1:7" x14ac:dyDescent="0.3">
      <c r="A1737" s="36"/>
      <c r="B1737" s="36"/>
      <c r="C1737" s="36"/>
      <c r="D1737" s="36"/>
      <c r="E1737" s="531"/>
      <c r="F1737" s="531"/>
      <c r="G1737" s="531"/>
    </row>
    <row r="1738" spans="1:7" x14ac:dyDescent="0.3">
      <c r="A1738" s="36"/>
      <c r="B1738" s="36"/>
      <c r="C1738" s="36"/>
      <c r="D1738" s="36"/>
      <c r="E1738" s="531"/>
      <c r="F1738" s="531"/>
      <c r="G1738" s="531"/>
    </row>
    <row r="1739" spans="1:7" x14ac:dyDescent="0.3">
      <c r="A1739" s="36"/>
      <c r="B1739" s="36"/>
      <c r="C1739" s="36"/>
      <c r="D1739" s="36"/>
      <c r="E1739" s="531"/>
      <c r="F1739" s="531"/>
      <c r="G1739" s="531"/>
    </row>
    <row r="1740" spans="1:7" x14ac:dyDescent="0.3">
      <c r="A1740" s="36"/>
      <c r="B1740" s="36"/>
      <c r="C1740" s="36"/>
      <c r="D1740" s="36"/>
      <c r="E1740" s="531"/>
      <c r="F1740" s="531"/>
      <c r="G1740" s="531"/>
    </row>
    <row r="1741" spans="1:7" x14ac:dyDescent="0.3">
      <c r="A1741" s="36"/>
      <c r="B1741" s="36"/>
      <c r="C1741" s="36"/>
      <c r="D1741" s="36"/>
      <c r="E1741" s="531"/>
      <c r="F1741" s="531"/>
      <c r="G1741" s="531"/>
    </row>
    <row r="1742" spans="1:7" x14ac:dyDescent="0.3">
      <c r="A1742" s="36"/>
      <c r="B1742" s="36"/>
      <c r="C1742" s="36"/>
      <c r="D1742" s="36"/>
      <c r="E1742" s="531"/>
      <c r="F1742" s="531"/>
      <c r="G1742" s="531"/>
    </row>
    <row r="1743" spans="1:7" x14ac:dyDescent="0.3">
      <c r="A1743" s="36"/>
      <c r="B1743" s="36"/>
      <c r="C1743" s="36"/>
      <c r="D1743" s="36"/>
      <c r="E1743" s="531"/>
      <c r="F1743" s="531"/>
      <c r="G1743" s="531"/>
    </row>
    <row r="1744" spans="1:7" x14ac:dyDescent="0.3">
      <c r="A1744" s="36"/>
      <c r="B1744" s="36"/>
      <c r="C1744" s="36"/>
      <c r="D1744" s="36"/>
      <c r="E1744" s="531"/>
      <c r="F1744" s="531"/>
      <c r="G1744" s="531"/>
    </row>
    <row r="1745" spans="1:7" x14ac:dyDescent="0.3">
      <c r="A1745" s="36"/>
      <c r="B1745" s="36"/>
      <c r="C1745" s="36"/>
      <c r="D1745" s="36"/>
      <c r="E1745" s="531"/>
      <c r="F1745" s="531"/>
      <c r="G1745" s="531"/>
    </row>
    <row r="1746" spans="1:7" x14ac:dyDescent="0.3">
      <c r="A1746" s="36"/>
      <c r="B1746" s="36"/>
      <c r="C1746" s="36"/>
      <c r="D1746" s="36"/>
      <c r="E1746" s="531"/>
      <c r="F1746" s="531"/>
      <c r="G1746" s="531"/>
    </row>
    <row r="1747" spans="1:7" x14ac:dyDescent="0.3">
      <c r="A1747" s="36"/>
      <c r="B1747" s="36"/>
      <c r="C1747" s="36"/>
      <c r="D1747" s="36"/>
      <c r="E1747" s="531"/>
      <c r="F1747" s="531"/>
      <c r="G1747" s="531"/>
    </row>
    <row r="1748" spans="1:7" x14ac:dyDescent="0.3">
      <c r="A1748" s="36"/>
      <c r="B1748" s="36"/>
      <c r="C1748" s="36"/>
      <c r="D1748" s="36"/>
      <c r="E1748" s="531"/>
      <c r="F1748" s="531"/>
      <c r="G1748" s="531"/>
    </row>
    <row r="1749" spans="1:7" x14ac:dyDescent="0.3">
      <c r="A1749" s="36"/>
      <c r="B1749" s="36"/>
      <c r="C1749" s="36"/>
      <c r="D1749" s="36"/>
      <c r="E1749" s="531"/>
      <c r="F1749" s="531"/>
      <c r="G1749" s="531"/>
    </row>
    <row r="1750" spans="1:7" x14ac:dyDescent="0.3">
      <c r="A1750" s="36"/>
      <c r="B1750" s="36"/>
      <c r="C1750" s="36"/>
      <c r="D1750" s="36"/>
      <c r="E1750" s="531"/>
      <c r="F1750" s="531"/>
      <c r="G1750" s="531"/>
    </row>
    <row r="1751" spans="1:7" x14ac:dyDescent="0.3">
      <c r="A1751" s="36"/>
      <c r="B1751" s="36"/>
      <c r="C1751" s="36"/>
      <c r="D1751" s="36"/>
      <c r="E1751" s="531"/>
      <c r="F1751" s="531"/>
      <c r="G1751" s="531"/>
    </row>
    <row r="1752" spans="1:7" x14ac:dyDescent="0.3">
      <c r="A1752" s="36"/>
      <c r="B1752" s="36"/>
      <c r="C1752" s="36"/>
      <c r="D1752" s="36"/>
      <c r="E1752" s="531"/>
      <c r="F1752" s="531"/>
      <c r="G1752" s="531"/>
    </row>
    <row r="1753" spans="1:7" x14ac:dyDescent="0.3">
      <c r="A1753" s="36"/>
      <c r="B1753" s="36"/>
      <c r="C1753" s="36"/>
      <c r="D1753" s="36"/>
      <c r="E1753" s="531"/>
      <c r="F1753" s="531"/>
      <c r="G1753" s="531"/>
    </row>
    <row r="1754" spans="1:7" x14ac:dyDescent="0.3">
      <c r="A1754" s="36"/>
      <c r="B1754" s="36"/>
      <c r="C1754" s="36"/>
      <c r="D1754" s="36"/>
      <c r="E1754" s="531"/>
      <c r="F1754" s="531"/>
      <c r="G1754" s="531"/>
    </row>
    <row r="1755" spans="1:7" x14ac:dyDescent="0.3">
      <c r="A1755" s="36"/>
      <c r="B1755" s="36"/>
      <c r="C1755" s="36"/>
      <c r="D1755" s="36"/>
      <c r="E1755" s="531"/>
      <c r="F1755" s="531"/>
      <c r="G1755" s="531"/>
    </row>
    <row r="1756" spans="1:7" x14ac:dyDescent="0.3">
      <c r="A1756" s="36"/>
      <c r="B1756" s="36"/>
      <c r="C1756" s="36"/>
      <c r="D1756" s="36"/>
      <c r="E1756" s="531"/>
      <c r="F1756" s="531"/>
      <c r="G1756" s="531"/>
    </row>
    <row r="1757" spans="1:7" x14ac:dyDescent="0.3">
      <c r="A1757" s="36"/>
      <c r="B1757" s="36"/>
      <c r="C1757" s="36"/>
      <c r="D1757" s="36"/>
      <c r="E1757" s="531"/>
      <c r="F1757" s="531"/>
      <c r="G1757" s="531"/>
    </row>
    <row r="1758" spans="1:7" x14ac:dyDescent="0.3">
      <c r="A1758" s="36"/>
      <c r="B1758" s="36"/>
      <c r="C1758" s="36"/>
      <c r="D1758" s="36"/>
      <c r="E1758" s="531"/>
      <c r="F1758" s="531"/>
      <c r="G1758" s="531"/>
    </row>
    <row r="1759" spans="1:7" x14ac:dyDescent="0.3">
      <c r="A1759" s="36"/>
      <c r="B1759" s="36"/>
      <c r="C1759" s="36"/>
      <c r="D1759" s="36"/>
      <c r="E1759" s="531"/>
      <c r="F1759" s="531"/>
      <c r="G1759" s="531"/>
    </row>
    <row r="1760" spans="1:7" x14ac:dyDescent="0.3">
      <c r="A1760" s="36"/>
      <c r="B1760" s="36"/>
      <c r="C1760" s="36"/>
      <c r="D1760" s="36"/>
      <c r="E1760" s="531"/>
      <c r="F1760" s="531"/>
      <c r="G1760" s="531"/>
    </row>
    <row r="1761" spans="1:7" x14ac:dyDescent="0.3">
      <c r="A1761" s="36"/>
      <c r="B1761" s="36"/>
      <c r="C1761" s="36"/>
      <c r="D1761" s="36"/>
      <c r="E1761" s="531"/>
      <c r="F1761" s="531"/>
      <c r="G1761" s="531"/>
    </row>
    <row r="1762" spans="1:7" x14ac:dyDescent="0.3">
      <c r="A1762" s="36"/>
      <c r="B1762" s="36"/>
      <c r="C1762" s="36"/>
      <c r="D1762" s="36"/>
      <c r="E1762" s="531"/>
      <c r="F1762" s="531"/>
      <c r="G1762" s="531"/>
    </row>
    <row r="1763" spans="1:7" x14ac:dyDescent="0.3">
      <c r="A1763" s="36"/>
      <c r="B1763" s="36"/>
      <c r="C1763" s="36"/>
      <c r="D1763" s="36"/>
      <c r="E1763" s="531"/>
      <c r="F1763" s="531"/>
      <c r="G1763" s="531"/>
    </row>
    <row r="1764" spans="1:7" x14ac:dyDescent="0.3">
      <c r="A1764" s="36"/>
      <c r="B1764" s="36"/>
      <c r="C1764" s="36"/>
      <c r="D1764" s="36"/>
      <c r="E1764" s="531"/>
      <c r="F1764" s="531"/>
      <c r="G1764" s="531"/>
    </row>
    <row r="1765" spans="1:7" x14ac:dyDescent="0.3">
      <c r="A1765" s="36"/>
      <c r="B1765" s="36"/>
      <c r="C1765" s="36"/>
      <c r="D1765" s="36"/>
      <c r="E1765" s="531"/>
      <c r="F1765" s="531"/>
      <c r="G1765" s="531"/>
    </row>
    <row r="1766" spans="1:7" x14ac:dyDescent="0.3">
      <c r="A1766" s="36"/>
      <c r="B1766" s="36"/>
      <c r="C1766" s="36"/>
      <c r="D1766" s="36"/>
      <c r="E1766" s="531"/>
      <c r="F1766" s="531"/>
      <c r="G1766" s="531"/>
    </row>
    <row r="1767" spans="1:7" x14ac:dyDescent="0.3">
      <c r="A1767" s="36"/>
      <c r="B1767" s="36"/>
      <c r="C1767" s="36"/>
      <c r="D1767" s="36"/>
      <c r="E1767" s="531"/>
      <c r="F1767" s="531"/>
      <c r="G1767" s="531"/>
    </row>
    <row r="1768" spans="1:7" x14ac:dyDescent="0.3">
      <c r="A1768" s="36"/>
      <c r="B1768" s="36"/>
      <c r="C1768" s="36"/>
      <c r="D1768" s="36"/>
      <c r="E1768" s="531"/>
      <c r="F1768" s="531"/>
      <c r="G1768" s="531"/>
    </row>
    <row r="1769" spans="1:7" x14ac:dyDescent="0.3">
      <c r="A1769" s="36"/>
      <c r="B1769" s="36"/>
      <c r="C1769" s="36"/>
      <c r="D1769" s="36"/>
      <c r="E1769" s="531"/>
      <c r="F1769" s="531"/>
      <c r="G1769" s="531"/>
    </row>
    <row r="1770" spans="1:7" x14ac:dyDescent="0.3">
      <c r="A1770" s="36"/>
      <c r="B1770" s="36"/>
      <c r="C1770" s="36"/>
      <c r="D1770" s="36"/>
      <c r="E1770" s="531"/>
      <c r="F1770" s="531"/>
      <c r="G1770" s="531"/>
    </row>
    <row r="1771" spans="1:7" x14ac:dyDescent="0.3">
      <c r="A1771" s="36"/>
      <c r="B1771" s="36"/>
      <c r="C1771" s="36"/>
      <c r="D1771" s="36"/>
      <c r="E1771" s="531"/>
      <c r="F1771" s="531"/>
      <c r="G1771" s="531"/>
    </row>
    <row r="1772" spans="1:7" x14ac:dyDescent="0.3">
      <c r="A1772" s="36"/>
      <c r="B1772" s="36"/>
      <c r="C1772" s="36"/>
      <c r="D1772" s="36"/>
      <c r="E1772" s="531"/>
      <c r="F1772" s="531"/>
      <c r="G1772" s="531"/>
    </row>
    <row r="1773" spans="1:7" x14ac:dyDescent="0.3">
      <c r="A1773" s="36"/>
      <c r="B1773" s="36"/>
      <c r="C1773" s="36"/>
      <c r="D1773" s="36"/>
      <c r="E1773" s="531"/>
      <c r="F1773" s="531"/>
      <c r="G1773" s="531"/>
    </row>
    <row r="1774" spans="1:7" x14ac:dyDescent="0.3">
      <c r="A1774" s="36"/>
      <c r="B1774" s="36"/>
      <c r="C1774" s="36"/>
      <c r="D1774" s="36"/>
      <c r="E1774" s="531"/>
      <c r="F1774" s="531"/>
      <c r="G1774" s="531"/>
    </row>
    <row r="1775" spans="1:7" x14ac:dyDescent="0.3">
      <c r="A1775" s="36"/>
      <c r="B1775" s="36"/>
      <c r="C1775" s="36"/>
      <c r="D1775" s="36"/>
      <c r="E1775" s="531"/>
      <c r="F1775" s="531"/>
      <c r="G1775" s="531"/>
    </row>
    <row r="1776" spans="1:7" x14ac:dyDescent="0.3">
      <c r="A1776" s="36"/>
      <c r="B1776" s="36"/>
      <c r="C1776" s="36"/>
      <c r="D1776" s="36"/>
      <c r="E1776" s="531"/>
      <c r="F1776" s="531"/>
      <c r="G1776" s="531"/>
    </row>
    <row r="1777" spans="1:7" x14ac:dyDescent="0.3">
      <c r="A1777" s="36"/>
      <c r="B1777" s="36"/>
      <c r="C1777" s="36"/>
      <c r="D1777" s="36"/>
      <c r="E1777" s="531"/>
      <c r="F1777" s="531"/>
      <c r="G1777" s="531"/>
    </row>
    <row r="1778" spans="1:7" x14ac:dyDescent="0.3">
      <c r="A1778" s="36"/>
      <c r="B1778" s="36"/>
      <c r="C1778" s="36"/>
      <c r="D1778" s="36"/>
      <c r="E1778" s="531"/>
      <c r="F1778" s="531"/>
      <c r="G1778" s="531"/>
    </row>
    <row r="1779" spans="1:7" x14ac:dyDescent="0.3">
      <c r="A1779" s="36"/>
      <c r="B1779" s="36"/>
      <c r="C1779" s="36"/>
      <c r="D1779" s="36"/>
      <c r="E1779" s="531"/>
      <c r="F1779" s="531"/>
      <c r="G1779" s="531"/>
    </row>
    <row r="1780" spans="1:7" x14ac:dyDescent="0.3">
      <c r="A1780" s="36"/>
      <c r="B1780" s="36"/>
      <c r="C1780" s="36"/>
      <c r="D1780" s="36"/>
      <c r="E1780" s="531"/>
      <c r="F1780" s="531"/>
      <c r="G1780" s="531"/>
    </row>
    <row r="1781" spans="1:7" x14ac:dyDescent="0.3">
      <c r="A1781" s="36"/>
      <c r="B1781" s="36"/>
      <c r="C1781" s="36"/>
      <c r="D1781" s="36"/>
      <c r="E1781" s="531"/>
      <c r="F1781" s="531"/>
      <c r="G1781" s="531"/>
    </row>
    <row r="1782" spans="1:7" x14ac:dyDescent="0.3">
      <c r="A1782" s="36"/>
      <c r="B1782" s="36"/>
      <c r="C1782" s="36"/>
      <c r="D1782" s="36"/>
      <c r="E1782" s="531"/>
      <c r="F1782" s="531"/>
      <c r="G1782" s="531"/>
    </row>
    <row r="1783" spans="1:7" x14ac:dyDescent="0.3">
      <c r="A1783" s="36"/>
      <c r="B1783" s="36"/>
      <c r="C1783" s="36"/>
      <c r="D1783" s="36"/>
      <c r="E1783" s="531"/>
      <c r="F1783" s="531"/>
      <c r="G1783" s="531"/>
    </row>
    <row r="1784" spans="1:7" x14ac:dyDescent="0.3">
      <c r="A1784" s="36"/>
      <c r="B1784" s="36"/>
      <c r="C1784" s="36"/>
      <c r="D1784" s="36"/>
      <c r="E1784" s="531"/>
      <c r="F1784" s="531"/>
      <c r="G1784" s="531"/>
    </row>
    <row r="1785" spans="1:7" x14ac:dyDescent="0.3">
      <c r="A1785" s="36"/>
      <c r="B1785" s="36"/>
      <c r="C1785" s="36"/>
      <c r="D1785" s="36"/>
      <c r="E1785" s="531"/>
      <c r="F1785" s="531"/>
      <c r="G1785" s="531"/>
    </row>
    <row r="1786" spans="1:7" x14ac:dyDescent="0.3">
      <c r="A1786" s="36"/>
      <c r="B1786" s="36"/>
      <c r="C1786" s="36"/>
      <c r="D1786" s="36"/>
      <c r="E1786" s="531"/>
      <c r="F1786" s="531"/>
      <c r="G1786" s="531"/>
    </row>
    <row r="1787" spans="1:7" x14ac:dyDescent="0.3">
      <c r="A1787" s="36"/>
      <c r="B1787" s="36"/>
      <c r="C1787" s="36"/>
      <c r="D1787" s="36"/>
      <c r="E1787" s="531"/>
      <c r="F1787" s="531"/>
      <c r="G1787" s="531"/>
    </row>
    <row r="1788" spans="1:7" x14ac:dyDescent="0.3">
      <c r="A1788" s="36"/>
      <c r="B1788" s="36"/>
      <c r="C1788" s="36"/>
      <c r="D1788" s="36"/>
      <c r="E1788" s="531"/>
      <c r="F1788" s="531"/>
      <c r="G1788" s="531"/>
    </row>
    <row r="1789" spans="1:7" x14ac:dyDescent="0.3">
      <c r="A1789" s="36"/>
      <c r="B1789" s="36"/>
      <c r="C1789" s="36"/>
      <c r="D1789" s="36"/>
      <c r="E1789" s="531"/>
      <c r="F1789" s="531"/>
      <c r="G1789" s="531"/>
    </row>
    <row r="1790" spans="1:7" x14ac:dyDescent="0.3">
      <c r="A1790" s="36"/>
      <c r="B1790" s="36"/>
      <c r="C1790" s="36"/>
      <c r="D1790" s="36"/>
      <c r="E1790" s="531"/>
      <c r="F1790" s="531"/>
      <c r="G1790" s="531"/>
    </row>
    <row r="1791" spans="1:7" x14ac:dyDescent="0.3">
      <c r="A1791" s="36"/>
      <c r="B1791" s="36"/>
      <c r="C1791" s="36"/>
      <c r="D1791" s="36"/>
      <c r="E1791" s="531"/>
      <c r="F1791" s="531"/>
      <c r="G1791" s="531"/>
    </row>
    <row r="1792" spans="1:7" x14ac:dyDescent="0.3">
      <c r="A1792" s="36"/>
      <c r="B1792" s="36"/>
      <c r="C1792" s="36"/>
      <c r="D1792" s="36"/>
      <c r="E1792" s="531"/>
      <c r="F1792" s="531"/>
      <c r="G1792" s="531"/>
    </row>
    <row r="1793" spans="1:7" x14ac:dyDescent="0.3">
      <c r="A1793" s="36"/>
      <c r="B1793" s="36"/>
      <c r="C1793" s="36"/>
      <c r="D1793" s="36"/>
      <c r="E1793" s="531"/>
      <c r="F1793" s="531"/>
      <c r="G1793" s="531"/>
    </row>
    <row r="1794" spans="1:7" x14ac:dyDescent="0.3">
      <c r="A1794" s="36"/>
      <c r="B1794" s="36"/>
      <c r="C1794" s="36"/>
      <c r="D1794" s="36"/>
      <c r="E1794" s="531"/>
      <c r="F1794" s="531"/>
      <c r="G1794" s="531"/>
    </row>
    <row r="1795" spans="1:7" x14ac:dyDescent="0.3">
      <c r="A1795" s="36"/>
      <c r="B1795" s="36"/>
      <c r="C1795" s="36"/>
      <c r="D1795" s="36"/>
      <c r="E1795" s="531"/>
      <c r="F1795" s="531"/>
      <c r="G1795" s="531"/>
    </row>
    <row r="1796" spans="1:7" x14ac:dyDescent="0.3">
      <c r="A1796" s="36"/>
      <c r="B1796" s="36"/>
      <c r="C1796" s="36"/>
      <c r="D1796" s="36"/>
      <c r="E1796" s="531"/>
      <c r="F1796" s="531"/>
      <c r="G1796" s="531"/>
    </row>
    <row r="1797" spans="1:7" x14ac:dyDescent="0.3">
      <c r="A1797" s="36"/>
      <c r="B1797" s="36"/>
      <c r="C1797" s="36"/>
      <c r="D1797" s="36"/>
      <c r="E1797" s="531"/>
      <c r="F1797" s="531"/>
      <c r="G1797" s="531"/>
    </row>
    <row r="1798" spans="1:7" x14ac:dyDescent="0.3">
      <c r="A1798" s="36"/>
      <c r="B1798" s="36"/>
      <c r="C1798" s="36"/>
      <c r="D1798" s="36"/>
      <c r="E1798" s="531"/>
      <c r="F1798" s="531"/>
      <c r="G1798" s="531"/>
    </row>
    <row r="1799" spans="1:7" x14ac:dyDescent="0.3">
      <c r="A1799" s="36"/>
      <c r="B1799" s="36"/>
      <c r="C1799" s="36"/>
      <c r="D1799" s="36"/>
      <c r="E1799" s="531"/>
      <c r="F1799" s="531"/>
      <c r="G1799" s="531"/>
    </row>
    <row r="1800" spans="1:7" x14ac:dyDescent="0.3">
      <c r="A1800" s="36"/>
      <c r="B1800" s="36"/>
      <c r="C1800" s="36"/>
      <c r="D1800" s="36"/>
      <c r="E1800" s="531"/>
      <c r="F1800" s="531"/>
      <c r="G1800" s="531"/>
    </row>
    <row r="1801" spans="1:7" x14ac:dyDescent="0.3">
      <c r="A1801" s="36"/>
      <c r="B1801" s="36"/>
      <c r="C1801" s="36"/>
      <c r="D1801" s="36"/>
      <c r="E1801" s="531"/>
      <c r="F1801" s="531"/>
      <c r="G1801" s="531"/>
    </row>
    <row r="1802" spans="1:7" x14ac:dyDescent="0.3">
      <c r="A1802" s="36"/>
      <c r="B1802" s="36"/>
      <c r="C1802" s="36"/>
      <c r="D1802" s="36"/>
      <c r="E1802" s="531"/>
      <c r="F1802" s="531"/>
      <c r="G1802" s="531"/>
    </row>
    <row r="1803" spans="1:7" x14ac:dyDescent="0.3">
      <c r="A1803" s="36"/>
      <c r="B1803" s="36"/>
      <c r="C1803" s="36"/>
      <c r="D1803" s="36"/>
      <c r="E1803" s="531"/>
      <c r="F1803" s="531"/>
      <c r="G1803" s="531"/>
    </row>
    <row r="1804" spans="1:7" x14ac:dyDescent="0.3">
      <c r="A1804" s="36"/>
      <c r="B1804" s="36"/>
      <c r="C1804" s="36"/>
      <c r="D1804" s="36"/>
      <c r="E1804" s="531"/>
      <c r="F1804" s="531"/>
      <c r="G1804" s="531"/>
    </row>
    <row r="1805" spans="1:7" x14ac:dyDescent="0.3">
      <c r="A1805" s="36"/>
      <c r="B1805" s="36"/>
      <c r="C1805" s="36"/>
      <c r="D1805" s="36"/>
      <c r="E1805" s="531"/>
      <c r="F1805" s="531"/>
      <c r="G1805" s="531"/>
    </row>
    <row r="1806" spans="1:7" x14ac:dyDescent="0.3">
      <c r="A1806" s="36"/>
      <c r="B1806" s="36"/>
      <c r="C1806" s="36"/>
      <c r="D1806" s="36"/>
      <c r="E1806" s="531"/>
      <c r="F1806" s="531"/>
      <c r="G1806" s="531"/>
    </row>
    <row r="1807" spans="1:7" x14ac:dyDescent="0.3">
      <c r="A1807" s="36"/>
      <c r="B1807" s="36"/>
      <c r="C1807" s="36"/>
      <c r="D1807" s="36"/>
      <c r="E1807" s="531"/>
      <c r="F1807" s="531"/>
      <c r="G1807" s="531"/>
    </row>
    <row r="1808" spans="1:7" x14ac:dyDescent="0.3">
      <c r="A1808" s="36"/>
      <c r="B1808" s="36"/>
      <c r="C1808" s="36"/>
      <c r="D1808" s="36"/>
      <c r="E1808" s="531"/>
      <c r="F1808" s="531"/>
      <c r="G1808" s="531"/>
    </row>
    <row r="1809" spans="1:7" x14ac:dyDescent="0.3">
      <c r="A1809" s="36"/>
      <c r="B1809" s="36"/>
      <c r="C1809" s="36"/>
      <c r="D1809" s="36"/>
      <c r="E1809" s="531"/>
      <c r="F1809" s="531"/>
      <c r="G1809" s="531"/>
    </row>
    <row r="1810" spans="1:7" x14ac:dyDescent="0.3">
      <c r="A1810" s="36"/>
      <c r="B1810" s="36"/>
      <c r="C1810" s="36"/>
      <c r="D1810" s="36"/>
      <c r="E1810" s="531"/>
      <c r="F1810" s="531"/>
      <c r="G1810" s="531"/>
    </row>
    <row r="1811" spans="1:7" x14ac:dyDescent="0.3">
      <c r="A1811" s="36"/>
      <c r="B1811" s="36"/>
      <c r="C1811" s="36"/>
      <c r="D1811" s="36"/>
      <c r="E1811" s="531"/>
      <c r="F1811" s="531"/>
      <c r="G1811" s="531"/>
    </row>
    <row r="1812" spans="1:7" x14ac:dyDescent="0.3">
      <c r="A1812" s="36"/>
      <c r="B1812" s="36"/>
      <c r="C1812" s="36"/>
      <c r="D1812" s="36"/>
      <c r="E1812" s="531"/>
      <c r="F1812" s="531"/>
      <c r="G1812" s="531"/>
    </row>
    <row r="1813" spans="1:7" x14ac:dyDescent="0.3">
      <c r="A1813" s="36"/>
      <c r="B1813" s="36"/>
      <c r="C1813" s="36"/>
      <c r="D1813" s="36"/>
      <c r="E1813" s="531"/>
      <c r="F1813" s="531"/>
      <c r="G1813" s="531"/>
    </row>
    <row r="1814" spans="1:7" x14ac:dyDescent="0.3">
      <c r="A1814" s="36"/>
      <c r="B1814" s="36"/>
      <c r="C1814" s="36"/>
      <c r="D1814" s="36"/>
      <c r="E1814" s="531"/>
      <c r="F1814" s="531"/>
      <c r="G1814" s="531"/>
    </row>
    <row r="1815" spans="1:7" x14ac:dyDescent="0.3">
      <c r="A1815" s="36"/>
      <c r="B1815" s="36"/>
      <c r="C1815" s="36"/>
      <c r="D1815" s="36"/>
      <c r="E1815" s="531"/>
      <c r="F1815" s="531"/>
      <c r="G1815" s="531"/>
    </row>
    <row r="1816" spans="1:7" x14ac:dyDescent="0.3">
      <c r="A1816" s="36"/>
      <c r="B1816" s="36"/>
      <c r="C1816" s="36"/>
      <c r="D1816" s="36"/>
      <c r="E1816" s="531"/>
      <c r="F1816" s="531"/>
      <c r="G1816" s="531"/>
    </row>
    <row r="1817" spans="1:7" x14ac:dyDescent="0.3">
      <c r="A1817" s="36"/>
      <c r="B1817" s="36"/>
      <c r="C1817" s="36"/>
      <c r="D1817" s="36"/>
      <c r="E1817" s="531"/>
      <c r="F1817" s="531"/>
      <c r="G1817" s="531"/>
    </row>
    <row r="1818" spans="1:7" x14ac:dyDescent="0.3">
      <c r="A1818" s="36"/>
      <c r="B1818" s="36"/>
      <c r="C1818" s="36"/>
      <c r="D1818" s="36"/>
      <c r="E1818" s="531"/>
      <c r="F1818" s="531"/>
      <c r="G1818" s="531"/>
    </row>
    <row r="1819" spans="1:7" x14ac:dyDescent="0.3">
      <c r="A1819" s="36"/>
      <c r="B1819" s="36"/>
      <c r="C1819" s="36"/>
      <c r="D1819" s="36"/>
      <c r="E1819" s="531"/>
      <c r="F1819" s="531"/>
      <c r="G1819" s="531"/>
    </row>
    <row r="1820" spans="1:7" x14ac:dyDescent="0.3">
      <c r="A1820" s="36"/>
      <c r="B1820" s="36"/>
      <c r="C1820" s="36"/>
      <c r="D1820" s="36"/>
      <c r="E1820" s="531"/>
      <c r="F1820" s="531"/>
      <c r="G1820" s="531"/>
    </row>
    <row r="1821" spans="1:7" x14ac:dyDescent="0.3">
      <c r="A1821" s="36"/>
      <c r="B1821" s="36"/>
      <c r="C1821" s="36"/>
      <c r="D1821" s="36"/>
      <c r="E1821" s="531"/>
      <c r="F1821" s="531"/>
      <c r="G1821" s="531"/>
    </row>
    <row r="1822" spans="1:7" x14ac:dyDescent="0.3">
      <c r="A1822" s="36"/>
      <c r="B1822" s="36"/>
      <c r="C1822" s="36"/>
      <c r="D1822" s="36"/>
      <c r="E1822" s="531"/>
      <c r="F1822" s="531"/>
      <c r="G1822" s="531"/>
    </row>
    <row r="1823" spans="1:7" x14ac:dyDescent="0.3">
      <c r="A1823" s="36"/>
      <c r="B1823" s="36"/>
      <c r="C1823" s="36"/>
      <c r="D1823" s="36"/>
      <c r="E1823" s="531"/>
      <c r="F1823" s="531"/>
      <c r="G1823" s="531"/>
    </row>
    <row r="1824" spans="1:7" x14ac:dyDescent="0.3">
      <c r="A1824" s="36"/>
      <c r="B1824" s="36"/>
      <c r="C1824" s="36"/>
      <c r="D1824" s="36"/>
      <c r="E1824" s="531"/>
      <c r="F1824" s="531"/>
      <c r="G1824" s="531"/>
    </row>
    <row r="1825" spans="1:7" x14ac:dyDescent="0.3">
      <c r="A1825" s="36"/>
      <c r="B1825" s="36"/>
      <c r="C1825" s="36"/>
      <c r="D1825" s="36"/>
      <c r="E1825" s="531"/>
      <c r="F1825" s="531"/>
      <c r="G1825" s="531"/>
    </row>
    <row r="1826" spans="1:7" x14ac:dyDescent="0.3">
      <c r="A1826" s="36"/>
      <c r="B1826" s="36"/>
      <c r="C1826" s="36"/>
      <c r="D1826" s="36"/>
      <c r="E1826" s="531"/>
      <c r="F1826" s="531"/>
      <c r="G1826" s="531"/>
    </row>
    <row r="1827" spans="1:7" x14ac:dyDescent="0.3">
      <c r="A1827" s="36"/>
      <c r="B1827" s="36"/>
      <c r="C1827" s="36"/>
      <c r="D1827" s="36"/>
      <c r="E1827" s="531"/>
      <c r="F1827" s="531"/>
      <c r="G1827" s="531"/>
    </row>
    <row r="1828" spans="1:7" x14ac:dyDescent="0.3">
      <c r="A1828" s="36"/>
      <c r="B1828" s="36"/>
      <c r="C1828" s="36"/>
      <c r="D1828" s="36"/>
      <c r="E1828" s="531"/>
      <c r="F1828" s="531"/>
      <c r="G1828" s="531"/>
    </row>
    <row r="1829" spans="1:7" x14ac:dyDescent="0.3">
      <c r="A1829" s="36"/>
      <c r="B1829" s="36"/>
      <c r="C1829" s="36"/>
      <c r="D1829" s="36"/>
      <c r="E1829" s="531"/>
      <c r="F1829" s="531"/>
      <c r="G1829" s="531"/>
    </row>
    <row r="1830" spans="1:7" x14ac:dyDescent="0.3">
      <c r="A1830" s="36"/>
      <c r="B1830" s="36"/>
      <c r="C1830" s="36"/>
      <c r="D1830" s="36"/>
      <c r="E1830" s="531"/>
      <c r="F1830" s="531"/>
      <c r="G1830" s="531"/>
    </row>
    <row r="1831" spans="1:7" x14ac:dyDescent="0.3">
      <c r="A1831" s="36"/>
      <c r="B1831" s="36"/>
      <c r="C1831" s="36"/>
      <c r="D1831" s="36"/>
      <c r="E1831" s="531"/>
      <c r="F1831" s="531"/>
      <c r="G1831" s="531"/>
    </row>
    <row r="1832" spans="1:7" x14ac:dyDescent="0.3">
      <c r="A1832" s="36"/>
      <c r="B1832" s="36"/>
      <c r="C1832" s="36"/>
      <c r="D1832" s="36"/>
      <c r="E1832" s="531"/>
      <c r="F1832" s="531"/>
      <c r="G1832" s="531"/>
    </row>
    <row r="1833" spans="1:7" x14ac:dyDescent="0.3">
      <c r="A1833" s="36"/>
      <c r="B1833" s="36"/>
      <c r="C1833" s="36"/>
      <c r="D1833" s="36"/>
      <c r="E1833" s="531"/>
      <c r="F1833" s="531"/>
      <c r="G1833" s="531"/>
    </row>
    <row r="1834" spans="1:7" x14ac:dyDescent="0.3">
      <c r="A1834" s="36"/>
      <c r="B1834" s="36"/>
      <c r="C1834" s="36"/>
      <c r="D1834" s="36"/>
      <c r="E1834" s="531"/>
      <c r="F1834" s="531"/>
      <c r="G1834" s="531"/>
    </row>
    <row r="1835" spans="1:7" x14ac:dyDescent="0.3">
      <c r="A1835" s="36"/>
      <c r="B1835" s="36"/>
      <c r="C1835" s="36"/>
      <c r="D1835" s="36"/>
      <c r="E1835" s="531"/>
      <c r="F1835" s="531"/>
      <c r="G1835" s="531"/>
    </row>
    <row r="1836" spans="1:7" x14ac:dyDescent="0.3">
      <c r="A1836" s="36"/>
      <c r="B1836" s="36"/>
      <c r="C1836" s="36"/>
      <c r="D1836" s="36"/>
      <c r="E1836" s="531"/>
      <c r="F1836" s="531"/>
      <c r="G1836" s="531"/>
    </row>
    <row r="1837" spans="1:7" x14ac:dyDescent="0.3">
      <c r="A1837" s="36"/>
      <c r="B1837" s="36"/>
      <c r="C1837" s="36"/>
      <c r="D1837" s="36"/>
      <c r="E1837" s="531"/>
      <c r="F1837" s="531"/>
      <c r="G1837" s="531"/>
    </row>
    <row r="1838" spans="1:7" x14ac:dyDescent="0.3">
      <c r="A1838" s="36"/>
      <c r="B1838" s="36"/>
      <c r="C1838" s="36"/>
      <c r="D1838" s="36"/>
      <c r="E1838" s="531"/>
      <c r="F1838" s="531"/>
      <c r="G1838" s="531"/>
    </row>
    <row r="1839" spans="1:7" x14ac:dyDescent="0.3">
      <c r="A1839" s="36"/>
      <c r="B1839" s="36"/>
      <c r="C1839" s="36"/>
      <c r="D1839" s="36"/>
      <c r="E1839" s="531"/>
      <c r="F1839" s="531"/>
      <c r="G1839" s="531"/>
    </row>
    <row r="1840" spans="1:7" x14ac:dyDescent="0.3">
      <c r="A1840" s="36"/>
      <c r="B1840" s="36"/>
      <c r="C1840" s="36"/>
      <c r="D1840" s="36"/>
      <c r="E1840" s="531"/>
      <c r="F1840" s="531"/>
      <c r="G1840" s="531"/>
    </row>
    <row r="1841" spans="1:7" x14ac:dyDescent="0.3">
      <c r="A1841" s="36"/>
      <c r="B1841" s="36"/>
      <c r="C1841" s="36"/>
      <c r="D1841" s="36"/>
      <c r="E1841" s="531"/>
      <c r="F1841" s="531"/>
      <c r="G1841" s="531"/>
    </row>
    <row r="1842" spans="1:7" x14ac:dyDescent="0.3">
      <c r="A1842" s="36"/>
      <c r="B1842" s="36"/>
      <c r="C1842" s="36"/>
      <c r="D1842" s="36"/>
      <c r="E1842" s="531"/>
      <c r="F1842" s="531"/>
      <c r="G1842" s="531"/>
    </row>
    <row r="1843" spans="1:7" x14ac:dyDescent="0.3">
      <c r="A1843" s="36"/>
      <c r="B1843" s="36"/>
      <c r="C1843" s="36"/>
      <c r="D1843" s="36"/>
      <c r="E1843" s="531"/>
      <c r="F1843" s="531"/>
      <c r="G1843" s="531"/>
    </row>
    <row r="1844" spans="1:7" x14ac:dyDescent="0.3">
      <c r="A1844" s="36"/>
      <c r="B1844" s="36"/>
      <c r="C1844" s="36"/>
      <c r="D1844" s="36"/>
      <c r="E1844" s="531"/>
      <c r="F1844" s="531"/>
      <c r="G1844" s="531"/>
    </row>
    <row r="1845" spans="1:7" x14ac:dyDescent="0.3">
      <c r="A1845" s="36"/>
      <c r="B1845" s="36"/>
      <c r="C1845" s="36"/>
      <c r="D1845" s="36"/>
      <c r="E1845" s="531"/>
      <c r="F1845" s="531"/>
      <c r="G1845" s="531"/>
    </row>
    <row r="1846" spans="1:7" x14ac:dyDescent="0.3">
      <c r="A1846" s="36"/>
      <c r="B1846" s="36"/>
      <c r="C1846" s="36"/>
      <c r="D1846" s="36"/>
      <c r="E1846" s="531"/>
      <c r="F1846" s="531"/>
      <c r="G1846" s="531"/>
    </row>
    <row r="1847" spans="1:7" x14ac:dyDescent="0.3">
      <c r="A1847" s="36"/>
      <c r="B1847" s="36"/>
      <c r="C1847" s="36"/>
      <c r="D1847" s="36"/>
      <c r="E1847" s="531"/>
      <c r="F1847" s="531"/>
      <c r="G1847" s="531"/>
    </row>
    <row r="1848" spans="1:7" x14ac:dyDescent="0.3">
      <c r="A1848" s="36"/>
      <c r="B1848" s="36"/>
      <c r="C1848" s="36"/>
      <c r="D1848" s="36"/>
      <c r="E1848" s="531"/>
      <c r="F1848" s="531"/>
      <c r="G1848" s="531"/>
    </row>
    <row r="1849" spans="1:7" x14ac:dyDescent="0.3">
      <c r="A1849" s="36"/>
      <c r="B1849" s="36"/>
      <c r="C1849" s="36"/>
      <c r="D1849" s="36"/>
      <c r="E1849" s="531"/>
      <c r="F1849" s="531"/>
      <c r="G1849" s="531"/>
    </row>
    <row r="1850" spans="1:7" x14ac:dyDescent="0.3">
      <c r="A1850" s="36"/>
      <c r="B1850" s="36"/>
      <c r="C1850" s="36"/>
      <c r="D1850" s="36"/>
      <c r="E1850" s="531"/>
      <c r="F1850" s="531"/>
      <c r="G1850" s="531"/>
    </row>
    <row r="1851" spans="1:7" x14ac:dyDescent="0.3">
      <c r="A1851" s="36"/>
      <c r="B1851" s="36"/>
      <c r="C1851" s="36"/>
      <c r="D1851" s="36"/>
      <c r="E1851" s="531"/>
      <c r="F1851" s="531"/>
      <c r="G1851" s="531"/>
    </row>
    <row r="1852" spans="1:7" x14ac:dyDescent="0.3">
      <c r="A1852" s="36"/>
      <c r="B1852" s="36"/>
      <c r="C1852" s="36"/>
      <c r="D1852" s="36"/>
      <c r="E1852" s="531"/>
      <c r="F1852" s="531"/>
      <c r="G1852" s="531"/>
    </row>
    <row r="1853" spans="1:7" x14ac:dyDescent="0.3">
      <c r="A1853" s="36"/>
      <c r="B1853" s="36"/>
      <c r="C1853" s="36"/>
      <c r="D1853" s="36"/>
      <c r="E1853" s="531"/>
      <c r="F1853" s="531"/>
      <c r="G1853" s="531"/>
    </row>
    <row r="1854" spans="1:7" x14ac:dyDescent="0.3">
      <c r="A1854" s="36"/>
      <c r="B1854" s="36"/>
      <c r="C1854" s="36"/>
      <c r="D1854" s="36"/>
      <c r="E1854" s="531"/>
      <c r="F1854" s="531"/>
      <c r="G1854" s="531"/>
    </row>
    <row r="1855" spans="1:7" x14ac:dyDescent="0.3">
      <c r="A1855" s="36"/>
      <c r="B1855" s="36"/>
      <c r="C1855" s="36"/>
      <c r="D1855" s="36"/>
      <c r="E1855" s="531"/>
      <c r="F1855" s="531"/>
      <c r="G1855" s="531"/>
    </row>
    <row r="1856" spans="1:7" x14ac:dyDescent="0.3">
      <c r="A1856" s="36"/>
      <c r="B1856" s="36"/>
      <c r="C1856" s="36"/>
      <c r="D1856" s="36"/>
      <c r="E1856" s="531"/>
      <c r="F1856" s="531"/>
      <c r="G1856" s="531"/>
    </row>
    <row r="1857" spans="1:7" x14ac:dyDescent="0.3">
      <c r="A1857" s="36"/>
      <c r="B1857" s="36"/>
      <c r="C1857" s="36"/>
      <c r="D1857" s="36"/>
      <c r="E1857" s="531"/>
      <c r="F1857" s="531"/>
      <c r="G1857" s="531"/>
    </row>
    <row r="1858" spans="1:7" x14ac:dyDescent="0.3">
      <c r="A1858" s="36"/>
      <c r="B1858" s="36"/>
      <c r="C1858" s="36"/>
      <c r="D1858" s="36"/>
      <c r="E1858" s="531"/>
      <c r="F1858" s="531"/>
      <c r="G1858" s="531"/>
    </row>
    <row r="1859" spans="1:7" x14ac:dyDescent="0.3">
      <c r="A1859" s="36"/>
      <c r="B1859" s="36"/>
      <c r="C1859" s="36"/>
      <c r="D1859" s="36"/>
      <c r="E1859" s="531"/>
      <c r="F1859" s="531"/>
      <c r="G1859" s="531"/>
    </row>
    <row r="1860" spans="1:7" x14ac:dyDescent="0.3">
      <c r="A1860" s="36"/>
      <c r="B1860" s="36"/>
      <c r="C1860" s="36"/>
      <c r="D1860" s="36"/>
      <c r="E1860" s="531"/>
      <c r="F1860" s="531"/>
      <c r="G1860" s="531"/>
    </row>
    <row r="1861" spans="1:7" x14ac:dyDescent="0.3">
      <c r="A1861" s="36"/>
      <c r="B1861" s="36"/>
      <c r="C1861" s="36"/>
      <c r="D1861" s="36"/>
      <c r="E1861" s="531"/>
      <c r="F1861" s="531"/>
      <c r="G1861" s="531"/>
    </row>
    <row r="1862" spans="1:7" x14ac:dyDescent="0.3">
      <c r="A1862" s="36"/>
      <c r="B1862" s="36"/>
      <c r="C1862" s="36"/>
      <c r="D1862" s="36"/>
      <c r="E1862" s="531"/>
      <c r="F1862" s="531"/>
      <c r="G1862" s="531"/>
    </row>
    <row r="1863" spans="1:7" x14ac:dyDescent="0.3">
      <c r="A1863" s="36"/>
      <c r="B1863" s="36"/>
      <c r="C1863" s="36"/>
      <c r="D1863" s="36"/>
      <c r="E1863" s="531"/>
      <c r="F1863" s="531"/>
      <c r="G1863" s="531"/>
    </row>
    <row r="1864" spans="1:7" x14ac:dyDescent="0.3">
      <c r="A1864" s="36"/>
      <c r="B1864" s="36"/>
      <c r="C1864" s="36"/>
      <c r="D1864" s="36"/>
      <c r="E1864" s="531"/>
      <c r="F1864" s="531"/>
      <c r="G1864" s="531"/>
    </row>
    <row r="1865" spans="1:7" x14ac:dyDescent="0.3">
      <c r="A1865" s="36"/>
      <c r="B1865" s="36"/>
      <c r="C1865" s="36"/>
      <c r="D1865" s="36"/>
      <c r="E1865" s="531"/>
      <c r="F1865" s="531"/>
      <c r="G1865" s="531"/>
    </row>
    <row r="1866" spans="1:7" x14ac:dyDescent="0.3">
      <c r="A1866" s="36"/>
      <c r="B1866" s="36"/>
      <c r="C1866" s="36"/>
      <c r="D1866" s="36"/>
      <c r="E1866" s="531"/>
      <c r="F1866" s="531"/>
      <c r="G1866" s="531"/>
    </row>
    <row r="1867" spans="1:7" x14ac:dyDescent="0.3">
      <c r="A1867" s="36"/>
      <c r="B1867" s="36"/>
      <c r="C1867" s="36"/>
      <c r="D1867" s="36"/>
      <c r="E1867" s="531"/>
      <c r="F1867" s="531"/>
      <c r="G1867" s="531"/>
    </row>
    <row r="1868" spans="1:7" x14ac:dyDescent="0.3">
      <c r="A1868" s="36"/>
      <c r="B1868" s="36"/>
      <c r="C1868" s="36"/>
      <c r="D1868" s="36"/>
      <c r="E1868" s="531"/>
      <c r="F1868" s="531"/>
      <c r="G1868" s="531"/>
    </row>
    <row r="1869" spans="1:7" x14ac:dyDescent="0.3">
      <c r="A1869" s="36"/>
      <c r="B1869" s="36"/>
      <c r="C1869" s="36"/>
      <c r="D1869" s="36"/>
      <c r="E1869" s="531"/>
      <c r="F1869" s="531"/>
      <c r="G1869" s="531"/>
    </row>
    <row r="1870" spans="1:7" x14ac:dyDescent="0.3">
      <c r="A1870" s="36"/>
      <c r="B1870" s="36"/>
      <c r="C1870" s="36"/>
      <c r="D1870" s="36"/>
      <c r="E1870" s="531"/>
      <c r="F1870" s="531"/>
      <c r="G1870" s="531"/>
    </row>
    <row r="1871" spans="1:7" x14ac:dyDescent="0.3">
      <c r="A1871" s="36"/>
      <c r="B1871" s="36"/>
      <c r="C1871" s="36"/>
      <c r="D1871" s="36"/>
      <c r="E1871" s="531"/>
      <c r="F1871" s="531"/>
      <c r="G1871" s="531"/>
    </row>
    <row r="1872" spans="1:7" x14ac:dyDescent="0.3">
      <c r="A1872" s="36"/>
      <c r="B1872" s="36"/>
      <c r="C1872" s="36"/>
      <c r="D1872" s="36"/>
      <c r="E1872" s="531"/>
      <c r="F1872" s="531"/>
      <c r="G1872" s="531"/>
    </row>
    <row r="1873" spans="1:7" x14ac:dyDescent="0.3">
      <c r="A1873" s="36"/>
      <c r="B1873" s="36"/>
      <c r="C1873" s="36"/>
      <c r="D1873" s="36"/>
      <c r="E1873" s="531"/>
      <c r="F1873" s="531"/>
      <c r="G1873" s="531"/>
    </row>
    <row r="1874" spans="1:7" x14ac:dyDescent="0.3">
      <c r="A1874" s="36"/>
      <c r="B1874" s="36"/>
      <c r="C1874" s="36"/>
      <c r="D1874" s="36"/>
      <c r="E1874" s="531"/>
      <c r="F1874" s="531"/>
      <c r="G1874" s="531"/>
    </row>
    <row r="1875" spans="1:7" x14ac:dyDescent="0.3">
      <c r="A1875" s="36"/>
      <c r="B1875" s="36"/>
      <c r="C1875" s="36"/>
      <c r="D1875" s="36"/>
      <c r="E1875" s="531"/>
      <c r="F1875" s="531"/>
      <c r="G1875" s="531"/>
    </row>
    <row r="1876" spans="1:7" x14ac:dyDescent="0.3">
      <c r="A1876" s="36"/>
      <c r="B1876" s="36"/>
      <c r="C1876" s="36"/>
      <c r="D1876" s="36"/>
      <c r="E1876" s="531"/>
      <c r="F1876" s="531"/>
      <c r="G1876" s="531"/>
    </row>
    <row r="1877" spans="1:7" x14ac:dyDescent="0.3">
      <c r="A1877" s="36"/>
      <c r="B1877" s="36"/>
      <c r="C1877" s="36"/>
      <c r="D1877" s="36"/>
      <c r="E1877" s="531"/>
      <c r="F1877" s="531"/>
      <c r="G1877" s="531"/>
    </row>
    <row r="1878" spans="1:7" x14ac:dyDescent="0.3">
      <c r="A1878" s="36"/>
      <c r="B1878" s="36"/>
      <c r="C1878" s="36"/>
      <c r="D1878" s="36"/>
      <c r="E1878" s="531"/>
      <c r="F1878" s="531"/>
      <c r="G1878" s="531"/>
    </row>
    <row r="1879" spans="1:7" x14ac:dyDescent="0.3">
      <c r="A1879" s="36"/>
      <c r="B1879" s="36"/>
      <c r="C1879" s="36"/>
      <c r="D1879" s="36"/>
      <c r="E1879" s="531"/>
      <c r="F1879" s="531"/>
      <c r="G1879" s="531"/>
    </row>
    <row r="1880" spans="1:7" x14ac:dyDescent="0.3">
      <c r="A1880" s="36"/>
      <c r="B1880" s="36"/>
      <c r="C1880" s="36"/>
      <c r="D1880" s="36"/>
      <c r="E1880" s="531"/>
      <c r="F1880" s="531"/>
      <c r="G1880" s="531"/>
    </row>
    <row r="1881" spans="1:7" x14ac:dyDescent="0.3">
      <c r="A1881" s="36"/>
      <c r="B1881" s="36"/>
      <c r="C1881" s="36"/>
      <c r="D1881" s="36"/>
      <c r="E1881" s="531"/>
      <c r="F1881" s="531"/>
      <c r="G1881" s="531"/>
    </row>
    <row r="1882" spans="1:7" x14ac:dyDescent="0.3">
      <c r="A1882" s="36"/>
      <c r="B1882" s="36"/>
      <c r="C1882" s="36"/>
      <c r="D1882" s="36"/>
      <c r="E1882" s="531"/>
      <c r="F1882" s="531"/>
      <c r="G1882" s="531"/>
    </row>
    <row r="1883" spans="1:7" x14ac:dyDescent="0.3">
      <c r="A1883" s="36"/>
      <c r="B1883" s="36"/>
      <c r="C1883" s="36"/>
      <c r="D1883" s="36"/>
      <c r="E1883" s="531"/>
      <c r="F1883" s="531"/>
      <c r="G1883" s="531"/>
    </row>
    <row r="1884" spans="1:7" x14ac:dyDescent="0.3">
      <c r="A1884" s="36"/>
      <c r="B1884" s="36"/>
      <c r="C1884" s="36"/>
      <c r="D1884" s="36"/>
      <c r="E1884" s="531"/>
      <c r="F1884" s="531"/>
      <c r="G1884" s="531"/>
    </row>
    <row r="1885" spans="1:7" x14ac:dyDescent="0.3">
      <c r="A1885" s="36"/>
      <c r="B1885" s="36"/>
      <c r="C1885" s="36"/>
      <c r="D1885" s="36"/>
      <c r="E1885" s="531"/>
      <c r="F1885" s="531"/>
      <c r="G1885" s="531"/>
    </row>
    <row r="1886" spans="1:7" x14ac:dyDescent="0.3">
      <c r="A1886" s="36"/>
      <c r="B1886" s="36"/>
      <c r="C1886" s="36"/>
      <c r="D1886" s="36"/>
      <c r="E1886" s="531"/>
      <c r="F1886" s="531"/>
      <c r="G1886" s="531"/>
    </row>
    <row r="1887" spans="1:7" x14ac:dyDescent="0.3">
      <c r="A1887" s="36"/>
      <c r="B1887" s="36"/>
      <c r="C1887" s="36"/>
      <c r="D1887" s="36"/>
      <c r="E1887" s="531"/>
      <c r="F1887" s="531"/>
      <c r="G1887" s="531"/>
    </row>
    <row r="1888" spans="1:7" x14ac:dyDescent="0.3">
      <c r="A1888" s="36"/>
      <c r="B1888" s="36"/>
      <c r="C1888" s="36"/>
      <c r="D1888" s="36"/>
      <c r="E1888" s="531"/>
      <c r="F1888" s="531"/>
      <c r="G1888" s="531"/>
    </row>
    <row r="1889" spans="1:7" x14ac:dyDescent="0.3">
      <c r="A1889" s="36"/>
      <c r="B1889" s="36"/>
      <c r="C1889" s="36"/>
      <c r="D1889" s="36"/>
      <c r="E1889" s="531"/>
      <c r="F1889" s="531"/>
      <c r="G1889" s="531"/>
    </row>
    <row r="1890" spans="1:7" x14ac:dyDescent="0.3">
      <c r="A1890" s="36"/>
      <c r="B1890" s="36"/>
      <c r="C1890" s="36"/>
      <c r="D1890" s="36"/>
      <c r="E1890" s="531"/>
      <c r="F1890" s="531"/>
      <c r="G1890" s="531"/>
    </row>
    <row r="1891" spans="1:7" x14ac:dyDescent="0.3">
      <c r="A1891" s="36"/>
      <c r="B1891" s="36"/>
      <c r="C1891" s="36"/>
      <c r="D1891" s="36"/>
      <c r="E1891" s="531"/>
      <c r="F1891" s="531"/>
      <c r="G1891" s="531"/>
    </row>
    <row r="1892" spans="1:7" x14ac:dyDescent="0.3">
      <c r="A1892" s="36"/>
      <c r="B1892" s="36"/>
      <c r="C1892" s="36"/>
      <c r="D1892" s="36"/>
      <c r="E1892" s="531"/>
      <c r="F1892" s="531"/>
      <c r="G1892" s="531"/>
    </row>
    <row r="1893" spans="1:7" x14ac:dyDescent="0.3">
      <c r="A1893" s="36"/>
      <c r="B1893" s="36"/>
      <c r="C1893" s="36"/>
      <c r="D1893" s="36"/>
      <c r="E1893" s="531"/>
      <c r="F1893" s="531"/>
      <c r="G1893" s="531"/>
    </row>
    <row r="1894" spans="1:7" x14ac:dyDescent="0.3">
      <c r="A1894" s="36"/>
      <c r="B1894" s="36"/>
      <c r="C1894" s="36"/>
      <c r="D1894" s="36"/>
      <c r="E1894" s="531"/>
      <c r="F1894" s="531"/>
      <c r="G1894" s="531"/>
    </row>
    <row r="1895" spans="1:7" x14ac:dyDescent="0.3">
      <c r="A1895" s="36"/>
      <c r="B1895" s="36"/>
      <c r="C1895" s="36"/>
      <c r="D1895" s="36"/>
      <c r="E1895" s="531"/>
      <c r="F1895" s="531"/>
      <c r="G1895" s="531"/>
    </row>
    <row r="1896" spans="1:7" x14ac:dyDescent="0.3">
      <c r="A1896" s="36"/>
      <c r="B1896" s="36"/>
      <c r="C1896" s="36"/>
      <c r="D1896" s="36"/>
      <c r="E1896" s="531"/>
      <c r="F1896" s="531"/>
      <c r="G1896" s="531"/>
    </row>
    <row r="1897" spans="1:7" x14ac:dyDescent="0.3">
      <c r="A1897" s="36"/>
      <c r="B1897" s="36"/>
      <c r="C1897" s="36"/>
      <c r="D1897" s="36"/>
      <c r="E1897" s="531"/>
      <c r="F1897" s="531"/>
      <c r="G1897" s="531"/>
    </row>
    <row r="1898" spans="1:7" x14ac:dyDescent="0.3">
      <c r="A1898" s="36"/>
      <c r="B1898" s="36"/>
      <c r="C1898" s="36"/>
      <c r="D1898" s="36"/>
      <c r="E1898" s="531"/>
      <c r="F1898" s="531"/>
      <c r="G1898" s="531"/>
    </row>
    <row r="1899" spans="1:7" x14ac:dyDescent="0.3">
      <c r="A1899" s="36"/>
      <c r="B1899" s="36"/>
      <c r="C1899" s="36"/>
      <c r="D1899" s="36"/>
      <c r="E1899" s="531"/>
      <c r="F1899" s="531"/>
      <c r="G1899" s="531"/>
    </row>
    <row r="1900" spans="1:7" x14ac:dyDescent="0.3">
      <c r="A1900" s="36"/>
      <c r="B1900" s="36"/>
      <c r="C1900" s="36"/>
      <c r="D1900" s="36"/>
      <c r="E1900" s="531"/>
      <c r="F1900" s="531"/>
      <c r="G1900" s="531"/>
    </row>
    <row r="1901" spans="1:7" x14ac:dyDescent="0.3">
      <c r="A1901" s="36"/>
      <c r="B1901" s="36"/>
      <c r="C1901" s="36"/>
      <c r="D1901" s="36"/>
      <c r="E1901" s="531"/>
      <c r="F1901" s="531"/>
      <c r="G1901" s="531"/>
    </row>
    <row r="1902" spans="1:7" x14ac:dyDescent="0.3">
      <c r="A1902" s="36"/>
      <c r="B1902" s="36"/>
      <c r="C1902" s="36"/>
      <c r="D1902" s="36"/>
      <c r="E1902" s="531"/>
      <c r="F1902" s="531"/>
      <c r="G1902" s="531"/>
    </row>
    <row r="1903" spans="1:7" x14ac:dyDescent="0.3">
      <c r="A1903" s="36"/>
      <c r="B1903" s="36"/>
      <c r="C1903" s="36"/>
      <c r="D1903" s="36"/>
      <c r="E1903" s="531"/>
      <c r="F1903" s="531"/>
      <c r="G1903" s="531"/>
    </row>
    <row r="1904" spans="1:7" x14ac:dyDescent="0.3">
      <c r="A1904" s="36"/>
      <c r="B1904" s="36"/>
      <c r="C1904" s="36"/>
      <c r="D1904" s="36"/>
      <c r="E1904" s="531"/>
      <c r="F1904" s="531"/>
      <c r="G1904" s="531"/>
    </row>
    <row r="1905" spans="1:7" x14ac:dyDescent="0.3">
      <c r="A1905" s="36"/>
      <c r="B1905" s="36"/>
      <c r="C1905" s="36"/>
      <c r="D1905" s="36"/>
      <c r="E1905" s="531"/>
      <c r="F1905" s="531"/>
      <c r="G1905" s="531"/>
    </row>
    <row r="1906" spans="1:7" x14ac:dyDescent="0.3">
      <c r="A1906" s="36"/>
      <c r="B1906" s="36"/>
      <c r="C1906" s="36"/>
      <c r="D1906" s="36"/>
      <c r="E1906" s="531"/>
      <c r="F1906" s="531"/>
      <c r="G1906" s="531"/>
    </row>
    <row r="1907" spans="1:7" x14ac:dyDescent="0.3">
      <c r="A1907" s="36"/>
      <c r="B1907" s="36"/>
      <c r="C1907" s="36"/>
      <c r="D1907" s="36"/>
      <c r="E1907" s="531"/>
      <c r="F1907" s="531"/>
      <c r="G1907" s="531"/>
    </row>
    <row r="1908" spans="1:7" x14ac:dyDescent="0.3">
      <c r="A1908" s="36"/>
      <c r="B1908" s="36"/>
      <c r="C1908" s="36"/>
      <c r="D1908" s="36"/>
      <c r="E1908" s="531"/>
      <c r="F1908" s="531"/>
      <c r="G1908" s="531"/>
    </row>
    <row r="1909" spans="1:7" x14ac:dyDescent="0.3">
      <c r="A1909" s="36"/>
      <c r="B1909" s="36"/>
      <c r="C1909" s="36"/>
      <c r="D1909" s="36"/>
      <c r="E1909" s="531"/>
      <c r="F1909" s="531"/>
      <c r="G1909" s="531"/>
    </row>
    <row r="1910" spans="1:7" x14ac:dyDescent="0.3">
      <c r="A1910" s="36"/>
      <c r="B1910" s="36"/>
      <c r="C1910" s="36"/>
      <c r="D1910" s="36"/>
      <c r="E1910" s="531"/>
      <c r="F1910" s="531"/>
      <c r="G1910" s="531"/>
    </row>
    <row r="1911" spans="1:7" x14ac:dyDescent="0.3">
      <c r="A1911" s="36"/>
      <c r="B1911" s="36"/>
      <c r="C1911" s="36"/>
      <c r="D1911" s="36"/>
      <c r="E1911" s="531"/>
      <c r="F1911" s="531"/>
      <c r="G1911" s="531"/>
    </row>
    <row r="1912" spans="1:7" x14ac:dyDescent="0.3">
      <c r="A1912" s="36"/>
      <c r="B1912" s="36"/>
      <c r="C1912" s="36"/>
      <c r="D1912" s="36"/>
      <c r="E1912" s="531"/>
      <c r="F1912" s="531"/>
      <c r="G1912" s="531"/>
    </row>
    <row r="1913" spans="1:7" x14ac:dyDescent="0.3">
      <c r="A1913" s="36"/>
      <c r="B1913" s="36"/>
      <c r="C1913" s="36"/>
      <c r="D1913" s="36"/>
      <c r="E1913" s="531"/>
      <c r="F1913" s="531"/>
      <c r="G1913" s="531"/>
    </row>
    <row r="1914" spans="1:7" x14ac:dyDescent="0.3">
      <c r="A1914" s="36"/>
      <c r="B1914" s="36"/>
      <c r="C1914" s="36"/>
      <c r="D1914" s="36"/>
      <c r="E1914" s="531"/>
      <c r="F1914" s="531"/>
      <c r="G1914" s="531"/>
    </row>
    <row r="1915" spans="1:7" x14ac:dyDescent="0.3">
      <c r="A1915" s="36"/>
      <c r="B1915" s="36"/>
      <c r="C1915" s="36"/>
      <c r="D1915" s="36"/>
      <c r="E1915" s="531"/>
      <c r="F1915" s="531"/>
      <c r="G1915" s="531"/>
    </row>
    <row r="1916" spans="1:7" x14ac:dyDescent="0.3">
      <c r="A1916" s="36"/>
      <c r="B1916" s="36"/>
      <c r="C1916" s="36"/>
      <c r="D1916" s="36"/>
      <c r="E1916" s="531"/>
      <c r="F1916" s="531"/>
      <c r="G1916" s="531"/>
    </row>
    <row r="1917" spans="1:7" x14ac:dyDescent="0.3">
      <c r="A1917" s="36"/>
      <c r="B1917" s="36"/>
      <c r="C1917" s="36"/>
      <c r="D1917" s="36"/>
      <c r="E1917" s="531"/>
      <c r="F1917" s="531"/>
      <c r="G1917" s="531"/>
    </row>
    <row r="1918" spans="1:7" x14ac:dyDescent="0.3">
      <c r="A1918" s="36"/>
      <c r="B1918" s="36"/>
      <c r="C1918" s="36"/>
      <c r="D1918" s="36"/>
      <c r="E1918" s="531"/>
      <c r="F1918" s="531"/>
      <c r="G1918" s="531"/>
    </row>
    <row r="1919" spans="1:7" x14ac:dyDescent="0.3">
      <c r="A1919" s="36"/>
      <c r="B1919" s="36"/>
      <c r="C1919" s="36"/>
      <c r="D1919" s="36"/>
      <c r="E1919" s="531"/>
      <c r="F1919" s="531"/>
      <c r="G1919" s="531"/>
    </row>
    <row r="1920" spans="1:7" x14ac:dyDescent="0.3">
      <c r="A1920" s="36"/>
      <c r="B1920" s="36"/>
      <c r="C1920" s="36"/>
      <c r="D1920" s="36"/>
      <c r="E1920" s="531"/>
      <c r="F1920" s="531"/>
      <c r="G1920" s="531"/>
    </row>
    <row r="1921" spans="1:7" x14ac:dyDescent="0.3">
      <c r="A1921" s="36"/>
      <c r="B1921" s="36"/>
      <c r="C1921" s="36"/>
      <c r="D1921" s="36"/>
      <c r="E1921" s="531"/>
      <c r="F1921" s="531"/>
      <c r="G1921" s="531"/>
    </row>
    <row r="1922" spans="1:7" x14ac:dyDescent="0.3">
      <c r="A1922" s="36"/>
      <c r="B1922" s="36"/>
      <c r="C1922" s="36"/>
      <c r="D1922" s="36"/>
      <c r="E1922" s="531"/>
      <c r="F1922" s="531"/>
      <c r="G1922" s="531"/>
    </row>
    <row r="1923" spans="1:7" x14ac:dyDescent="0.3">
      <c r="A1923" s="36"/>
      <c r="B1923" s="36"/>
      <c r="C1923" s="36"/>
      <c r="D1923" s="36"/>
      <c r="E1923" s="531"/>
      <c r="F1923" s="531"/>
      <c r="G1923" s="531"/>
    </row>
    <row r="1924" spans="1:7" x14ac:dyDescent="0.3">
      <c r="A1924" s="36"/>
      <c r="B1924" s="36"/>
      <c r="C1924" s="36"/>
      <c r="D1924" s="36"/>
      <c r="E1924" s="531"/>
      <c r="F1924" s="531"/>
      <c r="G1924" s="531"/>
    </row>
    <row r="1925" spans="1:7" x14ac:dyDescent="0.3">
      <c r="A1925" s="36"/>
      <c r="B1925" s="36"/>
      <c r="C1925" s="36"/>
      <c r="D1925" s="36"/>
      <c r="E1925" s="531"/>
      <c r="F1925" s="531"/>
      <c r="G1925" s="531"/>
    </row>
    <row r="1926" spans="1:7" x14ac:dyDescent="0.3">
      <c r="A1926" s="36"/>
      <c r="B1926" s="36"/>
      <c r="C1926" s="36"/>
      <c r="D1926" s="36"/>
      <c r="E1926" s="531"/>
      <c r="F1926" s="531"/>
      <c r="G1926" s="531"/>
    </row>
    <row r="1927" spans="1:7" x14ac:dyDescent="0.3">
      <c r="A1927" s="36"/>
      <c r="B1927" s="36"/>
      <c r="C1927" s="36"/>
      <c r="D1927" s="36"/>
      <c r="E1927" s="531"/>
      <c r="F1927" s="531"/>
      <c r="G1927" s="531"/>
    </row>
    <row r="1928" spans="1:7" x14ac:dyDescent="0.3">
      <c r="A1928" s="36"/>
      <c r="B1928" s="36"/>
      <c r="C1928" s="36"/>
      <c r="D1928" s="36"/>
      <c r="E1928" s="531"/>
      <c r="F1928" s="531"/>
      <c r="G1928" s="531"/>
    </row>
    <row r="1929" spans="1:7" x14ac:dyDescent="0.3">
      <c r="A1929" s="36"/>
      <c r="B1929" s="36"/>
      <c r="C1929" s="36"/>
      <c r="D1929" s="36"/>
      <c r="E1929" s="531"/>
      <c r="F1929" s="531"/>
      <c r="G1929" s="531"/>
    </row>
    <row r="1930" spans="1:7" x14ac:dyDescent="0.3">
      <c r="A1930" s="36"/>
      <c r="B1930" s="36"/>
      <c r="C1930" s="36"/>
      <c r="D1930" s="36"/>
      <c r="E1930" s="531"/>
      <c r="F1930" s="531"/>
      <c r="G1930" s="531"/>
    </row>
    <row r="1931" spans="1:7" x14ac:dyDescent="0.3">
      <c r="A1931" s="36"/>
      <c r="B1931" s="36"/>
      <c r="C1931" s="36"/>
      <c r="D1931" s="36"/>
      <c r="E1931" s="531"/>
      <c r="F1931" s="531"/>
      <c r="G1931" s="531"/>
    </row>
    <row r="1932" spans="1:7" x14ac:dyDescent="0.3">
      <c r="A1932" s="36"/>
      <c r="B1932" s="36"/>
      <c r="C1932" s="36"/>
      <c r="D1932" s="36"/>
      <c r="E1932" s="531"/>
      <c r="F1932" s="531"/>
      <c r="G1932" s="531"/>
    </row>
    <row r="1933" spans="1:7" x14ac:dyDescent="0.3">
      <c r="A1933" s="36"/>
      <c r="B1933" s="36"/>
      <c r="C1933" s="36"/>
      <c r="D1933" s="36"/>
      <c r="E1933" s="531"/>
      <c r="F1933" s="531"/>
      <c r="G1933" s="531"/>
    </row>
    <row r="1934" spans="1:7" x14ac:dyDescent="0.3">
      <c r="A1934" s="36"/>
      <c r="B1934" s="36"/>
      <c r="C1934" s="36"/>
      <c r="D1934" s="36"/>
      <c r="E1934" s="531"/>
      <c r="F1934" s="531"/>
      <c r="G1934" s="531"/>
    </row>
    <row r="1935" spans="1:7" x14ac:dyDescent="0.3">
      <c r="A1935" s="36"/>
      <c r="B1935" s="36"/>
      <c r="C1935" s="36"/>
      <c r="D1935" s="36"/>
      <c r="E1935" s="531"/>
      <c r="F1935" s="531"/>
      <c r="G1935" s="531"/>
    </row>
    <row r="1936" spans="1:7" x14ac:dyDescent="0.3">
      <c r="A1936" s="36"/>
      <c r="B1936" s="36"/>
      <c r="C1936" s="36"/>
      <c r="D1936" s="36"/>
      <c r="E1936" s="531"/>
      <c r="F1936" s="531"/>
      <c r="G1936" s="531"/>
    </row>
    <row r="1937" spans="1:7" x14ac:dyDescent="0.3">
      <c r="A1937" s="36"/>
      <c r="B1937" s="36"/>
      <c r="C1937" s="36"/>
      <c r="D1937" s="36"/>
      <c r="E1937" s="531"/>
      <c r="F1937" s="531"/>
      <c r="G1937" s="531"/>
    </row>
    <row r="1938" spans="1:7" x14ac:dyDescent="0.3">
      <c r="A1938" s="36"/>
      <c r="B1938" s="36"/>
      <c r="C1938" s="36"/>
      <c r="D1938" s="36"/>
      <c r="E1938" s="531"/>
      <c r="F1938" s="531"/>
      <c r="G1938" s="531"/>
    </row>
    <row r="1939" spans="1:7" x14ac:dyDescent="0.3">
      <c r="A1939" s="36"/>
      <c r="B1939" s="36"/>
      <c r="C1939" s="36"/>
      <c r="D1939" s="36"/>
      <c r="E1939" s="531"/>
      <c r="F1939" s="531"/>
      <c r="G1939" s="531"/>
    </row>
    <row r="1940" spans="1:7" x14ac:dyDescent="0.3">
      <c r="A1940" s="36"/>
      <c r="B1940" s="36"/>
      <c r="C1940" s="36"/>
      <c r="D1940" s="36"/>
      <c r="E1940" s="531"/>
      <c r="F1940" s="531"/>
      <c r="G1940" s="531"/>
    </row>
    <row r="1941" spans="1:7" x14ac:dyDescent="0.3">
      <c r="A1941" s="36"/>
      <c r="B1941" s="36"/>
      <c r="C1941" s="36"/>
      <c r="D1941" s="36"/>
      <c r="E1941" s="531"/>
      <c r="F1941" s="531"/>
      <c r="G1941" s="531"/>
    </row>
    <row r="1942" spans="1:7" x14ac:dyDescent="0.3">
      <c r="A1942" s="36"/>
      <c r="B1942" s="36"/>
      <c r="C1942" s="36"/>
      <c r="D1942" s="36"/>
      <c r="E1942" s="531"/>
      <c r="F1942" s="531"/>
      <c r="G1942" s="531"/>
    </row>
    <row r="1943" spans="1:7" x14ac:dyDescent="0.3">
      <c r="A1943" s="36"/>
      <c r="B1943" s="36"/>
      <c r="C1943" s="36"/>
      <c r="D1943" s="36"/>
      <c r="E1943" s="531"/>
      <c r="F1943" s="531"/>
      <c r="G1943" s="531"/>
    </row>
    <row r="1944" spans="1:7" x14ac:dyDescent="0.3">
      <c r="A1944" s="36"/>
      <c r="B1944" s="36"/>
      <c r="C1944" s="36"/>
      <c r="D1944" s="36"/>
      <c r="E1944" s="531"/>
      <c r="F1944" s="531"/>
      <c r="G1944" s="531"/>
    </row>
    <row r="1945" spans="1:7" x14ac:dyDescent="0.3">
      <c r="A1945" s="36"/>
      <c r="B1945" s="36"/>
      <c r="C1945" s="36"/>
      <c r="D1945" s="36"/>
      <c r="E1945" s="531"/>
      <c r="F1945" s="531"/>
      <c r="G1945" s="531"/>
    </row>
    <row r="1946" spans="1:7" x14ac:dyDescent="0.3">
      <c r="A1946" s="36"/>
      <c r="B1946" s="36"/>
      <c r="C1946" s="36"/>
      <c r="D1946" s="36"/>
      <c r="E1946" s="531"/>
      <c r="F1946" s="531"/>
      <c r="G1946" s="531"/>
    </row>
    <row r="1947" spans="1:7" x14ac:dyDescent="0.3">
      <c r="A1947" s="36"/>
      <c r="B1947" s="36"/>
      <c r="C1947" s="36"/>
      <c r="D1947" s="36"/>
      <c r="E1947" s="531"/>
      <c r="F1947" s="531"/>
      <c r="G1947" s="531"/>
    </row>
    <row r="1948" spans="1:7" x14ac:dyDescent="0.3">
      <c r="A1948" s="36"/>
      <c r="B1948" s="36"/>
      <c r="C1948" s="36"/>
      <c r="D1948" s="36"/>
      <c r="E1948" s="531"/>
      <c r="F1948" s="531"/>
      <c r="G1948" s="531"/>
    </row>
    <row r="1949" spans="1:7" x14ac:dyDescent="0.3">
      <c r="A1949" s="36"/>
      <c r="B1949" s="36"/>
      <c r="C1949" s="36"/>
      <c r="D1949" s="36"/>
      <c r="E1949" s="531"/>
      <c r="F1949" s="531"/>
      <c r="G1949" s="531"/>
    </row>
    <row r="1950" spans="1:7" x14ac:dyDescent="0.3">
      <c r="A1950" s="36"/>
      <c r="B1950" s="36"/>
      <c r="C1950" s="36"/>
      <c r="D1950" s="36"/>
      <c r="E1950" s="531"/>
      <c r="F1950" s="531"/>
      <c r="G1950" s="531"/>
    </row>
    <row r="1951" spans="1:7" x14ac:dyDescent="0.3">
      <c r="A1951" s="36"/>
      <c r="B1951" s="36"/>
      <c r="C1951" s="36"/>
      <c r="D1951" s="36"/>
      <c r="E1951" s="531"/>
      <c r="F1951" s="531"/>
      <c r="G1951" s="531"/>
    </row>
    <row r="1952" spans="1:7" x14ac:dyDescent="0.3">
      <c r="A1952" s="36"/>
      <c r="B1952" s="36"/>
      <c r="C1952" s="36"/>
      <c r="D1952" s="36"/>
      <c r="E1952" s="531"/>
      <c r="F1952" s="531"/>
      <c r="G1952" s="531"/>
    </row>
    <row r="1953" spans="1:7" x14ac:dyDescent="0.3">
      <c r="A1953" s="36"/>
      <c r="B1953" s="36"/>
      <c r="C1953" s="36"/>
      <c r="D1953" s="36"/>
      <c r="E1953" s="531"/>
      <c r="F1953" s="531"/>
      <c r="G1953" s="531"/>
    </row>
    <row r="1954" spans="1:7" x14ac:dyDescent="0.3">
      <c r="A1954" s="36"/>
      <c r="B1954" s="36"/>
      <c r="C1954" s="36"/>
      <c r="D1954" s="36"/>
      <c r="E1954" s="531"/>
      <c r="F1954" s="531"/>
      <c r="G1954" s="531"/>
    </row>
    <row r="1955" spans="1:7" x14ac:dyDescent="0.3">
      <c r="A1955" s="36"/>
      <c r="B1955" s="36"/>
      <c r="C1955" s="36"/>
      <c r="D1955" s="36"/>
      <c r="E1955" s="531"/>
      <c r="F1955" s="531"/>
      <c r="G1955" s="531"/>
    </row>
    <row r="1956" spans="1:7" x14ac:dyDescent="0.3">
      <c r="A1956" s="36"/>
      <c r="B1956" s="36"/>
      <c r="C1956" s="36"/>
      <c r="D1956" s="36"/>
      <c r="E1956" s="531"/>
      <c r="F1956" s="531"/>
      <c r="G1956" s="531"/>
    </row>
    <row r="1957" spans="1:7" x14ac:dyDescent="0.3">
      <c r="A1957" s="36"/>
      <c r="B1957" s="36"/>
      <c r="C1957" s="36"/>
      <c r="D1957" s="36"/>
      <c r="E1957" s="531"/>
      <c r="F1957" s="531"/>
      <c r="G1957" s="531"/>
    </row>
    <row r="1958" spans="1:7" x14ac:dyDescent="0.3">
      <c r="A1958" s="36"/>
      <c r="B1958" s="36"/>
      <c r="C1958" s="36"/>
      <c r="D1958" s="36"/>
      <c r="E1958" s="531"/>
      <c r="F1958" s="531"/>
      <c r="G1958" s="531"/>
    </row>
    <row r="1959" spans="1:7" x14ac:dyDescent="0.3">
      <c r="A1959" s="36"/>
      <c r="B1959" s="36"/>
      <c r="C1959" s="36"/>
      <c r="D1959" s="36"/>
      <c r="E1959" s="531"/>
      <c r="F1959" s="531"/>
      <c r="G1959" s="531"/>
    </row>
    <row r="1960" spans="1:7" x14ac:dyDescent="0.3">
      <c r="A1960" s="36"/>
      <c r="B1960" s="36"/>
      <c r="C1960" s="36"/>
      <c r="D1960" s="36"/>
      <c r="E1960" s="531"/>
      <c r="F1960" s="531"/>
      <c r="G1960" s="531"/>
    </row>
    <row r="1961" spans="1:7" x14ac:dyDescent="0.3">
      <c r="A1961" s="36"/>
      <c r="B1961" s="36"/>
      <c r="C1961" s="36"/>
      <c r="D1961" s="36"/>
      <c r="E1961" s="531"/>
      <c r="F1961" s="531"/>
      <c r="G1961" s="531"/>
    </row>
    <row r="1962" spans="1:7" x14ac:dyDescent="0.3">
      <c r="A1962" s="36"/>
      <c r="B1962" s="36"/>
      <c r="C1962" s="36"/>
      <c r="D1962" s="36"/>
      <c r="E1962" s="531"/>
      <c r="F1962" s="531"/>
      <c r="G1962" s="531"/>
    </row>
    <row r="1963" spans="1:7" x14ac:dyDescent="0.3">
      <c r="A1963" s="36"/>
      <c r="B1963" s="36"/>
      <c r="C1963" s="36"/>
      <c r="D1963" s="36"/>
      <c r="E1963" s="531"/>
      <c r="F1963" s="531"/>
      <c r="G1963" s="531"/>
    </row>
    <row r="1964" spans="1:7" x14ac:dyDescent="0.3">
      <c r="A1964" s="36"/>
      <c r="B1964" s="36"/>
      <c r="C1964" s="36"/>
      <c r="D1964" s="36"/>
      <c r="E1964" s="531"/>
      <c r="F1964" s="531"/>
      <c r="G1964" s="531"/>
    </row>
    <row r="1965" spans="1:7" x14ac:dyDescent="0.3">
      <c r="A1965" s="36"/>
      <c r="B1965" s="36"/>
      <c r="C1965" s="36"/>
      <c r="D1965" s="36"/>
      <c r="E1965" s="531"/>
      <c r="F1965" s="531"/>
      <c r="G1965" s="531"/>
    </row>
    <row r="1966" spans="1:7" x14ac:dyDescent="0.3">
      <c r="A1966" s="36"/>
      <c r="B1966" s="36"/>
      <c r="C1966" s="36"/>
      <c r="D1966" s="36"/>
      <c r="E1966" s="531"/>
      <c r="F1966" s="531"/>
      <c r="G1966" s="531"/>
    </row>
    <row r="1967" spans="1:7" x14ac:dyDescent="0.3">
      <c r="A1967" s="36"/>
      <c r="B1967" s="36"/>
      <c r="C1967" s="36"/>
      <c r="D1967" s="36"/>
      <c r="E1967" s="531"/>
      <c r="F1967" s="531"/>
      <c r="G1967" s="531"/>
    </row>
    <row r="1968" spans="1:7" x14ac:dyDescent="0.3">
      <c r="A1968" s="36"/>
      <c r="B1968" s="36"/>
      <c r="C1968" s="36"/>
      <c r="D1968" s="36"/>
      <c r="E1968" s="531"/>
      <c r="F1968" s="531"/>
      <c r="G1968" s="531"/>
    </row>
    <row r="1969" spans="1:7" x14ac:dyDescent="0.3">
      <c r="A1969" s="36"/>
      <c r="B1969" s="36"/>
      <c r="C1969" s="36"/>
      <c r="D1969" s="36"/>
      <c r="E1969" s="531"/>
      <c r="F1969" s="531"/>
      <c r="G1969" s="531"/>
    </row>
    <row r="1970" spans="1:7" x14ac:dyDescent="0.3">
      <c r="A1970" s="36"/>
      <c r="B1970" s="36"/>
      <c r="C1970" s="36"/>
      <c r="D1970" s="36"/>
      <c r="E1970" s="531"/>
      <c r="F1970" s="531"/>
      <c r="G1970" s="531"/>
    </row>
    <row r="1971" spans="1:7" x14ac:dyDescent="0.3">
      <c r="A1971" s="36"/>
      <c r="B1971" s="36"/>
      <c r="C1971" s="36"/>
      <c r="D1971" s="36"/>
      <c r="E1971" s="531"/>
      <c r="F1971" s="531"/>
      <c r="G1971" s="531"/>
    </row>
    <row r="1972" spans="1:7" x14ac:dyDescent="0.3">
      <c r="A1972" s="36"/>
      <c r="B1972" s="36"/>
      <c r="C1972" s="36"/>
      <c r="D1972" s="36"/>
      <c r="E1972" s="531"/>
      <c r="F1972" s="531"/>
      <c r="G1972" s="531"/>
    </row>
    <row r="1973" spans="1:7" x14ac:dyDescent="0.3">
      <c r="A1973" s="36"/>
      <c r="B1973" s="36"/>
      <c r="C1973" s="36"/>
      <c r="D1973" s="36"/>
      <c r="E1973" s="531"/>
      <c r="F1973" s="531"/>
      <c r="G1973" s="531"/>
    </row>
    <row r="1974" spans="1:7" x14ac:dyDescent="0.3">
      <c r="A1974" s="36"/>
      <c r="B1974" s="36"/>
      <c r="C1974" s="36"/>
      <c r="D1974" s="36"/>
      <c r="E1974" s="531"/>
      <c r="F1974" s="531"/>
      <c r="G1974" s="531"/>
    </row>
    <row r="1975" spans="1:7" x14ac:dyDescent="0.3">
      <c r="A1975" s="36"/>
      <c r="B1975" s="36"/>
      <c r="C1975" s="36"/>
      <c r="D1975" s="36"/>
      <c r="E1975" s="531"/>
      <c r="F1975" s="531"/>
      <c r="G1975" s="531"/>
    </row>
    <row r="1976" spans="1:7" x14ac:dyDescent="0.3">
      <c r="A1976" s="36"/>
      <c r="B1976" s="36"/>
      <c r="C1976" s="36"/>
      <c r="D1976" s="36"/>
      <c r="E1976" s="531"/>
      <c r="F1976" s="531"/>
      <c r="G1976" s="531"/>
    </row>
    <row r="1977" spans="1:7" x14ac:dyDescent="0.3">
      <c r="A1977" s="36"/>
      <c r="B1977" s="36"/>
      <c r="C1977" s="36"/>
      <c r="D1977" s="36"/>
      <c r="E1977" s="531"/>
      <c r="F1977" s="531"/>
      <c r="G1977" s="531"/>
    </row>
    <row r="1978" spans="1:7" x14ac:dyDescent="0.3">
      <c r="A1978" s="36"/>
      <c r="B1978" s="36"/>
      <c r="C1978" s="36"/>
      <c r="D1978" s="36"/>
      <c r="E1978" s="531"/>
      <c r="F1978" s="531"/>
      <c r="G1978" s="531"/>
    </row>
    <row r="1979" spans="1:7" x14ac:dyDescent="0.3">
      <c r="A1979" s="36"/>
      <c r="B1979" s="36"/>
      <c r="C1979" s="36"/>
      <c r="D1979" s="36"/>
      <c r="E1979" s="531"/>
      <c r="F1979" s="531"/>
      <c r="G1979" s="531"/>
    </row>
    <row r="1980" spans="1:7" x14ac:dyDescent="0.3">
      <c r="A1980" s="36"/>
      <c r="B1980" s="36"/>
      <c r="C1980" s="36"/>
      <c r="D1980" s="36"/>
      <c r="E1980" s="531"/>
      <c r="F1980" s="531"/>
      <c r="G1980" s="531"/>
    </row>
    <row r="1981" spans="1:7" x14ac:dyDescent="0.3">
      <c r="A1981" s="36"/>
      <c r="B1981" s="36"/>
      <c r="C1981" s="36"/>
      <c r="D1981" s="36"/>
      <c r="E1981" s="531"/>
      <c r="F1981" s="531"/>
      <c r="G1981" s="531"/>
    </row>
    <row r="1982" spans="1:7" x14ac:dyDescent="0.3">
      <c r="A1982" s="36"/>
      <c r="B1982" s="36"/>
      <c r="C1982" s="36"/>
      <c r="D1982" s="36"/>
      <c r="E1982" s="531"/>
      <c r="F1982" s="531"/>
      <c r="G1982" s="531"/>
    </row>
    <row r="1983" spans="1:7" x14ac:dyDescent="0.3">
      <c r="A1983" s="36"/>
      <c r="B1983" s="36"/>
      <c r="C1983" s="36"/>
      <c r="D1983" s="36"/>
      <c r="E1983" s="531"/>
      <c r="F1983" s="531"/>
      <c r="G1983" s="531"/>
    </row>
    <row r="1984" spans="1:7" x14ac:dyDescent="0.3">
      <c r="A1984" s="36"/>
      <c r="B1984" s="36"/>
      <c r="C1984" s="36"/>
      <c r="D1984" s="36"/>
      <c r="E1984" s="531"/>
      <c r="F1984" s="531"/>
      <c r="G1984" s="531"/>
    </row>
    <row r="1985" spans="1:7" x14ac:dyDescent="0.3">
      <c r="A1985" s="36"/>
      <c r="B1985" s="36"/>
      <c r="C1985" s="36"/>
      <c r="D1985" s="36"/>
      <c r="E1985" s="531"/>
      <c r="F1985" s="531"/>
      <c r="G1985" s="531"/>
    </row>
    <row r="1986" spans="1:7" x14ac:dyDescent="0.3">
      <c r="A1986" s="36"/>
      <c r="B1986" s="36"/>
      <c r="C1986" s="36"/>
      <c r="D1986" s="36"/>
      <c r="E1986" s="531"/>
      <c r="F1986" s="531"/>
      <c r="G1986" s="531"/>
    </row>
    <row r="1987" spans="1:7" x14ac:dyDescent="0.3">
      <c r="A1987" s="36"/>
      <c r="B1987" s="36"/>
      <c r="C1987" s="36"/>
      <c r="D1987" s="36"/>
      <c r="E1987" s="531"/>
      <c r="F1987" s="531"/>
      <c r="G1987" s="531"/>
    </row>
    <row r="1988" spans="1:7" x14ac:dyDescent="0.3">
      <c r="A1988" s="36"/>
      <c r="B1988" s="36"/>
      <c r="C1988" s="36"/>
      <c r="D1988" s="36"/>
      <c r="E1988" s="531"/>
      <c r="F1988" s="531"/>
      <c r="G1988" s="531"/>
    </row>
    <row r="1989" spans="1:7" x14ac:dyDescent="0.3">
      <c r="A1989" s="36"/>
      <c r="B1989" s="36"/>
      <c r="C1989" s="36"/>
      <c r="D1989" s="36"/>
      <c r="E1989" s="531"/>
      <c r="F1989" s="531"/>
      <c r="G1989" s="531"/>
    </row>
    <row r="1990" spans="1:7" x14ac:dyDescent="0.3">
      <c r="A1990" s="36"/>
      <c r="B1990" s="36"/>
      <c r="C1990" s="36"/>
      <c r="D1990" s="36"/>
      <c r="E1990" s="531"/>
      <c r="F1990" s="531"/>
      <c r="G1990" s="531"/>
    </row>
    <row r="1991" spans="1:7" x14ac:dyDescent="0.3">
      <c r="A1991" s="36"/>
      <c r="B1991" s="36"/>
      <c r="C1991" s="36"/>
      <c r="D1991" s="36"/>
      <c r="E1991" s="531"/>
      <c r="F1991" s="531"/>
      <c r="G1991" s="531"/>
    </row>
    <row r="1992" spans="1:7" x14ac:dyDescent="0.3">
      <c r="A1992" s="36"/>
      <c r="B1992" s="36"/>
      <c r="C1992" s="36"/>
      <c r="D1992" s="36"/>
      <c r="E1992" s="531"/>
      <c r="F1992" s="531"/>
      <c r="G1992" s="531"/>
    </row>
    <row r="1993" spans="1:7" x14ac:dyDescent="0.3">
      <c r="A1993" s="36"/>
      <c r="B1993" s="36"/>
      <c r="C1993" s="36"/>
      <c r="D1993" s="36"/>
      <c r="E1993" s="531"/>
      <c r="F1993" s="531"/>
      <c r="G1993" s="531"/>
    </row>
    <row r="1994" spans="1:7" x14ac:dyDescent="0.3">
      <c r="A1994" s="36"/>
      <c r="B1994" s="36"/>
      <c r="C1994" s="36"/>
      <c r="D1994" s="36"/>
      <c r="E1994" s="531"/>
      <c r="F1994" s="531"/>
      <c r="G1994" s="531"/>
    </row>
    <row r="1995" spans="1:7" x14ac:dyDescent="0.3">
      <c r="A1995" s="36"/>
      <c r="B1995" s="36"/>
      <c r="C1995" s="36"/>
      <c r="D1995" s="36"/>
      <c r="E1995" s="531"/>
      <c r="F1995" s="531"/>
      <c r="G1995" s="531"/>
    </row>
    <row r="1996" spans="1:7" x14ac:dyDescent="0.3">
      <c r="A1996" s="36"/>
      <c r="B1996" s="36"/>
      <c r="C1996" s="36"/>
      <c r="D1996" s="36"/>
      <c r="E1996" s="531"/>
      <c r="F1996" s="531"/>
      <c r="G1996" s="531"/>
    </row>
    <row r="1997" spans="1:7" x14ac:dyDescent="0.3">
      <c r="A1997" s="36"/>
      <c r="B1997" s="36"/>
      <c r="C1997" s="36"/>
      <c r="D1997" s="36"/>
      <c r="E1997" s="531"/>
      <c r="F1997" s="531"/>
      <c r="G1997" s="531"/>
    </row>
    <row r="1998" spans="1:7" x14ac:dyDescent="0.3">
      <c r="A1998" s="36"/>
      <c r="B1998" s="36"/>
      <c r="C1998" s="36"/>
      <c r="D1998" s="36"/>
      <c r="E1998" s="531"/>
      <c r="F1998" s="531"/>
      <c r="G1998" s="531"/>
    </row>
    <row r="1999" spans="1:7" x14ac:dyDescent="0.3">
      <c r="A1999" s="36"/>
      <c r="B1999" s="36"/>
      <c r="C1999" s="36"/>
      <c r="D1999" s="36"/>
      <c r="E1999" s="531"/>
      <c r="F1999" s="531"/>
      <c r="G1999" s="531"/>
    </row>
    <row r="2000" spans="1:7" x14ac:dyDescent="0.3">
      <c r="A2000" s="36"/>
      <c r="B2000" s="36"/>
      <c r="C2000" s="36"/>
      <c r="D2000" s="36"/>
      <c r="E2000" s="531"/>
      <c r="F2000" s="531"/>
      <c r="G2000" s="531"/>
    </row>
    <row r="2001" spans="1:7" x14ac:dyDescent="0.3">
      <c r="A2001" s="36"/>
      <c r="B2001" s="36"/>
      <c r="C2001" s="36"/>
      <c r="D2001" s="36"/>
      <c r="E2001" s="531"/>
      <c r="F2001" s="531"/>
      <c r="G2001" s="531"/>
    </row>
    <row r="2002" spans="1:7" x14ac:dyDescent="0.3">
      <c r="A2002" s="36"/>
      <c r="B2002" s="36"/>
      <c r="C2002" s="36"/>
      <c r="D2002" s="36"/>
      <c r="E2002" s="531"/>
      <c r="F2002" s="531"/>
      <c r="G2002" s="531"/>
    </row>
    <row r="2003" spans="1:7" x14ac:dyDescent="0.3">
      <c r="A2003" s="36"/>
      <c r="B2003" s="36"/>
      <c r="C2003" s="36"/>
      <c r="D2003" s="36"/>
      <c r="E2003" s="531"/>
      <c r="F2003" s="531"/>
      <c r="G2003" s="531"/>
    </row>
    <row r="2004" spans="1:7" x14ac:dyDescent="0.3">
      <c r="A2004" s="36"/>
      <c r="B2004" s="36"/>
      <c r="C2004" s="36"/>
      <c r="D2004" s="36"/>
      <c r="E2004" s="531"/>
      <c r="F2004" s="531"/>
      <c r="G2004" s="531"/>
    </row>
    <row r="2005" spans="1:7" x14ac:dyDescent="0.3">
      <c r="A2005" s="36"/>
      <c r="B2005" s="36"/>
      <c r="C2005" s="36"/>
      <c r="D2005" s="36"/>
      <c r="E2005" s="531"/>
      <c r="F2005" s="531"/>
      <c r="G2005" s="531"/>
    </row>
    <row r="2006" spans="1:7" x14ac:dyDescent="0.3">
      <c r="A2006" s="36"/>
      <c r="B2006" s="36"/>
      <c r="C2006" s="36"/>
      <c r="D2006" s="36"/>
      <c r="E2006" s="531"/>
      <c r="F2006" s="531"/>
      <c r="G2006" s="531"/>
    </row>
    <row r="2007" spans="1:7" x14ac:dyDescent="0.3">
      <c r="A2007" s="36"/>
      <c r="B2007" s="36"/>
      <c r="C2007" s="36"/>
      <c r="D2007" s="36"/>
      <c r="E2007" s="531"/>
      <c r="F2007" s="531"/>
      <c r="G2007" s="531"/>
    </row>
    <row r="2008" spans="1:7" x14ac:dyDescent="0.3">
      <c r="A2008" s="36"/>
      <c r="B2008" s="36"/>
      <c r="C2008" s="36"/>
      <c r="D2008" s="36"/>
      <c r="E2008" s="531"/>
      <c r="F2008" s="531"/>
      <c r="G2008" s="531"/>
    </row>
    <row r="2009" spans="1:7" x14ac:dyDescent="0.3">
      <c r="A2009" s="36"/>
      <c r="B2009" s="36"/>
      <c r="C2009" s="36"/>
      <c r="D2009" s="36"/>
      <c r="E2009" s="531"/>
      <c r="F2009" s="531"/>
      <c r="G2009" s="531"/>
    </row>
    <row r="2010" spans="1:7" x14ac:dyDescent="0.3">
      <c r="A2010" s="36"/>
      <c r="B2010" s="36"/>
      <c r="C2010" s="36"/>
      <c r="D2010" s="36"/>
      <c r="E2010" s="531"/>
      <c r="F2010" s="531"/>
      <c r="G2010" s="531"/>
    </row>
    <row r="2011" spans="1:7" x14ac:dyDescent="0.3">
      <c r="A2011" s="36"/>
      <c r="B2011" s="36"/>
      <c r="C2011" s="36"/>
      <c r="D2011" s="36"/>
      <c r="E2011" s="531"/>
      <c r="F2011" s="531"/>
      <c r="G2011" s="531"/>
    </row>
    <row r="2012" spans="1:7" x14ac:dyDescent="0.3">
      <c r="A2012" s="36"/>
      <c r="B2012" s="36"/>
      <c r="C2012" s="36"/>
      <c r="D2012" s="36"/>
      <c r="E2012" s="531"/>
      <c r="F2012" s="531"/>
      <c r="G2012" s="531"/>
    </row>
    <row r="2013" spans="1:7" x14ac:dyDescent="0.3">
      <c r="A2013" s="36"/>
      <c r="B2013" s="36"/>
      <c r="C2013" s="36"/>
      <c r="D2013" s="36"/>
      <c r="E2013" s="531"/>
      <c r="F2013" s="531"/>
      <c r="G2013" s="531"/>
    </row>
    <row r="2014" spans="1:7" x14ac:dyDescent="0.3">
      <c r="A2014" s="36"/>
      <c r="B2014" s="36"/>
      <c r="C2014" s="36"/>
      <c r="D2014" s="36"/>
      <c r="E2014" s="531"/>
      <c r="F2014" s="531"/>
      <c r="G2014" s="531"/>
    </row>
    <row r="2015" spans="1:7" x14ac:dyDescent="0.3">
      <c r="A2015" s="36"/>
      <c r="B2015" s="36"/>
      <c r="C2015" s="36"/>
      <c r="D2015" s="36"/>
      <c r="E2015" s="531"/>
      <c r="F2015" s="531"/>
      <c r="G2015" s="531"/>
    </row>
    <row r="2016" spans="1:7" x14ac:dyDescent="0.3">
      <c r="A2016" s="36"/>
      <c r="B2016" s="36"/>
      <c r="C2016" s="36"/>
      <c r="D2016" s="36"/>
      <c r="E2016" s="531"/>
      <c r="F2016" s="531"/>
      <c r="G2016" s="531"/>
    </row>
    <row r="2017" spans="1:7" x14ac:dyDescent="0.3">
      <c r="A2017" s="36"/>
      <c r="B2017" s="36"/>
      <c r="C2017" s="36"/>
      <c r="D2017" s="36"/>
      <c r="E2017" s="531"/>
      <c r="F2017" s="531"/>
      <c r="G2017" s="531"/>
    </row>
    <row r="2018" spans="1:7" x14ac:dyDescent="0.3">
      <c r="A2018" s="36"/>
      <c r="B2018" s="36"/>
      <c r="C2018" s="36"/>
      <c r="D2018" s="36"/>
      <c r="E2018" s="531"/>
      <c r="F2018" s="531"/>
      <c r="G2018" s="531"/>
    </row>
    <row r="2019" spans="1:7" x14ac:dyDescent="0.3">
      <c r="A2019" s="36"/>
      <c r="B2019" s="36"/>
      <c r="C2019" s="36"/>
      <c r="D2019" s="36"/>
      <c r="E2019" s="531"/>
      <c r="F2019" s="531"/>
      <c r="G2019" s="531"/>
    </row>
    <row r="2020" spans="1:7" x14ac:dyDescent="0.3">
      <c r="A2020" s="36"/>
      <c r="B2020" s="36"/>
      <c r="C2020" s="36"/>
      <c r="D2020" s="36"/>
      <c r="E2020" s="531"/>
      <c r="F2020" s="531"/>
      <c r="G2020" s="531"/>
    </row>
    <row r="2021" spans="1:7" x14ac:dyDescent="0.3">
      <c r="A2021" s="36"/>
      <c r="B2021" s="36"/>
      <c r="C2021" s="36"/>
      <c r="D2021" s="36"/>
      <c r="E2021" s="531"/>
      <c r="F2021" s="531"/>
      <c r="G2021" s="531"/>
    </row>
    <row r="2022" spans="1:7" x14ac:dyDescent="0.3">
      <c r="A2022" s="36"/>
      <c r="B2022" s="36"/>
      <c r="C2022" s="36"/>
      <c r="D2022" s="36"/>
      <c r="E2022" s="531"/>
      <c r="F2022" s="531"/>
      <c r="G2022" s="531"/>
    </row>
    <row r="2023" spans="1:7" x14ac:dyDescent="0.3">
      <c r="A2023" s="36"/>
      <c r="B2023" s="36"/>
      <c r="C2023" s="36"/>
      <c r="D2023" s="36"/>
      <c r="E2023" s="531"/>
      <c r="F2023" s="531"/>
      <c r="G2023" s="531"/>
    </row>
    <row r="2024" spans="1:7" x14ac:dyDescent="0.3">
      <c r="A2024" s="36"/>
      <c r="B2024" s="36"/>
      <c r="C2024" s="36"/>
      <c r="D2024" s="36"/>
      <c r="E2024" s="531"/>
      <c r="F2024" s="531"/>
      <c r="G2024" s="531"/>
    </row>
    <row r="2025" spans="1:7" x14ac:dyDescent="0.3">
      <c r="A2025" s="36"/>
      <c r="B2025" s="36"/>
      <c r="C2025" s="36"/>
      <c r="D2025" s="36"/>
      <c r="E2025" s="531"/>
      <c r="F2025" s="531"/>
      <c r="G2025" s="531"/>
    </row>
    <row r="2026" spans="1:7" x14ac:dyDescent="0.3">
      <c r="A2026" s="36"/>
      <c r="B2026" s="36"/>
      <c r="C2026" s="36"/>
      <c r="D2026" s="36"/>
      <c r="E2026" s="531"/>
      <c r="F2026" s="531"/>
      <c r="G2026" s="531"/>
    </row>
    <row r="2027" spans="1:7" x14ac:dyDescent="0.3">
      <c r="A2027" s="36"/>
      <c r="B2027" s="36"/>
      <c r="C2027" s="36"/>
      <c r="D2027" s="36"/>
      <c r="E2027" s="531"/>
      <c r="F2027" s="531"/>
      <c r="G2027" s="531"/>
    </row>
    <row r="2028" spans="1:7" x14ac:dyDescent="0.3">
      <c r="A2028" s="36"/>
      <c r="B2028" s="36"/>
      <c r="C2028" s="36"/>
      <c r="D2028" s="36"/>
      <c r="E2028" s="531"/>
      <c r="F2028" s="531"/>
      <c r="G2028" s="531"/>
    </row>
    <row r="2029" spans="1:7" x14ac:dyDescent="0.3">
      <c r="A2029" s="36"/>
      <c r="B2029" s="36"/>
      <c r="C2029" s="36"/>
      <c r="D2029" s="36"/>
      <c r="E2029" s="531"/>
      <c r="F2029" s="531"/>
      <c r="G2029" s="531"/>
    </row>
    <row r="2030" spans="1:7" x14ac:dyDescent="0.3">
      <c r="A2030" s="36"/>
      <c r="B2030" s="36"/>
      <c r="C2030" s="36"/>
      <c r="D2030" s="36"/>
      <c r="E2030" s="531"/>
      <c r="F2030" s="531"/>
      <c r="G2030" s="531"/>
    </row>
    <row r="2031" spans="1:7" x14ac:dyDescent="0.3">
      <c r="A2031" s="36"/>
      <c r="B2031" s="36"/>
      <c r="C2031" s="36"/>
      <c r="D2031" s="36"/>
      <c r="E2031" s="531"/>
      <c r="F2031" s="531"/>
      <c r="G2031" s="531"/>
    </row>
    <row r="2032" spans="1:7" x14ac:dyDescent="0.3">
      <c r="A2032" s="36"/>
      <c r="B2032" s="36"/>
      <c r="C2032" s="36"/>
      <c r="D2032" s="36"/>
      <c r="E2032" s="531"/>
      <c r="F2032" s="531"/>
      <c r="G2032" s="531"/>
    </row>
    <row r="2033" spans="1:7" x14ac:dyDescent="0.3">
      <c r="A2033" s="36"/>
      <c r="B2033" s="36"/>
      <c r="C2033" s="36"/>
      <c r="D2033" s="36"/>
      <c r="E2033" s="531"/>
      <c r="F2033" s="531"/>
      <c r="G2033" s="531"/>
    </row>
    <row r="2034" spans="1:7" x14ac:dyDescent="0.3">
      <c r="A2034" s="36"/>
      <c r="B2034" s="36"/>
      <c r="C2034" s="36"/>
      <c r="D2034" s="36"/>
      <c r="E2034" s="531"/>
      <c r="F2034" s="531"/>
      <c r="G2034" s="531"/>
    </row>
    <row r="2035" spans="1:7" x14ac:dyDescent="0.3">
      <c r="A2035" s="36"/>
      <c r="B2035" s="36"/>
      <c r="C2035" s="36"/>
      <c r="D2035" s="36"/>
      <c r="E2035" s="531"/>
      <c r="F2035" s="531"/>
      <c r="G2035" s="531"/>
    </row>
    <row r="2036" spans="1:7" x14ac:dyDescent="0.3">
      <c r="A2036" s="36"/>
      <c r="B2036" s="36"/>
      <c r="C2036" s="36"/>
      <c r="D2036" s="36"/>
      <c r="E2036" s="531"/>
      <c r="F2036" s="531"/>
      <c r="G2036" s="531"/>
    </row>
    <row r="2037" spans="1:7" x14ac:dyDescent="0.3">
      <c r="A2037" s="36"/>
      <c r="B2037" s="36"/>
      <c r="C2037" s="36"/>
      <c r="D2037" s="36"/>
      <c r="E2037" s="531"/>
      <c r="F2037" s="531"/>
      <c r="G2037" s="531"/>
    </row>
    <row r="2038" spans="1:7" x14ac:dyDescent="0.3">
      <c r="A2038" s="36"/>
      <c r="B2038" s="36"/>
      <c r="C2038" s="36"/>
      <c r="D2038" s="36"/>
      <c r="E2038" s="531"/>
      <c r="F2038" s="531"/>
      <c r="G2038" s="531"/>
    </row>
    <row r="2039" spans="1:7" x14ac:dyDescent="0.3">
      <c r="A2039" s="36"/>
      <c r="B2039" s="36"/>
      <c r="C2039" s="36"/>
      <c r="D2039" s="36"/>
      <c r="E2039" s="531"/>
      <c r="F2039" s="531"/>
      <c r="G2039" s="531"/>
    </row>
    <row r="2040" spans="1:7" x14ac:dyDescent="0.3">
      <c r="A2040" s="36"/>
      <c r="B2040" s="36"/>
      <c r="C2040" s="36"/>
      <c r="D2040" s="36"/>
      <c r="E2040" s="531"/>
      <c r="F2040" s="531"/>
      <c r="G2040" s="531"/>
    </row>
    <row r="2041" spans="1:7" x14ac:dyDescent="0.3">
      <c r="A2041" s="36"/>
      <c r="B2041" s="36"/>
      <c r="C2041" s="36"/>
      <c r="D2041" s="36"/>
      <c r="E2041" s="531"/>
      <c r="F2041" s="531"/>
      <c r="G2041" s="531"/>
    </row>
    <row r="2042" spans="1:7" x14ac:dyDescent="0.3">
      <c r="A2042" s="36"/>
      <c r="B2042" s="36"/>
      <c r="C2042" s="36"/>
      <c r="D2042" s="36"/>
      <c r="E2042" s="531"/>
      <c r="F2042" s="531"/>
      <c r="G2042" s="531"/>
    </row>
    <row r="2043" spans="1:7" x14ac:dyDescent="0.3">
      <c r="A2043" s="36"/>
      <c r="B2043" s="36"/>
      <c r="C2043" s="36"/>
      <c r="D2043" s="36"/>
      <c r="E2043" s="531"/>
      <c r="F2043" s="531"/>
      <c r="G2043" s="531"/>
    </row>
    <row r="2044" spans="1:7" x14ac:dyDescent="0.3">
      <c r="A2044" s="36"/>
      <c r="B2044" s="36"/>
      <c r="C2044" s="36"/>
      <c r="D2044" s="36"/>
      <c r="E2044" s="531"/>
      <c r="F2044" s="531"/>
      <c r="G2044" s="531"/>
    </row>
    <row r="2045" spans="1:7" x14ac:dyDescent="0.3">
      <c r="A2045" s="36"/>
      <c r="B2045" s="36"/>
      <c r="C2045" s="36"/>
      <c r="D2045" s="36"/>
      <c r="E2045" s="531"/>
      <c r="F2045" s="531"/>
      <c r="G2045" s="531"/>
    </row>
    <row r="2046" spans="1:7" x14ac:dyDescent="0.3">
      <c r="A2046" s="36"/>
      <c r="B2046" s="36"/>
      <c r="C2046" s="36"/>
      <c r="D2046" s="36"/>
      <c r="E2046" s="531"/>
      <c r="F2046" s="531"/>
      <c r="G2046" s="531"/>
    </row>
    <row r="2047" spans="1:7" x14ac:dyDescent="0.3">
      <c r="A2047" s="36"/>
      <c r="B2047" s="36"/>
      <c r="C2047" s="36"/>
      <c r="D2047" s="36"/>
      <c r="E2047" s="531"/>
      <c r="F2047" s="531"/>
      <c r="G2047" s="531"/>
    </row>
    <row r="2048" spans="1:7" x14ac:dyDescent="0.3">
      <c r="A2048" s="36"/>
      <c r="B2048" s="36"/>
      <c r="C2048" s="36"/>
      <c r="D2048" s="36"/>
      <c r="E2048" s="531"/>
      <c r="F2048" s="531"/>
      <c r="G2048" s="531"/>
    </row>
    <row r="2049" spans="1:7" x14ac:dyDescent="0.3">
      <c r="A2049" s="36"/>
      <c r="B2049" s="36"/>
      <c r="C2049" s="36"/>
      <c r="D2049" s="36"/>
      <c r="E2049" s="531"/>
      <c r="F2049" s="531"/>
      <c r="G2049" s="531"/>
    </row>
    <row r="2050" spans="1:7" x14ac:dyDescent="0.3">
      <c r="A2050" s="36"/>
      <c r="B2050" s="36"/>
      <c r="C2050" s="36"/>
      <c r="D2050" s="36"/>
      <c r="E2050" s="531"/>
      <c r="F2050" s="531"/>
      <c r="G2050" s="531"/>
    </row>
    <row r="2051" spans="1:7" x14ac:dyDescent="0.3">
      <c r="A2051" s="36"/>
      <c r="B2051" s="36"/>
      <c r="C2051" s="36"/>
      <c r="D2051" s="36"/>
      <c r="E2051" s="531"/>
      <c r="F2051" s="531"/>
      <c r="G2051" s="531"/>
    </row>
    <row r="2052" spans="1:7" x14ac:dyDescent="0.3">
      <c r="A2052" s="36"/>
      <c r="B2052" s="36"/>
      <c r="C2052" s="36"/>
      <c r="D2052" s="36"/>
      <c r="E2052" s="531"/>
      <c r="F2052" s="531"/>
      <c r="G2052" s="531"/>
    </row>
    <row r="2053" spans="1:7" x14ac:dyDescent="0.3">
      <c r="A2053" s="36"/>
      <c r="B2053" s="36"/>
      <c r="C2053" s="36"/>
      <c r="D2053" s="36"/>
      <c r="E2053" s="531"/>
      <c r="F2053" s="531"/>
      <c r="G2053" s="531"/>
    </row>
    <row r="2054" spans="1:7" x14ac:dyDescent="0.3">
      <c r="A2054" s="36"/>
      <c r="B2054" s="36"/>
      <c r="C2054" s="36"/>
      <c r="D2054" s="36"/>
      <c r="E2054" s="531"/>
      <c r="F2054" s="531"/>
      <c r="G2054" s="531"/>
    </row>
    <row r="2055" spans="1:7" x14ac:dyDescent="0.3">
      <c r="A2055" s="36"/>
      <c r="B2055" s="36"/>
      <c r="C2055" s="36"/>
      <c r="D2055" s="36"/>
      <c r="E2055" s="531"/>
      <c r="F2055" s="531"/>
      <c r="G2055" s="531"/>
    </row>
    <row r="2056" spans="1:7" x14ac:dyDescent="0.3">
      <c r="A2056" s="36"/>
      <c r="B2056" s="36"/>
      <c r="C2056" s="36"/>
      <c r="D2056" s="36"/>
      <c r="E2056" s="531"/>
      <c r="F2056" s="531"/>
      <c r="G2056" s="531"/>
    </row>
    <row r="2057" spans="1:7" x14ac:dyDescent="0.3">
      <c r="A2057" s="36"/>
      <c r="B2057" s="36"/>
      <c r="C2057" s="36"/>
      <c r="D2057" s="36"/>
      <c r="E2057" s="531"/>
      <c r="F2057" s="531"/>
      <c r="G2057" s="531"/>
    </row>
    <row r="2058" spans="1:7" x14ac:dyDescent="0.3">
      <c r="A2058" s="36"/>
      <c r="B2058" s="36"/>
      <c r="C2058" s="36"/>
      <c r="D2058" s="36"/>
      <c r="E2058" s="531"/>
      <c r="F2058" s="531"/>
      <c r="G2058" s="531"/>
    </row>
    <row r="2059" spans="1:7" x14ac:dyDescent="0.3">
      <c r="A2059" s="36"/>
      <c r="B2059" s="36"/>
      <c r="C2059" s="36"/>
      <c r="D2059" s="36"/>
      <c r="E2059" s="531"/>
      <c r="F2059" s="531"/>
      <c r="G2059" s="531"/>
    </row>
    <row r="2060" spans="1:7" x14ac:dyDescent="0.3">
      <c r="A2060" s="36"/>
      <c r="B2060" s="36"/>
      <c r="C2060" s="36"/>
      <c r="D2060" s="36"/>
      <c r="E2060" s="531"/>
      <c r="F2060" s="531"/>
      <c r="G2060" s="531"/>
    </row>
    <row r="2061" spans="1:7" x14ac:dyDescent="0.3">
      <c r="A2061" s="36"/>
      <c r="B2061" s="36"/>
      <c r="C2061" s="36"/>
      <c r="D2061" s="36"/>
      <c r="E2061" s="531"/>
      <c r="F2061" s="531"/>
      <c r="G2061" s="531"/>
    </row>
    <row r="2062" spans="1:7" x14ac:dyDescent="0.3">
      <c r="A2062" s="36"/>
      <c r="B2062" s="36"/>
      <c r="C2062" s="36"/>
      <c r="D2062" s="36"/>
      <c r="E2062" s="531"/>
      <c r="F2062" s="531"/>
      <c r="G2062" s="531"/>
    </row>
    <row r="2063" spans="1:7" x14ac:dyDescent="0.3">
      <c r="A2063" s="36"/>
      <c r="B2063" s="36"/>
      <c r="C2063" s="36"/>
      <c r="D2063" s="36"/>
      <c r="E2063" s="531"/>
      <c r="F2063" s="531"/>
      <c r="G2063" s="531"/>
    </row>
    <row r="2064" spans="1:7" x14ac:dyDescent="0.3">
      <c r="A2064" s="36"/>
      <c r="B2064" s="36"/>
      <c r="C2064" s="36"/>
      <c r="D2064" s="36"/>
      <c r="E2064" s="531"/>
      <c r="F2064" s="531"/>
      <c r="G2064" s="531"/>
    </row>
    <row r="2065" spans="1:7" x14ac:dyDescent="0.3">
      <c r="A2065" s="36"/>
      <c r="B2065" s="36"/>
      <c r="C2065" s="36"/>
      <c r="D2065" s="36"/>
      <c r="E2065" s="531"/>
      <c r="F2065" s="531"/>
      <c r="G2065" s="531"/>
    </row>
    <row r="2066" spans="1:7" x14ac:dyDescent="0.3">
      <c r="A2066" s="36"/>
      <c r="B2066" s="36"/>
      <c r="C2066" s="36"/>
      <c r="D2066" s="36"/>
      <c r="E2066" s="531"/>
      <c r="F2066" s="531"/>
      <c r="G2066" s="531"/>
    </row>
    <row r="2067" spans="1:7" x14ac:dyDescent="0.3">
      <c r="A2067" s="36"/>
      <c r="B2067" s="36"/>
      <c r="C2067" s="36"/>
      <c r="D2067" s="36"/>
      <c r="E2067" s="531"/>
      <c r="F2067" s="531"/>
      <c r="G2067" s="531"/>
    </row>
    <row r="2068" spans="1:7" x14ac:dyDescent="0.3">
      <c r="A2068" s="36"/>
      <c r="B2068" s="36"/>
      <c r="C2068" s="36"/>
      <c r="D2068" s="36"/>
      <c r="E2068" s="531"/>
      <c r="F2068" s="531"/>
      <c r="G2068" s="531"/>
    </row>
    <row r="2069" spans="1:7" x14ac:dyDescent="0.3">
      <c r="A2069" s="36"/>
      <c r="B2069" s="36"/>
      <c r="C2069" s="36"/>
      <c r="D2069" s="36"/>
      <c r="E2069" s="531"/>
      <c r="F2069" s="531"/>
      <c r="G2069" s="531"/>
    </row>
    <row r="2070" spans="1:7" x14ac:dyDescent="0.3">
      <c r="A2070" s="36"/>
      <c r="B2070" s="36"/>
      <c r="C2070" s="36"/>
      <c r="D2070" s="36"/>
      <c r="E2070" s="531"/>
      <c r="F2070" s="531"/>
      <c r="G2070" s="531"/>
    </row>
    <row r="2071" spans="1:7" x14ac:dyDescent="0.3">
      <c r="A2071" s="36"/>
      <c r="B2071" s="36"/>
      <c r="C2071" s="36"/>
      <c r="D2071" s="36"/>
      <c r="E2071" s="531"/>
      <c r="F2071" s="531"/>
      <c r="G2071" s="531"/>
    </row>
    <row r="2072" spans="1:7" x14ac:dyDescent="0.3">
      <c r="A2072" s="36"/>
      <c r="B2072" s="36"/>
      <c r="C2072" s="36"/>
      <c r="D2072" s="36"/>
      <c r="E2072" s="531"/>
      <c r="F2072" s="531"/>
      <c r="G2072" s="531"/>
    </row>
    <row r="2073" spans="1:7" x14ac:dyDescent="0.3">
      <c r="A2073" s="36"/>
      <c r="B2073" s="36"/>
      <c r="C2073" s="36"/>
      <c r="D2073" s="36"/>
      <c r="E2073" s="531"/>
      <c r="F2073" s="531"/>
      <c r="G2073" s="531"/>
    </row>
    <row r="2074" spans="1:7" x14ac:dyDescent="0.3">
      <c r="A2074" s="36"/>
      <c r="B2074" s="36"/>
      <c r="C2074" s="36"/>
      <c r="D2074" s="36"/>
      <c r="E2074" s="531"/>
      <c r="F2074" s="531"/>
      <c r="G2074" s="531"/>
    </row>
    <row r="2075" spans="1:7" x14ac:dyDescent="0.3">
      <c r="A2075" s="36"/>
      <c r="B2075" s="36"/>
      <c r="C2075" s="36"/>
      <c r="D2075" s="36"/>
      <c r="E2075" s="531"/>
      <c r="F2075" s="531"/>
      <c r="G2075" s="531"/>
    </row>
    <row r="2076" spans="1:7" x14ac:dyDescent="0.3">
      <c r="A2076" s="36"/>
      <c r="B2076" s="36"/>
      <c r="C2076" s="36"/>
      <c r="D2076" s="36"/>
      <c r="E2076" s="531"/>
      <c r="F2076" s="531"/>
      <c r="G2076" s="531"/>
    </row>
    <row r="2077" spans="1:7" x14ac:dyDescent="0.3">
      <c r="A2077" s="36"/>
      <c r="B2077" s="36"/>
      <c r="C2077" s="36"/>
      <c r="D2077" s="36"/>
      <c r="E2077" s="531"/>
      <c r="F2077" s="531"/>
      <c r="G2077" s="531"/>
    </row>
    <row r="2078" spans="1:7" x14ac:dyDescent="0.3">
      <c r="A2078" s="36"/>
      <c r="B2078" s="36"/>
      <c r="C2078" s="36"/>
      <c r="D2078" s="36"/>
      <c r="E2078" s="531"/>
      <c r="F2078" s="531"/>
      <c r="G2078" s="531"/>
    </row>
    <row r="2079" spans="1:7" x14ac:dyDescent="0.3">
      <c r="A2079" s="36"/>
      <c r="B2079" s="36"/>
      <c r="C2079" s="36"/>
      <c r="D2079" s="36"/>
      <c r="E2079" s="531"/>
      <c r="F2079" s="531"/>
      <c r="G2079" s="531"/>
    </row>
    <row r="2080" spans="1:7" x14ac:dyDescent="0.3">
      <c r="A2080" s="36"/>
      <c r="B2080" s="36"/>
      <c r="C2080" s="36"/>
      <c r="D2080" s="36"/>
      <c r="E2080" s="531"/>
      <c r="F2080" s="531"/>
      <c r="G2080" s="531"/>
    </row>
    <row r="2081" spans="1:7" x14ac:dyDescent="0.3">
      <c r="A2081" s="36"/>
      <c r="B2081" s="36"/>
      <c r="C2081" s="36"/>
      <c r="D2081" s="36"/>
      <c r="E2081" s="531"/>
      <c r="F2081" s="531"/>
      <c r="G2081" s="531"/>
    </row>
    <row r="2082" spans="1:7" x14ac:dyDescent="0.3">
      <c r="A2082" s="36"/>
      <c r="B2082" s="36"/>
      <c r="C2082" s="36"/>
      <c r="D2082" s="36"/>
      <c r="E2082" s="531"/>
      <c r="F2082" s="531"/>
      <c r="G2082" s="531"/>
    </row>
    <row r="2083" spans="1:7" x14ac:dyDescent="0.3">
      <c r="A2083" s="36"/>
      <c r="B2083" s="36"/>
      <c r="C2083" s="36"/>
      <c r="D2083" s="36"/>
      <c r="E2083" s="531"/>
      <c r="F2083" s="531"/>
      <c r="G2083" s="531"/>
    </row>
    <row r="2084" spans="1:7" x14ac:dyDescent="0.3">
      <c r="A2084" s="36"/>
      <c r="B2084" s="36"/>
      <c r="C2084" s="36"/>
      <c r="D2084" s="36"/>
      <c r="E2084" s="531"/>
      <c r="F2084" s="531"/>
      <c r="G2084" s="531"/>
    </row>
    <row r="2085" spans="1:7" x14ac:dyDescent="0.3">
      <c r="A2085" s="36"/>
      <c r="B2085" s="36"/>
      <c r="C2085" s="36"/>
      <c r="D2085" s="36"/>
      <c r="E2085" s="531"/>
      <c r="F2085" s="531"/>
      <c r="G2085" s="531"/>
    </row>
    <row r="2086" spans="1:7" x14ac:dyDescent="0.3">
      <c r="A2086" s="36"/>
      <c r="B2086" s="36"/>
      <c r="C2086" s="36"/>
      <c r="D2086" s="36"/>
      <c r="E2086" s="531"/>
      <c r="F2086" s="531"/>
      <c r="G2086" s="531"/>
    </row>
    <row r="2087" spans="1:7" x14ac:dyDescent="0.3">
      <c r="A2087" s="36"/>
      <c r="B2087" s="36"/>
      <c r="C2087" s="36"/>
      <c r="D2087" s="36"/>
      <c r="E2087" s="531"/>
      <c r="F2087" s="531"/>
      <c r="G2087" s="531"/>
    </row>
    <row r="2088" spans="1:7" x14ac:dyDescent="0.3">
      <c r="A2088" s="36"/>
      <c r="B2088" s="36"/>
      <c r="C2088" s="36"/>
      <c r="D2088" s="36"/>
      <c r="E2088" s="531"/>
      <c r="F2088" s="531"/>
      <c r="G2088" s="531"/>
    </row>
    <row r="2089" spans="1:7" x14ac:dyDescent="0.3">
      <c r="A2089" s="36"/>
      <c r="B2089" s="36"/>
      <c r="C2089" s="36"/>
      <c r="D2089" s="36"/>
      <c r="E2089" s="531"/>
      <c r="F2089" s="531"/>
      <c r="G2089" s="531"/>
    </row>
    <row r="2090" spans="1:7" x14ac:dyDescent="0.3">
      <c r="A2090" s="36"/>
      <c r="B2090" s="36"/>
      <c r="C2090" s="36"/>
      <c r="D2090" s="36"/>
      <c r="E2090" s="531"/>
      <c r="F2090" s="531"/>
      <c r="G2090" s="531"/>
    </row>
    <row r="2091" spans="1:7" x14ac:dyDescent="0.3">
      <c r="A2091" s="36"/>
      <c r="B2091" s="36"/>
      <c r="C2091" s="36"/>
      <c r="D2091" s="36"/>
      <c r="E2091" s="531"/>
      <c r="F2091" s="531"/>
      <c r="G2091" s="531"/>
    </row>
    <row r="2092" spans="1:7" x14ac:dyDescent="0.3">
      <c r="A2092" s="36"/>
      <c r="B2092" s="36"/>
      <c r="C2092" s="36"/>
      <c r="D2092" s="36"/>
      <c r="E2092" s="531"/>
      <c r="F2092" s="531"/>
      <c r="G2092" s="531"/>
    </row>
    <row r="2093" spans="1:7" x14ac:dyDescent="0.3">
      <c r="A2093" s="36"/>
      <c r="B2093" s="36"/>
      <c r="C2093" s="36"/>
      <c r="D2093" s="36"/>
      <c r="E2093" s="531"/>
      <c r="F2093" s="531"/>
      <c r="G2093" s="531"/>
    </row>
    <row r="2094" spans="1:7" x14ac:dyDescent="0.3">
      <c r="A2094" s="36"/>
      <c r="B2094" s="36"/>
      <c r="C2094" s="36"/>
      <c r="D2094" s="36"/>
      <c r="E2094" s="531"/>
      <c r="F2094" s="531"/>
      <c r="G2094" s="531"/>
    </row>
    <row r="2095" spans="1:7" x14ac:dyDescent="0.3">
      <c r="A2095" s="36"/>
      <c r="B2095" s="36"/>
      <c r="C2095" s="36"/>
      <c r="D2095" s="36"/>
      <c r="E2095" s="531"/>
      <c r="F2095" s="531"/>
      <c r="G2095" s="531"/>
    </row>
    <row r="2096" spans="1:7" x14ac:dyDescent="0.3">
      <c r="A2096" s="36"/>
      <c r="B2096" s="36"/>
      <c r="C2096" s="36"/>
      <c r="D2096" s="36"/>
      <c r="E2096" s="531"/>
      <c r="F2096" s="531"/>
      <c r="G2096" s="531"/>
    </row>
    <row r="2097" spans="1:7" x14ac:dyDescent="0.3">
      <c r="A2097" s="36"/>
      <c r="B2097" s="36"/>
      <c r="C2097" s="36"/>
      <c r="D2097" s="36"/>
      <c r="E2097" s="531"/>
      <c r="F2097" s="531"/>
      <c r="G2097" s="531"/>
    </row>
    <row r="2098" spans="1:7" x14ac:dyDescent="0.3">
      <c r="A2098" s="36"/>
      <c r="B2098" s="36"/>
      <c r="C2098" s="36"/>
      <c r="D2098" s="36"/>
      <c r="E2098" s="531"/>
      <c r="F2098" s="531"/>
      <c r="G2098" s="531"/>
    </row>
    <row r="2099" spans="1:7" x14ac:dyDescent="0.3">
      <c r="A2099" s="36"/>
      <c r="B2099" s="36"/>
      <c r="C2099" s="36"/>
      <c r="D2099" s="36"/>
      <c r="E2099" s="531"/>
      <c r="F2099" s="531"/>
      <c r="G2099" s="531"/>
    </row>
    <row r="2100" spans="1:7" x14ac:dyDescent="0.3">
      <c r="A2100" s="36"/>
      <c r="B2100" s="36"/>
      <c r="C2100" s="36"/>
      <c r="D2100" s="36"/>
      <c r="E2100" s="531"/>
      <c r="F2100" s="531"/>
      <c r="G2100" s="531"/>
    </row>
    <row r="2101" spans="1:7" x14ac:dyDescent="0.3">
      <c r="A2101" s="36"/>
      <c r="B2101" s="36"/>
      <c r="C2101" s="36"/>
      <c r="D2101" s="36"/>
      <c r="E2101" s="531"/>
      <c r="F2101" s="531"/>
      <c r="G2101" s="531"/>
    </row>
    <row r="2102" spans="1:7" x14ac:dyDescent="0.3">
      <c r="A2102" s="36"/>
      <c r="B2102" s="36"/>
      <c r="C2102" s="36"/>
      <c r="D2102" s="36"/>
      <c r="E2102" s="531"/>
      <c r="F2102" s="531"/>
      <c r="G2102" s="531"/>
    </row>
    <row r="2103" spans="1:7" x14ac:dyDescent="0.3">
      <c r="A2103" s="36"/>
      <c r="B2103" s="36"/>
      <c r="C2103" s="36"/>
      <c r="D2103" s="36"/>
      <c r="E2103" s="531"/>
      <c r="F2103" s="531"/>
      <c r="G2103" s="531"/>
    </row>
    <row r="2104" spans="1:7" x14ac:dyDescent="0.3">
      <c r="A2104" s="36"/>
      <c r="B2104" s="36"/>
      <c r="C2104" s="36"/>
      <c r="D2104" s="36"/>
      <c r="E2104" s="531"/>
      <c r="F2104" s="531"/>
      <c r="G2104" s="531"/>
    </row>
    <row r="2105" spans="1:7" x14ac:dyDescent="0.3">
      <c r="A2105" s="36"/>
      <c r="B2105" s="36"/>
      <c r="C2105" s="36"/>
      <c r="D2105" s="36"/>
      <c r="E2105" s="531"/>
      <c r="F2105" s="531"/>
      <c r="G2105" s="531"/>
    </row>
    <row r="2106" spans="1:7" x14ac:dyDescent="0.3">
      <c r="A2106" s="36"/>
      <c r="B2106" s="36"/>
      <c r="C2106" s="36"/>
      <c r="D2106" s="36"/>
      <c r="E2106" s="531"/>
      <c r="F2106" s="531"/>
      <c r="G2106" s="531"/>
    </row>
    <row r="2107" spans="1:7" x14ac:dyDescent="0.3">
      <c r="A2107" s="36"/>
      <c r="B2107" s="36"/>
      <c r="C2107" s="36"/>
      <c r="D2107" s="36"/>
      <c r="E2107" s="531"/>
      <c r="F2107" s="531"/>
      <c r="G2107" s="531"/>
    </row>
    <row r="2108" spans="1:7" x14ac:dyDescent="0.3">
      <c r="A2108" s="36"/>
      <c r="B2108" s="36"/>
      <c r="C2108" s="36"/>
      <c r="D2108" s="36"/>
      <c r="E2108" s="531"/>
      <c r="F2108" s="531"/>
      <c r="G2108" s="531"/>
    </row>
    <row r="2109" spans="1:7" x14ac:dyDescent="0.3">
      <c r="A2109" s="36"/>
      <c r="B2109" s="36"/>
      <c r="C2109" s="36"/>
      <c r="D2109" s="36"/>
      <c r="E2109" s="531"/>
      <c r="F2109" s="531"/>
      <c r="G2109" s="531"/>
    </row>
    <row r="2110" spans="1:7" x14ac:dyDescent="0.3">
      <c r="A2110" s="36"/>
      <c r="B2110" s="36"/>
      <c r="C2110" s="36"/>
      <c r="D2110" s="36"/>
      <c r="E2110" s="531"/>
      <c r="F2110" s="531"/>
      <c r="G2110" s="531"/>
    </row>
    <row r="2111" spans="1:7" x14ac:dyDescent="0.3">
      <c r="A2111" s="36"/>
      <c r="B2111" s="36"/>
      <c r="C2111" s="36"/>
      <c r="D2111" s="36"/>
      <c r="E2111" s="531"/>
      <c r="F2111" s="531"/>
      <c r="G2111" s="531"/>
    </row>
    <row r="2112" spans="1:7" x14ac:dyDescent="0.3">
      <c r="A2112" s="36"/>
      <c r="B2112" s="36"/>
      <c r="C2112" s="36"/>
      <c r="D2112" s="36"/>
      <c r="E2112" s="531"/>
      <c r="F2112" s="531"/>
      <c r="G2112" s="531"/>
    </row>
    <row r="2113" spans="1:7" x14ac:dyDescent="0.3">
      <c r="A2113" s="36"/>
      <c r="B2113" s="36"/>
      <c r="C2113" s="36"/>
      <c r="D2113" s="36"/>
      <c r="E2113" s="531"/>
      <c r="F2113" s="531"/>
      <c r="G2113" s="531"/>
    </row>
    <row r="2114" spans="1:7" x14ac:dyDescent="0.3">
      <c r="A2114" s="36"/>
      <c r="B2114" s="36"/>
      <c r="C2114" s="36"/>
      <c r="D2114" s="36"/>
      <c r="E2114" s="531"/>
      <c r="F2114" s="531"/>
      <c r="G2114" s="531"/>
    </row>
    <row r="2115" spans="1:7" x14ac:dyDescent="0.3">
      <c r="A2115" s="36"/>
      <c r="B2115" s="36"/>
      <c r="C2115" s="36"/>
      <c r="D2115" s="36"/>
      <c r="E2115" s="531"/>
      <c r="F2115" s="531"/>
      <c r="G2115" s="531"/>
    </row>
    <row r="2116" spans="1:7" x14ac:dyDescent="0.3">
      <c r="A2116" s="36"/>
      <c r="B2116" s="36"/>
      <c r="C2116" s="36"/>
      <c r="D2116" s="36"/>
      <c r="E2116" s="531"/>
      <c r="F2116" s="531"/>
      <c r="G2116" s="531"/>
    </row>
    <row r="2117" spans="1:7" x14ac:dyDescent="0.3">
      <c r="A2117" s="36"/>
      <c r="B2117" s="36"/>
      <c r="C2117" s="36"/>
      <c r="D2117" s="36"/>
      <c r="E2117" s="531"/>
      <c r="F2117" s="531"/>
      <c r="G2117" s="531"/>
    </row>
    <row r="2118" spans="1:7" x14ac:dyDescent="0.3">
      <c r="A2118" s="36"/>
      <c r="B2118" s="36"/>
      <c r="C2118" s="36"/>
      <c r="D2118" s="36"/>
      <c r="E2118" s="531"/>
      <c r="F2118" s="531"/>
      <c r="G2118" s="531"/>
    </row>
    <row r="2119" spans="1:7" x14ac:dyDescent="0.3">
      <c r="A2119" s="36"/>
      <c r="B2119" s="36"/>
      <c r="C2119" s="36"/>
      <c r="D2119" s="36"/>
      <c r="E2119" s="531"/>
      <c r="F2119" s="531"/>
      <c r="G2119" s="531"/>
    </row>
    <row r="2120" spans="1:7" x14ac:dyDescent="0.3">
      <c r="A2120" s="36"/>
      <c r="B2120" s="36"/>
      <c r="C2120" s="36"/>
      <c r="D2120" s="36"/>
      <c r="E2120" s="531"/>
      <c r="F2120" s="531"/>
      <c r="G2120" s="531"/>
    </row>
    <row r="2121" spans="1:7" x14ac:dyDescent="0.3">
      <c r="A2121" s="36"/>
      <c r="B2121" s="36"/>
      <c r="C2121" s="36"/>
      <c r="D2121" s="36"/>
      <c r="E2121" s="531"/>
      <c r="F2121" s="531"/>
      <c r="G2121" s="531"/>
    </row>
    <row r="2122" spans="1:7" x14ac:dyDescent="0.3">
      <c r="A2122" s="36"/>
      <c r="B2122" s="36"/>
      <c r="C2122" s="36"/>
      <c r="D2122" s="36"/>
      <c r="E2122" s="531"/>
      <c r="F2122" s="531"/>
      <c r="G2122" s="531"/>
    </row>
    <row r="2123" spans="1:7" x14ac:dyDescent="0.3">
      <c r="A2123" s="36"/>
      <c r="B2123" s="36"/>
      <c r="C2123" s="36"/>
      <c r="D2123" s="36"/>
      <c r="E2123" s="531"/>
      <c r="F2123" s="531"/>
      <c r="G2123" s="531"/>
    </row>
    <row r="2124" spans="1:7" x14ac:dyDescent="0.3">
      <c r="A2124" s="36"/>
      <c r="B2124" s="36"/>
      <c r="C2124" s="36"/>
      <c r="D2124" s="36"/>
      <c r="E2124" s="531"/>
      <c r="F2124" s="531"/>
      <c r="G2124" s="531"/>
    </row>
    <row r="2125" spans="1:7" x14ac:dyDescent="0.3">
      <c r="A2125" s="36"/>
      <c r="B2125" s="36"/>
      <c r="C2125" s="36"/>
      <c r="D2125" s="36"/>
      <c r="E2125" s="531"/>
      <c r="F2125" s="531"/>
      <c r="G2125" s="531"/>
    </row>
    <row r="2126" spans="1:7" x14ac:dyDescent="0.3">
      <c r="A2126" s="36"/>
      <c r="B2126" s="36"/>
      <c r="C2126" s="36"/>
      <c r="D2126" s="36"/>
      <c r="E2126" s="531"/>
      <c r="F2126" s="531"/>
      <c r="G2126" s="531"/>
    </row>
    <row r="2127" spans="1:7" x14ac:dyDescent="0.3">
      <c r="A2127" s="36"/>
      <c r="B2127" s="36"/>
      <c r="C2127" s="36"/>
      <c r="D2127" s="36"/>
      <c r="E2127" s="531"/>
      <c r="F2127" s="531"/>
      <c r="G2127" s="531"/>
    </row>
    <row r="2128" spans="1:7" x14ac:dyDescent="0.3">
      <c r="A2128" s="36"/>
      <c r="B2128" s="36"/>
      <c r="C2128" s="36"/>
      <c r="D2128" s="36"/>
      <c r="E2128" s="531"/>
      <c r="F2128" s="531"/>
      <c r="G2128" s="531"/>
    </row>
    <row r="2129" spans="1:7" x14ac:dyDescent="0.3">
      <c r="A2129" s="36"/>
      <c r="B2129" s="36"/>
      <c r="C2129" s="36"/>
      <c r="D2129" s="36"/>
      <c r="E2129" s="531"/>
      <c r="F2129" s="531"/>
      <c r="G2129" s="531"/>
    </row>
    <row r="2130" spans="1:7" x14ac:dyDescent="0.3">
      <c r="A2130" s="36"/>
      <c r="B2130" s="36"/>
      <c r="C2130" s="36"/>
      <c r="D2130" s="36"/>
      <c r="E2130" s="531"/>
      <c r="F2130" s="531"/>
      <c r="G2130" s="531"/>
    </row>
    <row r="2131" spans="1:7" x14ac:dyDescent="0.3">
      <c r="A2131" s="36"/>
      <c r="B2131" s="36"/>
      <c r="C2131" s="36"/>
      <c r="D2131" s="36"/>
      <c r="E2131" s="531"/>
      <c r="F2131" s="531"/>
      <c r="G2131" s="531"/>
    </row>
    <row r="2132" spans="1:7" x14ac:dyDescent="0.3">
      <c r="A2132" s="36"/>
      <c r="B2132" s="36"/>
      <c r="C2132" s="36"/>
      <c r="D2132" s="36"/>
      <c r="E2132" s="531"/>
      <c r="F2132" s="531"/>
      <c r="G2132" s="531"/>
    </row>
    <row r="2133" spans="1:7" x14ac:dyDescent="0.3">
      <c r="A2133" s="36"/>
      <c r="B2133" s="36"/>
      <c r="C2133" s="36"/>
      <c r="D2133" s="36"/>
      <c r="E2133" s="531"/>
      <c r="F2133" s="531"/>
      <c r="G2133" s="531"/>
    </row>
    <row r="2134" spans="1:7" x14ac:dyDescent="0.3">
      <c r="A2134" s="36"/>
      <c r="B2134" s="36"/>
      <c r="C2134" s="36"/>
      <c r="D2134" s="36"/>
      <c r="E2134" s="531"/>
      <c r="F2134" s="531"/>
      <c r="G2134" s="531"/>
    </row>
    <row r="2135" spans="1:7" x14ac:dyDescent="0.3">
      <c r="A2135" s="36"/>
      <c r="B2135" s="36"/>
      <c r="C2135" s="36"/>
      <c r="D2135" s="36"/>
      <c r="E2135" s="531"/>
      <c r="F2135" s="531"/>
      <c r="G2135" s="531"/>
    </row>
    <row r="2136" spans="1:7" x14ac:dyDescent="0.3">
      <c r="A2136" s="36"/>
      <c r="B2136" s="36"/>
      <c r="C2136" s="36"/>
      <c r="D2136" s="36"/>
      <c r="E2136" s="531"/>
      <c r="F2136" s="531"/>
      <c r="G2136" s="531"/>
    </row>
    <row r="2137" spans="1:7" x14ac:dyDescent="0.3">
      <c r="A2137" s="36"/>
      <c r="B2137" s="36"/>
      <c r="C2137" s="36"/>
      <c r="D2137" s="36"/>
      <c r="E2137" s="531"/>
      <c r="F2137" s="531"/>
      <c r="G2137" s="531"/>
    </row>
    <row r="2138" spans="1:7" x14ac:dyDescent="0.3">
      <c r="A2138" s="36"/>
      <c r="B2138" s="36"/>
      <c r="C2138" s="36"/>
      <c r="D2138" s="36"/>
      <c r="E2138" s="531"/>
      <c r="F2138" s="531"/>
      <c r="G2138" s="531"/>
    </row>
    <row r="2139" spans="1:7" x14ac:dyDescent="0.3">
      <c r="A2139" s="36"/>
      <c r="B2139" s="36"/>
      <c r="C2139" s="36"/>
      <c r="D2139" s="36"/>
      <c r="E2139" s="531"/>
      <c r="F2139" s="531"/>
      <c r="G2139" s="531"/>
    </row>
    <row r="2140" spans="1:7" x14ac:dyDescent="0.3">
      <c r="A2140" s="36"/>
      <c r="B2140" s="36"/>
      <c r="C2140" s="36"/>
      <c r="D2140" s="36"/>
      <c r="E2140" s="531"/>
      <c r="F2140" s="531"/>
      <c r="G2140" s="531"/>
    </row>
    <row r="2141" spans="1:7" x14ac:dyDescent="0.3">
      <c r="A2141" s="36"/>
      <c r="B2141" s="36"/>
      <c r="C2141" s="36"/>
      <c r="D2141" s="36"/>
      <c r="E2141" s="531"/>
      <c r="F2141" s="531"/>
      <c r="G2141" s="531"/>
    </row>
    <row r="2142" spans="1:7" x14ac:dyDescent="0.3">
      <c r="A2142" s="36"/>
      <c r="B2142" s="36"/>
      <c r="C2142" s="36"/>
      <c r="D2142" s="36"/>
      <c r="E2142" s="531"/>
      <c r="F2142" s="531"/>
      <c r="G2142" s="531"/>
    </row>
    <row r="2143" spans="1:7" x14ac:dyDescent="0.3">
      <c r="A2143" s="36"/>
      <c r="B2143" s="36"/>
      <c r="C2143" s="36"/>
      <c r="D2143" s="36"/>
      <c r="E2143" s="531"/>
      <c r="F2143" s="531"/>
      <c r="G2143" s="531"/>
    </row>
    <row r="2144" spans="1:7" x14ac:dyDescent="0.3">
      <c r="A2144" s="36"/>
      <c r="B2144" s="36"/>
      <c r="C2144" s="36"/>
      <c r="D2144" s="36"/>
      <c r="E2144" s="531"/>
      <c r="F2144" s="531"/>
      <c r="G2144" s="531"/>
    </row>
    <row r="2145" spans="1:7" x14ac:dyDescent="0.3">
      <c r="A2145" s="36"/>
      <c r="B2145" s="36"/>
      <c r="C2145" s="36"/>
      <c r="D2145" s="36"/>
      <c r="E2145" s="531"/>
      <c r="F2145" s="531"/>
      <c r="G2145" s="531"/>
    </row>
    <row r="2146" spans="1:7" x14ac:dyDescent="0.3">
      <c r="A2146" s="36"/>
      <c r="B2146" s="36"/>
      <c r="C2146" s="36"/>
      <c r="D2146" s="36"/>
      <c r="E2146" s="531"/>
      <c r="F2146" s="531"/>
      <c r="G2146" s="531"/>
    </row>
    <row r="2147" spans="1:7" x14ac:dyDescent="0.3">
      <c r="A2147" s="36"/>
      <c r="B2147" s="36"/>
      <c r="C2147" s="36"/>
      <c r="D2147" s="36"/>
      <c r="E2147" s="531"/>
      <c r="F2147" s="531"/>
      <c r="G2147" s="531"/>
    </row>
    <row r="2148" spans="1:7" x14ac:dyDescent="0.3">
      <c r="A2148" s="36"/>
      <c r="B2148" s="36"/>
      <c r="C2148" s="36"/>
      <c r="D2148" s="36"/>
      <c r="E2148" s="531"/>
      <c r="F2148" s="531"/>
      <c r="G2148" s="531"/>
    </row>
    <row r="2149" spans="1:7" x14ac:dyDescent="0.3">
      <c r="A2149" s="36"/>
      <c r="B2149" s="36"/>
      <c r="C2149" s="36"/>
      <c r="D2149" s="36"/>
      <c r="E2149" s="531"/>
      <c r="F2149" s="531"/>
      <c r="G2149" s="531"/>
    </row>
    <row r="2150" spans="1:7" x14ac:dyDescent="0.3">
      <c r="A2150" s="36"/>
      <c r="B2150" s="36"/>
      <c r="C2150" s="36"/>
      <c r="D2150" s="36"/>
      <c r="E2150" s="531"/>
      <c r="F2150" s="531"/>
      <c r="G2150" s="531"/>
    </row>
    <row r="2151" spans="1:7" x14ac:dyDescent="0.3">
      <c r="A2151" s="36"/>
      <c r="B2151" s="36"/>
      <c r="C2151" s="36"/>
      <c r="D2151" s="36"/>
      <c r="E2151" s="531"/>
      <c r="F2151" s="531"/>
      <c r="G2151" s="531"/>
    </row>
    <row r="2152" spans="1:7" x14ac:dyDescent="0.3">
      <c r="A2152" s="36"/>
      <c r="B2152" s="36"/>
      <c r="C2152" s="36"/>
      <c r="D2152" s="36"/>
      <c r="E2152" s="531"/>
      <c r="F2152" s="531"/>
      <c r="G2152" s="531"/>
    </row>
    <row r="2153" spans="1:7" x14ac:dyDescent="0.3">
      <c r="A2153" s="36"/>
      <c r="B2153" s="36"/>
      <c r="C2153" s="36"/>
      <c r="D2153" s="36"/>
      <c r="E2153" s="531"/>
      <c r="F2153" s="531"/>
      <c r="G2153" s="531"/>
    </row>
    <row r="2154" spans="1:7" x14ac:dyDescent="0.3">
      <c r="A2154" s="36"/>
      <c r="B2154" s="36"/>
      <c r="C2154" s="36"/>
      <c r="D2154" s="36"/>
      <c r="E2154" s="531"/>
      <c r="F2154" s="531"/>
      <c r="G2154" s="531"/>
    </row>
    <row r="2155" spans="1:7" x14ac:dyDescent="0.3">
      <c r="A2155" s="36"/>
      <c r="B2155" s="36"/>
      <c r="C2155" s="36"/>
      <c r="D2155" s="36"/>
      <c r="E2155" s="531"/>
      <c r="F2155" s="531"/>
      <c r="G2155" s="531"/>
    </row>
    <row r="2156" spans="1:7" x14ac:dyDescent="0.3">
      <c r="A2156" s="36"/>
      <c r="B2156" s="36"/>
      <c r="C2156" s="36"/>
      <c r="D2156" s="36"/>
      <c r="E2156" s="531"/>
      <c r="F2156" s="531"/>
      <c r="G2156" s="531"/>
    </row>
    <row r="2157" spans="1:7" x14ac:dyDescent="0.3">
      <c r="A2157" s="36"/>
      <c r="B2157" s="36"/>
      <c r="C2157" s="36"/>
      <c r="D2157" s="36"/>
      <c r="E2157" s="531"/>
      <c r="F2157" s="531"/>
      <c r="G2157" s="531"/>
    </row>
    <row r="2158" spans="1:7" x14ac:dyDescent="0.3">
      <c r="A2158" s="36"/>
      <c r="B2158" s="36"/>
      <c r="C2158" s="36"/>
      <c r="D2158" s="36"/>
      <c r="E2158" s="531"/>
      <c r="F2158" s="531"/>
      <c r="G2158" s="531"/>
    </row>
    <row r="2159" spans="1:7" x14ac:dyDescent="0.3">
      <c r="A2159" s="36"/>
      <c r="B2159" s="36"/>
      <c r="C2159" s="36"/>
      <c r="D2159" s="36"/>
      <c r="E2159" s="531"/>
      <c r="F2159" s="531"/>
      <c r="G2159" s="531"/>
    </row>
    <row r="2160" spans="1:7" x14ac:dyDescent="0.3">
      <c r="A2160" s="36"/>
      <c r="B2160" s="36"/>
      <c r="C2160" s="36"/>
      <c r="D2160" s="36"/>
      <c r="E2160" s="531"/>
      <c r="F2160" s="531"/>
      <c r="G2160" s="531"/>
    </row>
    <row r="2161" spans="1:7" x14ac:dyDescent="0.3">
      <c r="A2161" s="36"/>
      <c r="B2161" s="36"/>
      <c r="C2161" s="36"/>
      <c r="D2161" s="36"/>
      <c r="E2161" s="531"/>
      <c r="F2161" s="531"/>
      <c r="G2161" s="531"/>
    </row>
    <row r="2162" spans="1:7" x14ac:dyDescent="0.3">
      <c r="A2162" s="36"/>
      <c r="B2162" s="36"/>
      <c r="C2162" s="36"/>
      <c r="D2162" s="36"/>
      <c r="E2162" s="531"/>
      <c r="F2162" s="531"/>
      <c r="G2162" s="531"/>
    </row>
    <row r="2163" spans="1:7" x14ac:dyDescent="0.3">
      <c r="A2163" s="36"/>
      <c r="B2163" s="36"/>
      <c r="C2163" s="36"/>
      <c r="D2163" s="36"/>
      <c r="E2163" s="531"/>
      <c r="F2163" s="531"/>
      <c r="G2163" s="531"/>
    </row>
    <row r="2164" spans="1:7" x14ac:dyDescent="0.3">
      <c r="A2164" s="36"/>
      <c r="B2164" s="36"/>
      <c r="C2164" s="36"/>
      <c r="D2164" s="36"/>
      <c r="E2164" s="531"/>
      <c r="F2164" s="531"/>
      <c r="G2164" s="531"/>
    </row>
    <row r="2165" spans="1:7" x14ac:dyDescent="0.3">
      <c r="A2165" s="36"/>
      <c r="B2165" s="36"/>
      <c r="C2165" s="36"/>
      <c r="D2165" s="36"/>
      <c r="E2165" s="531"/>
      <c r="F2165" s="531"/>
      <c r="G2165" s="531"/>
    </row>
    <row r="2166" spans="1:7" x14ac:dyDescent="0.3">
      <c r="A2166" s="36"/>
      <c r="B2166" s="36"/>
      <c r="C2166" s="36"/>
      <c r="D2166" s="36"/>
      <c r="E2166" s="531"/>
      <c r="F2166" s="531"/>
      <c r="G2166" s="531"/>
    </row>
    <row r="2167" spans="1:7" x14ac:dyDescent="0.3">
      <c r="A2167" s="36"/>
      <c r="B2167" s="36"/>
      <c r="C2167" s="36"/>
      <c r="D2167" s="36"/>
      <c r="E2167" s="531"/>
      <c r="F2167" s="531"/>
      <c r="G2167" s="531"/>
    </row>
    <row r="2168" spans="1:7" x14ac:dyDescent="0.3">
      <c r="A2168" s="36"/>
      <c r="B2168" s="36"/>
      <c r="C2168" s="36"/>
      <c r="D2168" s="36"/>
      <c r="E2168" s="531"/>
      <c r="F2168" s="531"/>
      <c r="G2168" s="531"/>
    </row>
    <row r="2169" spans="1:7" x14ac:dyDescent="0.3">
      <c r="A2169" s="36"/>
      <c r="B2169" s="36"/>
      <c r="C2169" s="36"/>
      <c r="D2169" s="36"/>
      <c r="E2169" s="531"/>
      <c r="F2169" s="531"/>
      <c r="G2169" s="531"/>
    </row>
    <row r="2170" spans="1:7" x14ac:dyDescent="0.3">
      <c r="A2170" s="36"/>
      <c r="B2170" s="36"/>
      <c r="C2170" s="36"/>
      <c r="D2170" s="36"/>
      <c r="E2170" s="531"/>
      <c r="F2170" s="531"/>
      <c r="G2170" s="531"/>
    </row>
    <row r="2171" spans="1:7" x14ac:dyDescent="0.3">
      <c r="A2171" s="36"/>
      <c r="B2171" s="36"/>
      <c r="C2171" s="36"/>
      <c r="D2171" s="36"/>
      <c r="E2171" s="531"/>
      <c r="F2171" s="531"/>
      <c r="G2171" s="531"/>
    </row>
    <row r="2172" spans="1:7" x14ac:dyDescent="0.3">
      <c r="A2172" s="36"/>
      <c r="B2172" s="36"/>
      <c r="C2172" s="36"/>
      <c r="D2172" s="36"/>
      <c r="E2172" s="531"/>
      <c r="F2172" s="531"/>
      <c r="G2172" s="531"/>
    </row>
    <row r="2173" spans="1:7" x14ac:dyDescent="0.3">
      <c r="A2173" s="36"/>
      <c r="B2173" s="36"/>
      <c r="C2173" s="36"/>
      <c r="D2173" s="36"/>
      <c r="E2173" s="531"/>
      <c r="F2173" s="531"/>
      <c r="G2173" s="531"/>
    </row>
    <row r="2174" spans="1:7" x14ac:dyDescent="0.3">
      <c r="A2174" s="36"/>
      <c r="B2174" s="36"/>
      <c r="C2174" s="36"/>
      <c r="D2174" s="36"/>
      <c r="E2174" s="531"/>
      <c r="F2174" s="531"/>
      <c r="G2174" s="531"/>
    </row>
    <row r="2175" spans="1:7" x14ac:dyDescent="0.3">
      <c r="A2175" s="36"/>
      <c r="B2175" s="36"/>
      <c r="C2175" s="36"/>
      <c r="D2175" s="36"/>
      <c r="E2175" s="531"/>
      <c r="F2175" s="531"/>
      <c r="G2175" s="531"/>
    </row>
    <row r="2176" spans="1:7" x14ac:dyDescent="0.3">
      <c r="A2176" s="36"/>
      <c r="B2176" s="36"/>
      <c r="C2176" s="36"/>
      <c r="D2176" s="36"/>
      <c r="E2176" s="531"/>
      <c r="F2176" s="531"/>
      <c r="G2176" s="531"/>
    </row>
    <row r="2177" spans="1:7" x14ac:dyDescent="0.3">
      <c r="A2177" s="36"/>
      <c r="B2177" s="36"/>
      <c r="C2177" s="36"/>
      <c r="D2177" s="36"/>
      <c r="E2177" s="531"/>
      <c r="F2177" s="531"/>
      <c r="G2177" s="531"/>
    </row>
    <row r="2178" spans="1:7" x14ac:dyDescent="0.3">
      <c r="A2178" s="36"/>
      <c r="B2178" s="36"/>
      <c r="C2178" s="36"/>
      <c r="D2178" s="36"/>
      <c r="E2178" s="531"/>
      <c r="F2178" s="531"/>
      <c r="G2178" s="531"/>
    </row>
    <row r="2179" spans="1:7" x14ac:dyDescent="0.3">
      <c r="A2179" s="36"/>
      <c r="B2179" s="36"/>
      <c r="C2179" s="36"/>
      <c r="D2179" s="36"/>
      <c r="E2179" s="531"/>
      <c r="F2179" s="531"/>
      <c r="G2179" s="531"/>
    </row>
    <row r="2180" spans="1:7" x14ac:dyDescent="0.3">
      <c r="A2180" s="36"/>
      <c r="B2180" s="36"/>
      <c r="C2180" s="36"/>
      <c r="D2180" s="36"/>
      <c r="E2180" s="531"/>
      <c r="F2180" s="531"/>
      <c r="G2180" s="531"/>
    </row>
    <row r="2181" spans="1:7" x14ac:dyDescent="0.3">
      <c r="A2181" s="36"/>
      <c r="B2181" s="36"/>
      <c r="C2181" s="36"/>
      <c r="D2181" s="36"/>
      <c r="E2181" s="531"/>
      <c r="F2181" s="531"/>
      <c r="G2181" s="531"/>
    </row>
    <row r="2182" spans="1:7" x14ac:dyDescent="0.3">
      <c r="A2182" s="36"/>
      <c r="B2182" s="36"/>
      <c r="C2182" s="36"/>
      <c r="D2182" s="36"/>
      <c r="E2182" s="531"/>
      <c r="F2182" s="531"/>
      <c r="G2182" s="531"/>
    </row>
    <row r="2183" spans="1:7" x14ac:dyDescent="0.3">
      <c r="A2183" s="36"/>
      <c r="B2183" s="36"/>
      <c r="C2183" s="36"/>
      <c r="D2183" s="36"/>
      <c r="E2183" s="531"/>
      <c r="F2183" s="531"/>
      <c r="G2183" s="531"/>
    </row>
    <row r="2184" spans="1:7" x14ac:dyDescent="0.3">
      <c r="A2184" s="36"/>
      <c r="B2184" s="36"/>
      <c r="C2184" s="36"/>
      <c r="D2184" s="36"/>
      <c r="E2184" s="531"/>
      <c r="F2184" s="531"/>
      <c r="G2184" s="531"/>
    </row>
    <row r="2185" spans="1:7" x14ac:dyDescent="0.3">
      <c r="A2185" s="36"/>
      <c r="B2185" s="36"/>
      <c r="C2185" s="36"/>
      <c r="D2185" s="36"/>
      <c r="E2185" s="531"/>
      <c r="F2185" s="531"/>
      <c r="G2185" s="531"/>
    </row>
    <row r="2186" spans="1:7" x14ac:dyDescent="0.3">
      <c r="A2186" s="36"/>
      <c r="B2186" s="36"/>
      <c r="C2186" s="36"/>
      <c r="D2186" s="36"/>
      <c r="E2186" s="531"/>
      <c r="F2186" s="531"/>
      <c r="G2186" s="531"/>
    </row>
    <row r="2187" spans="1:7" x14ac:dyDescent="0.3">
      <c r="A2187" s="36"/>
      <c r="B2187" s="36"/>
      <c r="C2187" s="36"/>
      <c r="D2187" s="36"/>
      <c r="E2187" s="531"/>
      <c r="F2187" s="531"/>
      <c r="G2187" s="531"/>
    </row>
    <row r="2188" spans="1:7" x14ac:dyDescent="0.3">
      <c r="A2188" s="36"/>
      <c r="B2188" s="36"/>
      <c r="C2188" s="36"/>
      <c r="D2188" s="36"/>
      <c r="E2188" s="531"/>
      <c r="F2188" s="531"/>
      <c r="G2188" s="531"/>
    </row>
    <row r="2189" spans="1:7" x14ac:dyDescent="0.3">
      <c r="A2189" s="36"/>
      <c r="B2189" s="36"/>
      <c r="C2189" s="36"/>
      <c r="D2189" s="36"/>
      <c r="E2189" s="531"/>
      <c r="F2189" s="531"/>
      <c r="G2189" s="531"/>
    </row>
    <row r="2190" spans="1:7" x14ac:dyDescent="0.3">
      <c r="A2190" s="36"/>
      <c r="B2190" s="36"/>
      <c r="C2190" s="36"/>
      <c r="D2190" s="36"/>
      <c r="E2190" s="531"/>
      <c r="F2190" s="531"/>
      <c r="G2190" s="531"/>
    </row>
    <row r="2191" spans="1:7" x14ac:dyDescent="0.3">
      <c r="A2191" s="36"/>
      <c r="B2191" s="36"/>
      <c r="C2191" s="36"/>
      <c r="D2191" s="36"/>
      <c r="E2191" s="531"/>
      <c r="F2191" s="531"/>
      <c r="G2191" s="531"/>
    </row>
    <row r="2192" spans="1:7" x14ac:dyDescent="0.3">
      <c r="A2192" s="36"/>
      <c r="B2192" s="36"/>
      <c r="C2192" s="36"/>
      <c r="D2192" s="36"/>
      <c r="E2192" s="531"/>
      <c r="F2192" s="531"/>
      <c r="G2192" s="531"/>
    </row>
    <row r="2193" spans="1:7" x14ac:dyDescent="0.3">
      <c r="A2193" s="36"/>
      <c r="B2193" s="36"/>
      <c r="C2193" s="36"/>
      <c r="D2193" s="36"/>
      <c r="E2193" s="531"/>
      <c r="F2193" s="531"/>
      <c r="G2193" s="531"/>
    </row>
    <row r="2194" spans="1:7" x14ac:dyDescent="0.3">
      <c r="A2194" s="36"/>
      <c r="B2194" s="36"/>
      <c r="C2194" s="36"/>
      <c r="D2194" s="36"/>
      <c r="E2194" s="531"/>
      <c r="F2194" s="531"/>
      <c r="G2194" s="531"/>
    </row>
    <row r="2195" spans="1:7" x14ac:dyDescent="0.3">
      <c r="A2195" s="36"/>
      <c r="B2195" s="36"/>
      <c r="C2195" s="36"/>
      <c r="D2195" s="36"/>
      <c r="E2195" s="531"/>
      <c r="F2195" s="531"/>
      <c r="G2195" s="531"/>
    </row>
    <row r="2196" spans="1:7" x14ac:dyDescent="0.3">
      <c r="A2196" s="36"/>
      <c r="B2196" s="36"/>
      <c r="C2196" s="36"/>
      <c r="D2196" s="36"/>
      <c r="E2196" s="531"/>
      <c r="F2196" s="531"/>
      <c r="G2196" s="531"/>
    </row>
    <row r="2197" spans="1:7" x14ac:dyDescent="0.3">
      <c r="A2197" s="36"/>
      <c r="B2197" s="36"/>
      <c r="C2197" s="36"/>
      <c r="D2197" s="36"/>
      <c r="E2197" s="531"/>
      <c r="F2197" s="531"/>
      <c r="G2197" s="531"/>
    </row>
    <row r="2198" spans="1:7" x14ac:dyDescent="0.3">
      <c r="A2198" s="36"/>
      <c r="B2198" s="36"/>
      <c r="C2198" s="36"/>
      <c r="D2198" s="36"/>
      <c r="E2198" s="531"/>
      <c r="F2198" s="531"/>
      <c r="G2198" s="531"/>
    </row>
    <row r="2199" spans="1:7" x14ac:dyDescent="0.3">
      <c r="A2199" s="36"/>
      <c r="B2199" s="36"/>
      <c r="C2199" s="36"/>
      <c r="D2199" s="36"/>
      <c r="E2199" s="531"/>
      <c r="F2199" s="531"/>
      <c r="G2199" s="531"/>
    </row>
    <row r="2200" spans="1:7" x14ac:dyDescent="0.3">
      <c r="A2200" s="36"/>
      <c r="B2200" s="36"/>
      <c r="C2200" s="36"/>
      <c r="D2200" s="36"/>
      <c r="E2200" s="531"/>
      <c r="F2200" s="531"/>
      <c r="G2200" s="531"/>
    </row>
    <row r="2201" spans="1:7" x14ac:dyDescent="0.3">
      <c r="A2201" s="36"/>
      <c r="B2201" s="36"/>
      <c r="C2201" s="36"/>
      <c r="D2201" s="36"/>
      <c r="E2201" s="531"/>
      <c r="F2201" s="531"/>
      <c r="G2201" s="531"/>
    </row>
    <row r="2202" spans="1:7" x14ac:dyDescent="0.3">
      <c r="A2202" s="36"/>
      <c r="B2202" s="36"/>
      <c r="C2202" s="36"/>
      <c r="D2202" s="36"/>
      <c r="E2202" s="531"/>
      <c r="F2202" s="531"/>
      <c r="G2202" s="531"/>
    </row>
    <row r="2203" spans="1:7" x14ac:dyDescent="0.3">
      <c r="A2203" s="36"/>
      <c r="B2203" s="36"/>
      <c r="C2203" s="36"/>
      <c r="D2203" s="36"/>
      <c r="E2203" s="531"/>
      <c r="F2203" s="531"/>
      <c r="G2203" s="531"/>
    </row>
    <row r="2204" spans="1:7" x14ac:dyDescent="0.3">
      <c r="A2204" s="36"/>
      <c r="B2204" s="36"/>
      <c r="C2204" s="36"/>
      <c r="D2204" s="36"/>
      <c r="E2204" s="531"/>
      <c r="F2204" s="531"/>
      <c r="G2204" s="531"/>
    </row>
    <row r="2205" spans="1:7" x14ac:dyDescent="0.3">
      <c r="A2205" s="36"/>
      <c r="B2205" s="36"/>
      <c r="C2205" s="36"/>
      <c r="D2205" s="36"/>
      <c r="E2205" s="531"/>
      <c r="F2205" s="531"/>
      <c r="G2205" s="531"/>
    </row>
    <row r="2206" spans="1:7" x14ac:dyDescent="0.3">
      <c r="A2206" s="36"/>
      <c r="B2206" s="36"/>
      <c r="C2206" s="36"/>
      <c r="D2206" s="36"/>
      <c r="E2206" s="531"/>
      <c r="F2206" s="531"/>
      <c r="G2206" s="531"/>
    </row>
    <row r="2207" spans="1:7" x14ac:dyDescent="0.3">
      <c r="A2207" s="36"/>
      <c r="B2207" s="36"/>
      <c r="C2207" s="36"/>
      <c r="D2207" s="36"/>
      <c r="E2207" s="531"/>
      <c r="F2207" s="531"/>
      <c r="G2207" s="531"/>
    </row>
    <row r="2208" spans="1:7" x14ac:dyDescent="0.3">
      <c r="A2208" s="36"/>
      <c r="B2208" s="36"/>
      <c r="C2208" s="36"/>
      <c r="D2208" s="36"/>
      <c r="E2208" s="531"/>
      <c r="F2208" s="531"/>
      <c r="G2208" s="531"/>
    </row>
    <row r="2209" spans="1:7" x14ac:dyDescent="0.3">
      <c r="A2209" s="36"/>
      <c r="B2209" s="36"/>
      <c r="C2209" s="36"/>
      <c r="D2209" s="36"/>
      <c r="E2209" s="531"/>
      <c r="F2209" s="531"/>
      <c r="G2209" s="531"/>
    </row>
    <row r="2210" spans="1:7" x14ac:dyDescent="0.3">
      <c r="A2210" s="36"/>
      <c r="B2210" s="36"/>
      <c r="C2210" s="36"/>
      <c r="D2210" s="36"/>
      <c r="E2210" s="531"/>
      <c r="F2210" s="531"/>
      <c r="G2210" s="531"/>
    </row>
    <row r="2211" spans="1:7" x14ac:dyDescent="0.3">
      <c r="A2211" s="36"/>
      <c r="B2211" s="36"/>
      <c r="C2211" s="36"/>
      <c r="D2211" s="36"/>
      <c r="E2211" s="531"/>
      <c r="F2211" s="531"/>
      <c r="G2211" s="531"/>
    </row>
    <row r="2212" spans="1:7" x14ac:dyDescent="0.3">
      <c r="A2212" s="36"/>
      <c r="B2212" s="36"/>
      <c r="C2212" s="36"/>
      <c r="D2212" s="36"/>
      <c r="E2212" s="531"/>
      <c r="F2212" s="531"/>
      <c r="G2212" s="531"/>
    </row>
    <row r="2213" spans="1:7" x14ac:dyDescent="0.3">
      <c r="A2213" s="36"/>
      <c r="B2213" s="36"/>
      <c r="C2213" s="36"/>
      <c r="D2213" s="36"/>
      <c r="E2213" s="531"/>
      <c r="F2213" s="531"/>
      <c r="G2213" s="531"/>
    </row>
    <row r="2214" spans="1:7" x14ac:dyDescent="0.3">
      <c r="A2214" s="36"/>
      <c r="B2214" s="36"/>
      <c r="C2214" s="36"/>
      <c r="D2214" s="36"/>
      <c r="E2214" s="531"/>
      <c r="F2214" s="531"/>
      <c r="G2214" s="531"/>
    </row>
    <row r="2215" spans="1:7" x14ac:dyDescent="0.3">
      <c r="A2215" s="36"/>
      <c r="B2215" s="36"/>
      <c r="C2215" s="36"/>
      <c r="D2215" s="36"/>
      <c r="E2215" s="531"/>
      <c r="F2215" s="531"/>
      <c r="G2215" s="531"/>
    </row>
    <row r="2216" spans="1:7" x14ac:dyDescent="0.3">
      <c r="A2216" s="36"/>
      <c r="B2216" s="36"/>
      <c r="C2216" s="36"/>
      <c r="D2216" s="36"/>
      <c r="E2216" s="531"/>
      <c r="F2216" s="531"/>
      <c r="G2216" s="531"/>
    </row>
    <row r="2217" spans="1:7" x14ac:dyDescent="0.3">
      <c r="A2217" s="36"/>
      <c r="B2217" s="36"/>
      <c r="C2217" s="36"/>
      <c r="D2217" s="36"/>
      <c r="E2217" s="531"/>
      <c r="F2217" s="531"/>
      <c r="G2217" s="531"/>
    </row>
    <row r="2218" spans="1:7" x14ac:dyDescent="0.3">
      <c r="A2218" s="36"/>
      <c r="B2218" s="36"/>
      <c r="C2218" s="36"/>
      <c r="D2218" s="36"/>
      <c r="E2218" s="531"/>
      <c r="F2218" s="531"/>
      <c r="G2218" s="531"/>
    </row>
    <row r="2219" spans="1:7" x14ac:dyDescent="0.3">
      <c r="A2219" s="36"/>
      <c r="B2219" s="36"/>
      <c r="C2219" s="36"/>
      <c r="D2219" s="36"/>
      <c r="E2219" s="531"/>
      <c r="F2219" s="531"/>
      <c r="G2219" s="531"/>
    </row>
    <row r="2220" spans="1:7" x14ac:dyDescent="0.3">
      <c r="A2220" s="36"/>
      <c r="B2220" s="36"/>
      <c r="C2220" s="36"/>
      <c r="D2220" s="36"/>
      <c r="E2220" s="531"/>
      <c r="F2220" s="531"/>
      <c r="G2220" s="531"/>
    </row>
    <row r="2221" spans="1:7" x14ac:dyDescent="0.3">
      <c r="A2221" s="36"/>
      <c r="B2221" s="36"/>
      <c r="C2221" s="36"/>
      <c r="D2221" s="36"/>
      <c r="E2221" s="531"/>
      <c r="F2221" s="531"/>
      <c r="G2221" s="531"/>
    </row>
    <row r="2222" spans="1:7" x14ac:dyDescent="0.3">
      <c r="A2222" s="36"/>
      <c r="B2222" s="36"/>
      <c r="C2222" s="36"/>
      <c r="D2222" s="36"/>
      <c r="E2222" s="531"/>
      <c r="F2222" s="531"/>
      <c r="G2222" s="531"/>
    </row>
    <row r="2223" spans="1:7" x14ac:dyDescent="0.3">
      <c r="A2223" s="36"/>
      <c r="B2223" s="36"/>
      <c r="C2223" s="36"/>
      <c r="D2223" s="36"/>
      <c r="E2223" s="531"/>
      <c r="F2223" s="531"/>
      <c r="G2223" s="531"/>
    </row>
    <row r="2224" spans="1:7" x14ac:dyDescent="0.3">
      <c r="A2224" s="36"/>
      <c r="B2224" s="36"/>
      <c r="C2224" s="36"/>
      <c r="D2224" s="36"/>
      <c r="E2224" s="531"/>
      <c r="F2224" s="531"/>
      <c r="G2224" s="531"/>
    </row>
    <row r="2225" spans="1:7" x14ac:dyDescent="0.3">
      <c r="A2225" s="36"/>
      <c r="B2225" s="36"/>
      <c r="C2225" s="36"/>
      <c r="D2225" s="36"/>
      <c r="E2225" s="531"/>
      <c r="F2225" s="531"/>
      <c r="G2225" s="531"/>
    </row>
    <row r="2226" spans="1:7" x14ac:dyDescent="0.3">
      <c r="A2226" s="36"/>
      <c r="B2226" s="36"/>
      <c r="C2226" s="36"/>
      <c r="D2226" s="36"/>
      <c r="E2226" s="531"/>
      <c r="F2226" s="531"/>
      <c r="G2226" s="531"/>
    </row>
    <row r="2227" spans="1:7" x14ac:dyDescent="0.3">
      <c r="A2227" s="36"/>
      <c r="B2227" s="36"/>
      <c r="C2227" s="36"/>
      <c r="D2227" s="36"/>
      <c r="E2227" s="531"/>
      <c r="F2227" s="531"/>
      <c r="G2227" s="531"/>
    </row>
    <row r="2228" spans="1:7" x14ac:dyDescent="0.3">
      <c r="A2228" s="36"/>
      <c r="B2228" s="36"/>
      <c r="C2228" s="36"/>
      <c r="D2228" s="36"/>
      <c r="E2228" s="531"/>
      <c r="F2228" s="531"/>
      <c r="G2228" s="531"/>
    </row>
    <row r="2229" spans="1:7" x14ac:dyDescent="0.3">
      <c r="A2229" s="36"/>
      <c r="B2229" s="36"/>
      <c r="C2229" s="36"/>
      <c r="D2229" s="36"/>
      <c r="E2229" s="531"/>
      <c r="F2229" s="531"/>
      <c r="G2229" s="531"/>
    </row>
    <row r="2230" spans="1:7" x14ac:dyDescent="0.3">
      <c r="A2230" s="36"/>
      <c r="B2230" s="36"/>
      <c r="C2230" s="36"/>
      <c r="D2230" s="36"/>
      <c r="E2230" s="531"/>
      <c r="F2230" s="531"/>
      <c r="G2230" s="531"/>
    </row>
    <row r="2231" spans="1:7" x14ac:dyDescent="0.3">
      <c r="A2231" s="36"/>
      <c r="B2231" s="36"/>
      <c r="C2231" s="36"/>
      <c r="D2231" s="36"/>
      <c r="E2231" s="531"/>
      <c r="F2231" s="531"/>
      <c r="G2231" s="531"/>
    </row>
    <row r="2232" spans="1:7" x14ac:dyDescent="0.3">
      <c r="A2232" s="36"/>
      <c r="B2232" s="36"/>
      <c r="C2232" s="36"/>
      <c r="D2232" s="36"/>
      <c r="E2232" s="531"/>
      <c r="F2232" s="531"/>
      <c r="G2232" s="531"/>
    </row>
    <row r="2233" spans="1:7" x14ac:dyDescent="0.3">
      <c r="A2233" s="36"/>
      <c r="B2233" s="36"/>
      <c r="C2233" s="36"/>
      <c r="D2233" s="36"/>
      <c r="E2233" s="531"/>
      <c r="F2233" s="531"/>
      <c r="G2233" s="531"/>
    </row>
    <row r="2234" spans="1:7" x14ac:dyDescent="0.3">
      <c r="A2234" s="36"/>
      <c r="B2234" s="36"/>
      <c r="C2234" s="36"/>
      <c r="D2234" s="36"/>
      <c r="E2234" s="531"/>
      <c r="F2234" s="531"/>
      <c r="G2234" s="531"/>
    </row>
    <row r="2235" spans="1:7" x14ac:dyDescent="0.3">
      <c r="A2235" s="36"/>
      <c r="B2235" s="36"/>
      <c r="C2235" s="36"/>
      <c r="D2235" s="36"/>
      <c r="E2235" s="531"/>
      <c r="F2235" s="531"/>
      <c r="G2235" s="531"/>
    </row>
    <row r="2236" spans="1:7" x14ac:dyDescent="0.3">
      <c r="A2236" s="36"/>
      <c r="B2236" s="36"/>
      <c r="C2236" s="36"/>
      <c r="D2236" s="36"/>
      <c r="E2236" s="531"/>
      <c r="F2236" s="531"/>
      <c r="G2236" s="531"/>
    </row>
    <row r="2237" spans="1:7" x14ac:dyDescent="0.3">
      <c r="A2237" s="36"/>
      <c r="B2237" s="36"/>
      <c r="C2237" s="36"/>
      <c r="D2237" s="36"/>
      <c r="E2237" s="531"/>
      <c r="F2237" s="531"/>
      <c r="G2237" s="531"/>
    </row>
    <row r="2238" spans="1:7" x14ac:dyDescent="0.3">
      <c r="A2238" s="36"/>
      <c r="B2238" s="36"/>
      <c r="C2238" s="36"/>
      <c r="D2238" s="36"/>
      <c r="E2238" s="531"/>
      <c r="F2238" s="531"/>
      <c r="G2238" s="531"/>
    </row>
    <row r="2239" spans="1:7" x14ac:dyDescent="0.3">
      <c r="A2239" s="36"/>
      <c r="B2239" s="36"/>
      <c r="C2239" s="36"/>
      <c r="D2239" s="36"/>
      <c r="E2239" s="531"/>
      <c r="F2239" s="531"/>
      <c r="G2239" s="531"/>
    </row>
    <row r="2240" spans="1:7" x14ac:dyDescent="0.3">
      <c r="A2240" s="36"/>
      <c r="B2240" s="36"/>
      <c r="C2240" s="36"/>
      <c r="D2240" s="36"/>
      <c r="E2240" s="531"/>
      <c r="F2240" s="531"/>
      <c r="G2240" s="531"/>
    </row>
    <row r="2241" spans="1:7" x14ac:dyDescent="0.3">
      <c r="A2241" s="36"/>
      <c r="B2241" s="36"/>
      <c r="C2241" s="36"/>
      <c r="D2241" s="36"/>
      <c r="E2241" s="531"/>
      <c r="F2241" s="531"/>
      <c r="G2241" s="531"/>
    </row>
    <row r="2242" spans="1:7" x14ac:dyDescent="0.3">
      <c r="A2242" s="36"/>
      <c r="B2242" s="36"/>
      <c r="C2242" s="36"/>
      <c r="D2242" s="36"/>
      <c r="E2242" s="531"/>
      <c r="F2242" s="531"/>
      <c r="G2242" s="531"/>
    </row>
    <row r="2243" spans="1:7" x14ac:dyDescent="0.3">
      <c r="A2243" s="36"/>
      <c r="B2243" s="36"/>
      <c r="C2243" s="36"/>
      <c r="D2243" s="36"/>
      <c r="E2243" s="531"/>
      <c r="F2243" s="531"/>
      <c r="G2243" s="531"/>
    </row>
    <row r="2244" spans="1:7" x14ac:dyDescent="0.3">
      <c r="A2244" s="36"/>
      <c r="B2244" s="36"/>
      <c r="C2244" s="36"/>
      <c r="D2244" s="36"/>
      <c r="E2244" s="531"/>
      <c r="F2244" s="531"/>
      <c r="G2244" s="531"/>
    </row>
    <row r="2245" spans="1:7" x14ac:dyDescent="0.3">
      <c r="A2245" s="36"/>
      <c r="B2245" s="36"/>
      <c r="C2245" s="36"/>
      <c r="D2245" s="36"/>
      <c r="E2245" s="531"/>
      <c r="F2245" s="531"/>
      <c r="G2245" s="531"/>
    </row>
    <row r="2246" spans="1:7" x14ac:dyDescent="0.3">
      <c r="A2246" s="36"/>
      <c r="B2246" s="36"/>
      <c r="C2246" s="36"/>
      <c r="D2246" s="36"/>
      <c r="E2246" s="531"/>
      <c r="F2246" s="531"/>
      <c r="G2246" s="531"/>
    </row>
    <row r="2247" spans="1:7" x14ac:dyDescent="0.3">
      <c r="A2247" s="36"/>
      <c r="B2247" s="36"/>
      <c r="C2247" s="36"/>
      <c r="D2247" s="36"/>
      <c r="E2247" s="531"/>
      <c r="F2247" s="531"/>
      <c r="G2247" s="531"/>
    </row>
    <row r="2248" spans="1:7" x14ac:dyDescent="0.3">
      <c r="A2248" s="36"/>
      <c r="B2248" s="36"/>
      <c r="C2248" s="36"/>
      <c r="D2248" s="36"/>
      <c r="E2248" s="531"/>
      <c r="F2248" s="531"/>
      <c r="G2248" s="531"/>
    </row>
    <row r="2249" spans="1:7" x14ac:dyDescent="0.3">
      <c r="A2249" s="36"/>
      <c r="B2249" s="36"/>
      <c r="C2249" s="36"/>
      <c r="D2249" s="36"/>
      <c r="E2249" s="531"/>
      <c r="F2249" s="531"/>
      <c r="G2249" s="531"/>
    </row>
    <row r="2250" spans="1:7" x14ac:dyDescent="0.3">
      <c r="A2250" s="36"/>
      <c r="B2250" s="36"/>
      <c r="C2250" s="36"/>
      <c r="D2250" s="36"/>
      <c r="E2250" s="531"/>
      <c r="F2250" s="531"/>
      <c r="G2250" s="531"/>
    </row>
    <row r="2251" spans="1:7" x14ac:dyDescent="0.3">
      <c r="A2251" s="36"/>
      <c r="B2251" s="36"/>
      <c r="C2251" s="36"/>
      <c r="D2251" s="36"/>
      <c r="E2251" s="531"/>
      <c r="F2251" s="531"/>
      <c r="G2251" s="531"/>
    </row>
    <row r="2252" spans="1:7" x14ac:dyDescent="0.3">
      <c r="A2252" s="36"/>
      <c r="B2252" s="36"/>
      <c r="C2252" s="36"/>
      <c r="D2252" s="36"/>
      <c r="E2252" s="531"/>
      <c r="F2252" s="531"/>
      <c r="G2252" s="531"/>
    </row>
    <row r="2253" spans="1:7" x14ac:dyDescent="0.3">
      <c r="A2253" s="36"/>
      <c r="B2253" s="36"/>
      <c r="C2253" s="36"/>
      <c r="D2253" s="36"/>
      <c r="E2253" s="531"/>
      <c r="F2253" s="531"/>
      <c r="G2253" s="531"/>
    </row>
    <row r="2254" spans="1:7" x14ac:dyDescent="0.3">
      <c r="A2254" s="36"/>
      <c r="B2254" s="36"/>
      <c r="C2254" s="36"/>
      <c r="D2254" s="36"/>
      <c r="E2254" s="531"/>
      <c r="F2254" s="531"/>
      <c r="G2254" s="531"/>
    </row>
    <row r="2255" spans="1:7" x14ac:dyDescent="0.3">
      <c r="A2255" s="36"/>
      <c r="B2255" s="36"/>
      <c r="C2255" s="36"/>
      <c r="D2255" s="36"/>
      <c r="E2255" s="531"/>
      <c r="F2255" s="531"/>
      <c r="G2255" s="531"/>
    </row>
    <row r="2256" spans="1:7" x14ac:dyDescent="0.3">
      <c r="A2256" s="36"/>
      <c r="B2256" s="36"/>
      <c r="C2256" s="36"/>
      <c r="D2256" s="36"/>
      <c r="E2256" s="531"/>
      <c r="F2256" s="531"/>
      <c r="G2256" s="531"/>
    </row>
    <row r="2257" spans="1:7" x14ac:dyDescent="0.3">
      <c r="A2257" s="36"/>
      <c r="B2257" s="36"/>
      <c r="C2257" s="36"/>
      <c r="D2257" s="36"/>
      <c r="E2257" s="531"/>
      <c r="F2257" s="531"/>
      <c r="G2257" s="531"/>
    </row>
    <row r="2258" spans="1:7" x14ac:dyDescent="0.3">
      <c r="A2258" s="36"/>
      <c r="B2258" s="36"/>
      <c r="C2258" s="36"/>
      <c r="D2258" s="36"/>
      <c r="E2258" s="531"/>
      <c r="F2258" s="531"/>
      <c r="G2258" s="531"/>
    </row>
    <row r="2259" spans="1:7" x14ac:dyDescent="0.3">
      <c r="A2259" s="36"/>
      <c r="B2259" s="36"/>
      <c r="C2259" s="36"/>
      <c r="D2259" s="36"/>
      <c r="E2259" s="531"/>
      <c r="F2259" s="531"/>
      <c r="G2259" s="531"/>
    </row>
    <row r="2260" spans="1:7" x14ac:dyDescent="0.3">
      <c r="A2260" s="36"/>
      <c r="B2260" s="36"/>
      <c r="C2260" s="36"/>
      <c r="D2260" s="36"/>
      <c r="E2260" s="531"/>
      <c r="F2260" s="531"/>
      <c r="G2260" s="531"/>
    </row>
    <row r="2261" spans="1:7" x14ac:dyDescent="0.3">
      <c r="A2261" s="36"/>
      <c r="B2261" s="36"/>
      <c r="C2261" s="36"/>
      <c r="D2261" s="36"/>
      <c r="E2261" s="531"/>
      <c r="F2261" s="531"/>
      <c r="G2261" s="531"/>
    </row>
    <row r="2262" spans="1:7" x14ac:dyDescent="0.3">
      <c r="A2262" s="36"/>
      <c r="B2262" s="36"/>
      <c r="C2262" s="36"/>
      <c r="D2262" s="36"/>
      <c r="E2262" s="531"/>
      <c r="F2262" s="531"/>
      <c r="G2262" s="531"/>
    </row>
    <row r="2263" spans="1:7" x14ac:dyDescent="0.3">
      <c r="A2263" s="36"/>
      <c r="B2263" s="36"/>
      <c r="C2263" s="36"/>
      <c r="D2263" s="36"/>
      <c r="E2263" s="531"/>
      <c r="F2263" s="531"/>
      <c r="G2263" s="531"/>
    </row>
    <row r="2264" spans="1:7" x14ac:dyDescent="0.3">
      <c r="A2264" s="36"/>
      <c r="B2264" s="36"/>
      <c r="C2264" s="36"/>
      <c r="D2264" s="36"/>
      <c r="E2264" s="531"/>
      <c r="F2264" s="531"/>
      <c r="G2264" s="531"/>
    </row>
    <row r="2265" spans="1:7" x14ac:dyDescent="0.3">
      <c r="A2265" s="36"/>
      <c r="B2265" s="36"/>
      <c r="C2265" s="36"/>
      <c r="D2265" s="36"/>
      <c r="E2265" s="531"/>
      <c r="F2265" s="531"/>
      <c r="G2265" s="531"/>
    </row>
    <row r="2266" spans="1:7" x14ac:dyDescent="0.3">
      <c r="A2266" s="36"/>
      <c r="B2266" s="36"/>
      <c r="C2266" s="36"/>
      <c r="D2266" s="36"/>
      <c r="E2266" s="531"/>
      <c r="F2266" s="531"/>
      <c r="G2266" s="531"/>
    </row>
    <row r="2267" spans="1:7" x14ac:dyDescent="0.3">
      <c r="A2267" s="36"/>
      <c r="B2267" s="36"/>
      <c r="C2267" s="36"/>
      <c r="D2267" s="36"/>
      <c r="E2267" s="531"/>
      <c r="F2267" s="531"/>
      <c r="G2267" s="531"/>
    </row>
    <row r="2268" spans="1:7" x14ac:dyDescent="0.3">
      <c r="A2268" s="36"/>
      <c r="B2268" s="36"/>
      <c r="C2268" s="36"/>
      <c r="D2268" s="36"/>
      <c r="E2268" s="531"/>
      <c r="F2268" s="531"/>
      <c r="G2268" s="531"/>
    </row>
    <row r="2269" spans="1:7" x14ac:dyDescent="0.3">
      <c r="A2269" s="36"/>
      <c r="B2269" s="36"/>
      <c r="C2269" s="36"/>
      <c r="D2269" s="36"/>
      <c r="E2269" s="531"/>
      <c r="F2269" s="531"/>
      <c r="G2269" s="531"/>
    </row>
    <row r="2270" spans="1:7" x14ac:dyDescent="0.3">
      <c r="A2270" s="36"/>
      <c r="B2270" s="36"/>
      <c r="C2270" s="36"/>
      <c r="D2270" s="36"/>
      <c r="E2270" s="531"/>
      <c r="F2270" s="531"/>
      <c r="G2270" s="531"/>
    </row>
    <row r="2271" spans="1:7" x14ac:dyDescent="0.3">
      <c r="A2271" s="36"/>
      <c r="B2271" s="36"/>
      <c r="C2271" s="36"/>
      <c r="D2271" s="36"/>
      <c r="E2271" s="531"/>
      <c r="F2271" s="531"/>
      <c r="G2271" s="531"/>
    </row>
    <row r="2272" spans="1:7" x14ac:dyDescent="0.3">
      <c r="A2272" s="36"/>
      <c r="B2272" s="36"/>
      <c r="C2272" s="36"/>
      <c r="D2272" s="36"/>
      <c r="E2272" s="531"/>
      <c r="F2272" s="531"/>
      <c r="G2272" s="531"/>
    </row>
    <row r="2273" spans="1:7" x14ac:dyDescent="0.3">
      <c r="A2273" s="36"/>
      <c r="B2273" s="36"/>
      <c r="C2273" s="36"/>
      <c r="D2273" s="36"/>
      <c r="E2273" s="531"/>
      <c r="F2273" s="531"/>
      <c r="G2273" s="531"/>
    </row>
    <row r="2274" spans="1:7" x14ac:dyDescent="0.3">
      <c r="A2274" s="36"/>
      <c r="B2274" s="36"/>
      <c r="C2274" s="36"/>
      <c r="D2274" s="36"/>
      <c r="E2274" s="531"/>
      <c r="F2274" s="531"/>
      <c r="G2274" s="531"/>
    </row>
    <row r="2275" spans="1:7" x14ac:dyDescent="0.3">
      <c r="A2275" s="36"/>
      <c r="B2275" s="36"/>
      <c r="C2275" s="36"/>
      <c r="D2275" s="36"/>
      <c r="E2275" s="531"/>
      <c r="F2275" s="531"/>
      <c r="G2275" s="531"/>
    </row>
    <row r="2276" spans="1:7" x14ac:dyDescent="0.3">
      <c r="A2276" s="36"/>
      <c r="B2276" s="36"/>
      <c r="C2276" s="36"/>
      <c r="D2276" s="36"/>
      <c r="E2276" s="531"/>
      <c r="F2276" s="531"/>
      <c r="G2276" s="531"/>
    </row>
    <row r="2277" spans="1:7" x14ac:dyDescent="0.3">
      <c r="A2277" s="36"/>
      <c r="B2277" s="36"/>
      <c r="C2277" s="36"/>
      <c r="D2277" s="36"/>
      <c r="E2277" s="531"/>
      <c r="F2277" s="531"/>
      <c r="G2277" s="531"/>
    </row>
    <row r="2278" spans="1:7" x14ac:dyDescent="0.3">
      <c r="A2278" s="36"/>
      <c r="B2278" s="36"/>
      <c r="C2278" s="36"/>
      <c r="D2278" s="36"/>
      <c r="E2278" s="531"/>
      <c r="F2278" s="531"/>
      <c r="G2278" s="531"/>
    </row>
    <row r="2279" spans="1:7" x14ac:dyDescent="0.3">
      <c r="A2279" s="36"/>
      <c r="B2279" s="36"/>
      <c r="C2279" s="36"/>
      <c r="D2279" s="36"/>
      <c r="E2279" s="531"/>
      <c r="F2279" s="531"/>
      <c r="G2279" s="531"/>
    </row>
    <row r="2280" spans="1:7" x14ac:dyDescent="0.3">
      <c r="A2280" s="36"/>
      <c r="B2280" s="36"/>
      <c r="C2280" s="36"/>
      <c r="D2280" s="36"/>
      <c r="E2280" s="531"/>
      <c r="F2280" s="531"/>
      <c r="G2280" s="531"/>
    </row>
    <row r="2281" spans="1:7" x14ac:dyDescent="0.3">
      <c r="A2281" s="36"/>
      <c r="B2281" s="36"/>
      <c r="C2281" s="36"/>
      <c r="D2281" s="36"/>
      <c r="E2281" s="531"/>
      <c r="F2281" s="531"/>
      <c r="G2281" s="531"/>
    </row>
    <row r="2282" spans="1:7" x14ac:dyDescent="0.3">
      <c r="A2282" s="36"/>
      <c r="B2282" s="36"/>
      <c r="C2282" s="36"/>
      <c r="D2282" s="36"/>
      <c r="E2282" s="531"/>
      <c r="F2282" s="531"/>
      <c r="G2282" s="531"/>
    </row>
    <row r="2283" spans="1:7" x14ac:dyDescent="0.3">
      <c r="A2283" s="36"/>
      <c r="B2283" s="36"/>
      <c r="C2283" s="36"/>
      <c r="D2283" s="36"/>
      <c r="E2283" s="531"/>
      <c r="F2283" s="531"/>
      <c r="G2283" s="531"/>
    </row>
    <row r="2284" spans="1:7" x14ac:dyDescent="0.3">
      <c r="A2284" s="36"/>
      <c r="B2284" s="36"/>
      <c r="C2284" s="36"/>
      <c r="D2284" s="36"/>
      <c r="E2284" s="531"/>
      <c r="F2284" s="531"/>
      <c r="G2284" s="531"/>
    </row>
    <row r="2285" spans="1:7" x14ac:dyDescent="0.3">
      <c r="A2285" s="36"/>
      <c r="B2285" s="36"/>
      <c r="C2285" s="36"/>
      <c r="D2285" s="36"/>
      <c r="E2285" s="531"/>
      <c r="F2285" s="531"/>
      <c r="G2285" s="531"/>
    </row>
    <row r="2286" spans="1:7" x14ac:dyDescent="0.3">
      <c r="A2286" s="36"/>
      <c r="B2286" s="36"/>
      <c r="C2286" s="36"/>
      <c r="D2286" s="36"/>
      <c r="E2286" s="531"/>
      <c r="F2286" s="531"/>
      <c r="G2286" s="531"/>
    </row>
    <row r="2287" spans="1:7" x14ac:dyDescent="0.3">
      <c r="A2287" s="36"/>
      <c r="B2287" s="36"/>
      <c r="C2287" s="36"/>
      <c r="D2287" s="36"/>
      <c r="E2287" s="531"/>
      <c r="F2287" s="531"/>
      <c r="G2287" s="531"/>
    </row>
    <row r="2288" spans="1:7" x14ac:dyDescent="0.3">
      <c r="A2288" s="36"/>
      <c r="B2288" s="36"/>
      <c r="C2288" s="36"/>
      <c r="D2288" s="36"/>
      <c r="E2288" s="531"/>
      <c r="F2288" s="531"/>
      <c r="G2288" s="531"/>
    </row>
    <row r="2289" spans="1:7" x14ac:dyDescent="0.3">
      <c r="A2289" s="36"/>
      <c r="B2289" s="36"/>
      <c r="C2289" s="36"/>
      <c r="D2289" s="36"/>
      <c r="E2289" s="531"/>
      <c r="F2289" s="531"/>
      <c r="G2289" s="531"/>
    </row>
    <row r="2290" spans="1:7" x14ac:dyDescent="0.3">
      <c r="A2290" s="36"/>
      <c r="B2290" s="36"/>
      <c r="C2290" s="36"/>
      <c r="D2290" s="36"/>
      <c r="E2290" s="531"/>
      <c r="F2290" s="531"/>
      <c r="G2290" s="531"/>
    </row>
    <row r="2291" spans="1:7" x14ac:dyDescent="0.3">
      <c r="A2291" s="36"/>
      <c r="B2291" s="36"/>
      <c r="C2291" s="36"/>
      <c r="D2291" s="36"/>
      <c r="E2291" s="531"/>
      <c r="F2291" s="531"/>
      <c r="G2291" s="531"/>
    </row>
    <row r="2292" spans="1:7" x14ac:dyDescent="0.3">
      <c r="A2292" s="36"/>
      <c r="B2292" s="36"/>
      <c r="C2292" s="36"/>
      <c r="D2292" s="36"/>
      <c r="E2292" s="531"/>
      <c r="F2292" s="531"/>
      <c r="G2292" s="531"/>
    </row>
    <row r="2293" spans="1:7" x14ac:dyDescent="0.3">
      <c r="A2293" s="36"/>
      <c r="B2293" s="36"/>
      <c r="C2293" s="36"/>
      <c r="D2293" s="36"/>
      <c r="E2293" s="531"/>
      <c r="F2293" s="531"/>
      <c r="G2293" s="531"/>
    </row>
    <row r="2294" spans="1:7" x14ac:dyDescent="0.3">
      <c r="A2294" s="36"/>
      <c r="B2294" s="36"/>
      <c r="C2294" s="36"/>
      <c r="D2294" s="36"/>
      <c r="E2294" s="531"/>
      <c r="F2294" s="531"/>
      <c r="G2294" s="531"/>
    </row>
    <row r="2295" spans="1:7" x14ac:dyDescent="0.3">
      <c r="A2295" s="36"/>
      <c r="B2295" s="36"/>
      <c r="C2295" s="36"/>
      <c r="D2295" s="36"/>
      <c r="E2295" s="531"/>
      <c r="F2295" s="531"/>
      <c r="G2295" s="531"/>
    </row>
    <row r="2296" spans="1:7" x14ac:dyDescent="0.3">
      <c r="A2296" s="36"/>
      <c r="B2296" s="36"/>
      <c r="C2296" s="36"/>
      <c r="D2296" s="36"/>
      <c r="E2296" s="531"/>
      <c r="F2296" s="531"/>
      <c r="G2296" s="531"/>
    </row>
    <row r="2297" spans="1:7" x14ac:dyDescent="0.3">
      <c r="A2297" s="36"/>
      <c r="B2297" s="36"/>
      <c r="C2297" s="36"/>
      <c r="D2297" s="36"/>
      <c r="E2297" s="531"/>
      <c r="F2297" s="531"/>
      <c r="G2297" s="531"/>
    </row>
    <row r="2298" spans="1:7" x14ac:dyDescent="0.3">
      <c r="A2298" s="36"/>
      <c r="B2298" s="36"/>
      <c r="C2298" s="36"/>
      <c r="D2298" s="36"/>
      <c r="E2298" s="531"/>
      <c r="F2298" s="531"/>
      <c r="G2298" s="531"/>
    </row>
    <row r="2299" spans="1:7" x14ac:dyDescent="0.3">
      <c r="A2299" s="36"/>
      <c r="B2299" s="36"/>
      <c r="C2299" s="36"/>
      <c r="D2299" s="36"/>
      <c r="E2299" s="531"/>
      <c r="F2299" s="531"/>
      <c r="G2299" s="531"/>
    </row>
    <row r="2300" spans="1:7" x14ac:dyDescent="0.3">
      <c r="A2300" s="36"/>
      <c r="B2300" s="36"/>
      <c r="C2300" s="36"/>
      <c r="D2300" s="36"/>
      <c r="E2300" s="531"/>
      <c r="F2300" s="531"/>
      <c r="G2300" s="531"/>
    </row>
    <row r="2301" spans="1:7" x14ac:dyDescent="0.3">
      <c r="A2301" s="36"/>
      <c r="B2301" s="36"/>
      <c r="C2301" s="36"/>
      <c r="D2301" s="36"/>
      <c r="E2301" s="531"/>
      <c r="F2301" s="531"/>
      <c r="G2301" s="531"/>
    </row>
    <row r="2302" spans="1:7" x14ac:dyDescent="0.3">
      <c r="A2302" s="36"/>
      <c r="B2302" s="36"/>
      <c r="C2302" s="36"/>
      <c r="D2302" s="36"/>
      <c r="E2302" s="531"/>
      <c r="F2302" s="531"/>
      <c r="G2302" s="531"/>
    </row>
    <row r="2303" spans="1:7" x14ac:dyDescent="0.3">
      <c r="A2303" s="36"/>
      <c r="B2303" s="36"/>
      <c r="C2303" s="36"/>
      <c r="D2303" s="36"/>
      <c r="E2303" s="531"/>
      <c r="F2303" s="531"/>
      <c r="G2303" s="531"/>
    </row>
    <row r="2304" spans="1:7" x14ac:dyDescent="0.3">
      <c r="A2304" s="36"/>
      <c r="B2304" s="36"/>
      <c r="C2304" s="36"/>
      <c r="D2304" s="36"/>
      <c r="E2304" s="531"/>
      <c r="F2304" s="531"/>
      <c r="G2304" s="531"/>
    </row>
    <row r="2305" spans="1:7" x14ac:dyDescent="0.3">
      <c r="A2305" s="36"/>
      <c r="B2305" s="36"/>
      <c r="C2305" s="36"/>
      <c r="D2305" s="36"/>
      <c r="E2305" s="531"/>
      <c r="F2305" s="531"/>
      <c r="G2305" s="531"/>
    </row>
    <row r="2306" spans="1:7" x14ac:dyDescent="0.3">
      <c r="A2306" s="36"/>
      <c r="B2306" s="36"/>
      <c r="C2306" s="36"/>
      <c r="D2306" s="36"/>
      <c r="E2306" s="531"/>
      <c r="F2306" s="531"/>
      <c r="G2306" s="531"/>
    </row>
    <row r="2307" spans="1:7" x14ac:dyDescent="0.3">
      <c r="A2307" s="36"/>
      <c r="B2307" s="36"/>
      <c r="C2307" s="36"/>
      <c r="D2307" s="36"/>
      <c r="E2307" s="531"/>
      <c r="F2307" s="531"/>
      <c r="G2307" s="531"/>
    </row>
    <row r="2308" spans="1:7" x14ac:dyDescent="0.3">
      <c r="A2308" s="36"/>
      <c r="B2308" s="36"/>
      <c r="C2308" s="36"/>
      <c r="D2308" s="36"/>
      <c r="E2308" s="531"/>
      <c r="F2308" s="531"/>
      <c r="G2308" s="531"/>
    </row>
    <row r="2309" spans="1:7" x14ac:dyDescent="0.3">
      <c r="A2309" s="36"/>
      <c r="B2309" s="36"/>
      <c r="C2309" s="36"/>
      <c r="D2309" s="36"/>
      <c r="E2309" s="531"/>
      <c r="F2309" s="531"/>
      <c r="G2309" s="531"/>
    </row>
    <row r="2310" spans="1:7" x14ac:dyDescent="0.3">
      <c r="A2310" s="36"/>
      <c r="B2310" s="36"/>
      <c r="C2310" s="36"/>
      <c r="D2310" s="36"/>
      <c r="E2310" s="531"/>
      <c r="F2310" s="531"/>
      <c r="G2310" s="531"/>
    </row>
    <row r="2311" spans="1:7" x14ac:dyDescent="0.3">
      <c r="A2311" s="36"/>
      <c r="B2311" s="36"/>
      <c r="C2311" s="36"/>
      <c r="D2311" s="36"/>
      <c r="E2311" s="531"/>
      <c r="F2311" s="531"/>
      <c r="G2311" s="531"/>
    </row>
    <row r="2312" spans="1:7" x14ac:dyDescent="0.3">
      <c r="A2312" s="36"/>
      <c r="B2312" s="36"/>
      <c r="C2312" s="36"/>
      <c r="D2312" s="36"/>
      <c r="E2312" s="531"/>
      <c r="F2312" s="531"/>
      <c r="G2312" s="531"/>
    </row>
    <row r="2313" spans="1:7" x14ac:dyDescent="0.3">
      <c r="A2313" s="36"/>
      <c r="B2313" s="36"/>
      <c r="C2313" s="36"/>
      <c r="D2313" s="36"/>
      <c r="E2313" s="531"/>
      <c r="F2313" s="531"/>
      <c r="G2313" s="531"/>
    </row>
    <row r="2314" spans="1:7" x14ac:dyDescent="0.3">
      <c r="A2314" s="36"/>
      <c r="B2314" s="36"/>
      <c r="C2314" s="36"/>
      <c r="D2314" s="36"/>
      <c r="E2314" s="531"/>
      <c r="F2314" s="531"/>
      <c r="G2314" s="531"/>
    </row>
    <row r="2315" spans="1:7" x14ac:dyDescent="0.3">
      <c r="A2315" s="36"/>
      <c r="B2315" s="36"/>
      <c r="C2315" s="36"/>
      <c r="D2315" s="36"/>
      <c r="E2315" s="531"/>
      <c r="F2315" s="531"/>
      <c r="G2315" s="531"/>
    </row>
    <row r="2316" spans="1:7" x14ac:dyDescent="0.3">
      <c r="A2316" s="36"/>
      <c r="B2316" s="36"/>
      <c r="C2316" s="36"/>
      <c r="D2316" s="36"/>
      <c r="E2316" s="531"/>
      <c r="F2316" s="531"/>
      <c r="G2316" s="531"/>
    </row>
    <row r="2317" spans="1:7" x14ac:dyDescent="0.3">
      <c r="A2317" s="36"/>
      <c r="B2317" s="36"/>
      <c r="C2317" s="36"/>
      <c r="D2317" s="36"/>
      <c r="E2317" s="531"/>
      <c r="F2317" s="531"/>
      <c r="G2317" s="531"/>
    </row>
    <row r="2318" spans="1:7" x14ac:dyDescent="0.3">
      <c r="A2318" s="36"/>
      <c r="B2318" s="36"/>
      <c r="C2318" s="36"/>
      <c r="D2318" s="36"/>
      <c r="E2318" s="531"/>
      <c r="F2318" s="531"/>
      <c r="G2318" s="531"/>
    </row>
    <row r="2319" spans="1:7" x14ac:dyDescent="0.3">
      <c r="A2319" s="36"/>
      <c r="B2319" s="36"/>
      <c r="C2319" s="36"/>
      <c r="D2319" s="36"/>
      <c r="E2319" s="531"/>
      <c r="F2319" s="531"/>
      <c r="G2319" s="531"/>
    </row>
    <row r="2320" spans="1:7" x14ac:dyDescent="0.3">
      <c r="A2320" s="36"/>
      <c r="B2320" s="36"/>
      <c r="C2320" s="36"/>
      <c r="D2320" s="36"/>
      <c r="E2320" s="531"/>
      <c r="F2320" s="531"/>
      <c r="G2320" s="531"/>
    </row>
    <row r="2321" spans="1:7" x14ac:dyDescent="0.3">
      <c r="A2321" s="36"/>
      <c r="B2321" s="36"/>
      <c r="C2321" s="36"/>
      <c r="D2321" s="36"/>
      <c r="E2321" s="531"/>
      <c r="F2321" s="531"/>
      <c r="G2321" s="531"/>
    </row>
    <row r="2322" spans="1:7" x14ac:dyDescent="0.3">
      <c r="A2322" s="36"/>
      <c r="B2322" s="36"/>
      <c r="C2322" s="36"/>
      <c r="D2322" s="36"/>
      <c r="E2322" s="531"/>
      <c r="F2322" s="531"/>
      <c r="G2322" s="531"/>
    </row>
    <row r="2323" spans="1:7" x14ac:dyDescent="0.3">
      <c r="A2323" s="36"/>
      <c r="B2323" s="36"/>
      <c r="C2323" s="36"/>
      <c r="D2323" s="36"/>
      <c r="E2323" s="531"/>
      <c r="F2323" s="531"/>
      <c r="G2323" s="531"/>
    </row>
    <row r="2324" spans="1:7" x14ac:dyDescent="0.3">
      <c r="A2324" s="36"/>
      <c r="B2324" s="36"/>
      <c r="C2324" s="36"/>
      <c r="D2324" s="36"/>
      <c r="E2324" s="531"/>
      <c r="F2324" s="531"/>
      <c r="G2324" s="531"/>
    </row>
    <row r="2325" spans="1:7" x14ac:dyDescent="0.3">
      <c r="A2325" s="36"/>
      <c r="B2325" s="36"/>
      <c r="C2325" s="36"/>
      <c r="D2325" s="36"/>
      <c r="E2325" s="531"/>
      <c r="F2325" s="531"/>
      <c r="G2325" s="531"/>
    </row>
    <row r="2326" spans="1:7" x14ac:dyDescent="0.3">
      <c r="A2326" s="36"/>
      <c r="B2326" s="36"/>
      <c r="C2326" s="36"/>
      <c r="D2326" s="36"/>
      <c r="E2326" s="531"/>
      <c r="F2326" s="531"/>
      <c r="G2326" s="531"/>
    </row>
    <row r="2327" spans="1:7" x14ac:dyDescent="0.3">
      <c r="A2327" s="36"/>
      <c r="B2327" s="36"/>
      <c r="C2327" s="36"/>
      <c r="D2327" s="36"/>
      <c r="E2327" s="531"/>
      <c r="F2327" s="531"/>
      <c r="G2327" s="531"/>
    </row>
    <row r="2328" spans="1:7" x14ac:dyDescent="0.3">
      <c r="A2328" s="36"/>
      <c r="B2328" s="36"/>
      <c r="C2328" s="36"/>
      <c r="D2328" s="36"/>
      <c r="E2328" s="531"/>
      <c r="F2328" s="531"/>
      <c r="G2328" s="531"/>
    </row>
    <row r="2329" spans="1:7" x14ac:dyDescent="0.3">
      <c r="A2329" s="36"/>
      <c r="B2329" s="36"/>
      <c r="C2329" s="36"/>
      <c r="D2329" s="36"/>
      <c r="E2329" s="531"/>
      <c r="F2329" s="531"/>
      <c r="G2329" s="531"/>
    </row>
    <row r="2330" spans="1:7" x14ac:dyDescent="0.3">
      <c r="A2330" s="36"/>
      <c r="B2330" s="36"/>
      <c r="C2330" s="36"/>
      <c r="D2330" s="36"/>
      <c r="E2330" s="531"/>
      <c r="F2330" s="531"/>
      <c r="G2330" s="531"/>
    </row>
    <row r="2331" spans="1:7" x14ac:dyDescent="0.3">
      <c r="A2331" s="36"/>
      <c r="B2331" s="36"/>
      <c r="C2331" s="36"/>
      <c r="D2331" s="36"/>
      <c r="E2331" s="531"/>
      <c r="F2331" s="531"/>
      <c r="G2331" s="531"/>
    </row>
    <row r="2332" spans="1:7" x14ac:dyDescent="0.3">
      <c r="A2332" s="36"/>
      <c r="B2332" s="36"/>
      <c r="C2332" s="36"/>
      <c r="D2332" s="36"/>
      <c r="E2332" s="531"/>
      <c r="F2332" s="531"/>
      <c r="G2332" s="531"/>
    </row>
    <row r="2333" spans="1:7" x14ac:dyDescent="0.3">
      <c r="A2333" s="36"/>
      <c r="B2333" s="36"/>
      <c r="C2333" s="36"/>
      <c r="D2333" s="36"/>
      <c r="E2333" s="531"/>
      <c r="F2333" s="531"/>
      <c r="G2333" s="531"/>
    </row>
    <row r="2334" spans="1:7" x14ac:dyDescent="0.3">
      <c r="A2334" s="36"/>
      <c r="B2334" s="36"/>
      <c r="C2334" s="36"/>
      <c r="D2334" s="36"/>
      <c r="E2334" s="531"/>
      <c r="F2334" s="531"/>
      <c r="G2334" s="531"/>
    </row>
    <row r="2335" spans="1:7" x14ac:dyDescent="0.3">
      <c r="A2335" s="36"/>
      <c r="B2335" s="36"/>
      <c r="C2335" s="36"/>
      <c r="D2335" s="36"/>
      <c r="E2335" s="531"/>
      <c r="F2335" s="531"/>
      <c r="G2335" s="531"/>
    </row>
    <row r="2336" spans="1:7" x14ac:dyDescent="0.3">
      <c r="A2336" s="36"/>
      <c r="B2336" s="36"/>
      <c r="C2336" s="36"/>
      <c r="D2336" s="36"/>
      <c r="E2336" s="531"/>
      <c r="F2336" s="531"/>
      <c r="G2336" s="531"/>
    </row>
    <row r="2337" spans="1:7" x14ac:dyDescent="0.3">
      <c r="A2337" s="36"/>
      <c r="B2337" s="36"/>
      <c r="C2337" s="36"/>
      <c r="D2337" s="36"/>
      <c r="E2337" s="531"/>
      <c r="F2337" s="531"/>
      <c r="G2337" s="531"/>
    </row>
    <row r="2338" spans="1:7" x14ac:dyDescent="0.3">
      <c r="A2338" s="36"/>
      <c r="B2338" s="36"/>
      <c r="C2338" s="36"/>
      <c r="D2338" s="36"/>
      <c r="E2338" s="531"/>
      <c r="F2338" s="531"/>
      <c r="G2338" s="531"/>
    </row>
    <row r="2339" spans="1:7" x14ac:dyDescent="0.3">
      <c r="A2339" s="36"/>
      <c r="B2339" s="36"/>
      <c r="C2339" s="36"/>
      <c r="D2339" s="36"/>
      <c r="E2339" s="531"/>
      <c r="F2339" s="531"/>
      <c r="G2339" s="531"/>
    </row>
    <row r="2340" spans="1:7" x14ac:dyDescent="0.3">
      <c r="A2340" s="36"/>
      <c r="B2340" s="36"/>
      <c r="C2340" s="36"/>
      <c r="D2340" s="36"/>
      <c r="E2340" s="531"/>
      <c r="F2340" s="531"/>
      <c r="G2340" s="531"/>
    </row>
    <row r="2341" spans="1:7" x14ac:dyDescent="0.3">
      <c r="A2341" s="36"/>
      <c r="B2341" s="36"/>
      <c r="C2341" s="36"/>
      <c r="D2341" s="36"/>
      <c r="E2341" s="531"/>
      <c r="F2341" s="531"/>
      <c r="G2341" s="531"/>
    </row>
    <row r="2342" spans="1:7" x14ac:dyDescent="0.3">
      <c r="A2342" s="36"/>
      <c r="B2342" s="36"/>
      <c r="C2342" s="36"/>
      <c r="D2342" s="36"/>
      <c r="E2342" s="531"/>
      <c r="F2342" s="531"/>
      <c r="G2342" s="531"/>
    </row>
    <row r="2343" spans="1:7" x14ac:dyDescent="0.3">
      <c r="A2343" s="36"/>
      <c r="B2343" s="36"/>
      <c r="C2343" s="36"/>
      <c r="D2343" s="36"/>
      <c r="E2343" s="531"/>
      <c r="F2343" s="531"/>
      <c r="G2343" s="531"/>
    </row>
    <row r="2344" spans="1:7" x14ac:dyDescent="0.3">
      <c r="A2344" s="36"/>
      <c r="B2344" s="36"/>
      <c r="C2344" s="36"/>
      <c r="D2344" s="36"/>
      <c r="E2344" s="531"/>
      <c r="F2344" s="531"/>
      <c r="G2344" s="531"/>
    </row>
    <row r="2345" spans="1:7" x14ac:dyDescent="0.3">
      <c r="A2345" s="36"/>
      <c r="B2345" s="36"/>
      <c r="C2345" s="36"/>
      <c r="D2345" s="36"/>
      <c r="E2345" s="531"/>
      <c r="F2345" s="531"/>
      <c r="G2345" s="531"/>
    </row>
    <row r="2346" spans="1:7" x14ac:dyDescent="0.3">
      <c r="A2346" s="36"/>
      <c r="B2346" s="36"/>
      <c r="C2346" s="36"/>
      <c r="D2346" s="36"/>
      <c r="E2346" s="531"/>
      <c r="F2346" s="531"/>
      <c r="G2346" s="531"/>
    </row>
    <row r="2347" spans="1:7" x14ac:dyDescent="0.3">
      <c r="A2347" s="36"/>
      <c r="B2347" s="36"/>
      <c r="C2347" s="36"/>
      <c r="D2347" s="36"/>
      <c r="E2347" s="531"/>
      <c r="F2347" s="531"/>
      <c r="G2347" s="531"/>
    </row>
    <row r="2348" spans="1:7" x14ac:dyDescent="0.3">
      <c r="A2348" s="36"/>
      <c r="B2348" s="36"/>
      <c r="C2348" s="36"/>
      <c r="D2348" s="36"/>
      <c r="E2348" s="531"/>
      <c r="F2348" s="531"/>
      <c r="G2348" s="531"/>
    </row>
    <row r="2349" spans="1:7" x14ac:dyDescent="0.3">
      <c r="A2349" s="36"/>
      <c r="B2349" s="36"/>
      <c r="C2349" s="36"/>
      <c r="D2349" s="36"/>
      <c r="E2349" s="531"/>
      <c r="F2349" s="531"/>
      <c r="G2349" s="531"/>
    </row>
    <row r="2350" spans="1:7" x14ac:dyDescent="0.3">
      <c r="A2350" s="36"/>
      <c r="B2350" s="36"/>
      <c r="C2350" s="36"/>
      <c r="D2350" s="36"/>
      <c r="E2350" s="531"/>
      <c r="F2350" s="531"/>
      <c r="G2350" s="531"/>
    </row>
    <row r="2351" spans="1:7" x14ac:dyDescent="0.3">
      <c r="A2351" s="36"/>
      <c r="B2351" s="36"/>
      <c r="C2351" s="36"/>
      <c r="D2351" s="36"/>
      <c r="E2351" s="531"/>
      <c r="F2351" s="531"/>
      <c r="G2351" s="531"/>
    </row>
    <row r="2352" spans="1:7" x14ac:dyDescent="0.3">
      <c r="A2352" s="36"/>
      <c r="B2352" s="36"/>
      <c r="C2352" s="36"/>
      <c r="D2352" s="36"/>
      <c r="E2352" s="531"/>
      <c r="F2352" s="531"/>
      <c r="G2352" s="531"/>
    </row>
    <row r="2353" spans="1:7" x14ac:dyDescent="0.3">
      <c r="A2353" s="36"/>
      <c r="B2353" s="36"/>
      <c r="C2353" s="36"/>
      <c r="D2353" s="36"/>
      <c r="E2353" s="531"/>
      <c r="F2353" s="531"/>
      <c r="G2353" s="531"/>
    </row>
    <row r="2354" spans="1:7" x14ac:dyDescent="0.3">
      <c r="A2354" s="36"/>
      <c r="B2354" s="36"/>
      <c r="C2354" s="36"/>
      <c r="D2354" s="36"/>
      <c r="E2354" s="531"/>
      <c r="F2354" s="531"/>
      <c r="G2354" s="531"/>
    </row>
    <row r="2355" spans="1:7" x14ac:dyDescent="0.3">
      <c r="A2355" s="36"/>
      <c r="B2355" s="36"/>
      <c r="C2355" s="36"/>
      <c r="D2355" s="36"/>
      <c r="E2355" s="531"/>
      <c r="F2355" s="531"/>
      <c r="G2355" s="531"/>
    </row>
    <row r="2356" spans="1:7" x14ac:dyDescent="0.3">
      <c r="A2356" s="36"/>
      <c r="B2356" s="36"/>
      <c r="C2356" s="36"/>
      <c r="D2356" s="36"/>
      <c r="E2356" s="531"/>
      <c r="F2356" s="531"/>
      <c r="G2356" s="531"/>
    </row>
    <row r="2357" spans="1:7" x14ac:dyDescent="0.3">
      <c r="A2357" s="36"/>
      <c r="B2357" s="36"/>
      <c r="C2357" s="36"/>
      <c r="D2357" s="36"/>
      <c r="E2357" s="531"/>
      <c r="F2357" s="531"/>
      <c r="G2357" s="531"/>
    </row>
    <row r="2358" spans="1:7" x14ac:dyDescent="0.3">
      <c r="A2358" s="36"/>
      <c r="B2358" s="36"/>
      <c r="C2358" s="36"/>
      <c r="D2358" s="36"/>
      <c r="E2358" s="531"/>
      <c r="F2358" s="531"/>
      <c r="G2358" s="531"/>
    </row>
    <row r="2359" spans="1:7" x14ac:dyDescent="0.3">
      <c r="A2359" s="36"/>
      <c r="B2359" s="36"/>
      <c r="C2359" s="36"/>
      <c r="D2359" s="36"/>
      <c r="E2359" s="531"/>
      <c r="F2359" s="531"/>
      <c r="G2359" s="531"/>
    </row>
    <row r="2360" spans="1:7" x14ac:dyDescent="0.3">
      <c r="A2360" s="36"/>
      <c r="B2360" s="36"/>
      <c r="C2360" s="36"/>
      <c r="D2360" s="36"/>
      <c r="E2360" s="531"/>
      <c r="F2360" s="531"/>
      <c r="G2360" s="531"/>
    </row>
    <row r="2361" spans="1:7" x14ac:dyDescent="0.3">
      <c r="A2361" s="36"/>
      <c r="B2361" s="36"/>
      <c r="C2361" s="36"/>
      <c r="D2361" s="36"/>
      <c r="E2361" s="531"/>
      <c r="F2361" s="531"/>
      <c r="G2361" s="531"/>
    </row>
    <row r="2362" spans="1:7" x14ac:dyDescent="0.3">
      <c r="A2362" s="36"/>
      <c r="B2362" s="36"/>
      <c r="C2362" s="36"/>
      <c r="D2362" s="36"/>
      <c r="E2362" s="531"/>
      <c r="F2362" s="531"/>
      <c r="G2362" s="531"/>
    </row>
    <row r="2363" spans="1:7" x14ac:dyDescent="0.3">
      <c r="A2363" s="36"/>
      <c r="B2363" s="36"/>
      <c r="C2363" s="36"/>
      <c r="D2363" s="36"/>
      <c r="E2363" s="531"/>
      <c r="F2363" s="531"/>
      <c r="G2363" s="531"/>
    </row>
    <row r="2364" spans="1:7" x14ac:dyDescent="0.3">
      <c r="A2364" s="36"/>
      <c r="B2364" s="36"/>
      <c r="C2364" s="36"/>
      <c r="D2364" s="36"/>
      <c r="E2364" s="531"/>
      <c r="F2364" s="531"/>
      <c r="G2364" s="531"/>
    </row>
    <row r="2365" spans="1:7" x14ac:dyDescent="0.3">
      <c r="A2365" s="36"/>
      <c r="B2365" s="36"/>
      <c r="C2365" s="36"/>
      <c r="D2365" s="36"/>
      <c r="E2365" s="531"/>
      <c r="F2365" s="531"/>
      <c r="G2365" s="531"/>
    </row>
    <row r="2366" spans="1:7" x14ac:dyDescent="0.3">
      <c r="A2366" s="36"/>
      <c r="B2366" s="36"/>
      <c r="C2366" s="36"/>
      <c r="D2366" s="36"/>
      <c r="E2366" s="531"/>
      <c r="F2366" s="531"/>
      <c r="G2366" s="531"/>
    </row>
    <row r="2367" spans="1:7" x14ac:dyDescent="0.3">
      <c r="A2367" s="36"/>
      <c r="B2367" s="36"/>
      <c r="C2367" s="36"/>
      <c r="D2367" s="36"/>
      <c r="E2367" s="531"/>
      <c r="F2367" s="531"/>
      <c r="G2367" s="531"/>
    </row>
    <row r="2368" spans="1:7" x14ac:dyDescent="0.3">
      <c r="A2368" s="36"/>
      <c r="B2368" s="36"/>
      <c r="C2368" s="36"/>
      <c r="D2368" s="36"/>
      <c r="E2368" s="531"/>
      <c r="F2368" s="531"/>
      <c r="G2368" s="531"/>
    </row>
    <row r="2369" spans="1:7" x14ac:dyDescent="0.3">
      <c r="A2369" s="36"/>
      <c r="B2369" s="36"/>
      <c r="C2369" s="36"/>
      <c r="D2369" s="36"/>
      <c r="E2369" s="531"/>
      <c r="F2369" s="531"/>
      <c r="G2369" s="531"/>
    </row>
    <row r="2370" spans="1:7" x14ac:dyDescent="0.3">
      <c r="A2370" s="36"/>
      <c r="B2370" s="36"/>
      <c r="C2370" s="36"/>
      <c r="D2370" s="36"/>
      <c r="E2370" s="531"/>
      <c r="F2370" s="531"/>
      <c r="G2370" s="531"/>
    </row>
    <row r="2371" spans="1:7" x14ac:dyDescent="0.3">
      <c r="A2371" s="36"/>
      <c r="B2371" s="36"/>
      <c r="C2371" s="36"/>
      <c r="D2371" s="36"/>
      <c r="E2371" s="531"/>
      <c r="F2371" s="531"/>
      <c r="G2371" s="531"/>
    </row>
    <row r="2372" spans="1:7" x14ac:dyDescent="0.3">
      <c r="A2372" s="36"/>
      <c r="B2372" s="36"/>
      <c r="C2372" s="36"/>
      <c r="D2372" s="36"/>
      <c r="E2372" s="531"/>
      <c r="F2372" s="531"/>
      <c r="G2372" s="531"/>
    </row>
    <row r="2373" spans="1:7" x14ac:dyDescent="0.3">
      <c r="A2373" s="36"/>
      <c r="B2373" s="36"/>
      <c r="C2373" s="36"/>
      <c r="D2373" s="36"/>
      <c r="E2373" s="531"/>
      <c r="F2373" s="531"/>
      <c r="G2373" s="531"/>
    </row>
    <row r="2374" spans="1:7" x14ac:dyDescent="0.3">
      <c r="A2374" s="36"/>
      <c r="B2374" s="36"/>
      <c r="C2374" s="36"/>
      <c r="D2374" s="36"/>
      <c r="E2374" s="531"/>
      <c r="F2374" s="531"/>
      <c r="G2374" s="531"/>
    </row>
    <row r="2375" spans="1:7" x14ac:dyDescent="0.3">
      <c r="A2375" s="36"/>
      <c r="B2375" s="36"/>
      <c r="C2375" s="36"/>
      <c r="D2375" s="36"/>
      <c r="E2375" s="531"/>
      <c r="F2375" s="531"/>
      <c r="G2375" s="531"/>
    </row>
    <row r="2376" spans="1:7" x14ac:dyDescent="0.3">
      <c r="A2376" s="36"/>
      <c r="B2376" s="36"/>
      <c r="C2376" s="36"/>
      <c r="D2376" s="36"/>
      <c r="E2376" s="531"/>
      <c r="F2376" s="531"/>
      <c r="G2376" s="531"/>
    </row>
    <row r="2377" spans="1:7" x14ac:dyDescent="0.3">
      <c r="A2377" s="36"/>
      <c r="B2377" s="36"/>
      <c r="C2377" s="36"/>
      <c r="D2377" s="36"/>
      <c r="E2377" s="531"/>
      <c r="F2377" s="531"/>
      <c r="G2377" s="531"/>
    </row>
    <row r="2378" spans="1:7" x14ac:dyDescent="0.3">
      <c r="A2378" s="36"/>
      <c r="B2378" s="36"/>
      <c r="C2378" s="36"/>
      <c r="D2378" s="36"/>
      <c r="E2378" s="531"/>
      <c r="F2378" s="531"/>
      <c r="G2378" s="531"/>
    </row>
    <row r="2379" spans="1:7" x14ac:dyDescent="0.3">
      <c r="A2379" s="36"/>
      <c r="B2379" s="36"/>
      <c r="C2379" s="36"/>
      <c r="D2379" s="36"/>
      <c r="E2379" s="531"/>
      <c r="F2379" s="531"/>
      <c r="G2379" s="531"/>
    </row>
    <row r="2380" spans="1:7" x14ac:dyDescent="0.3">
      <c r="A2380" s="36"/>
      <c r="B2380" s="36"/>
      <c r="C2380" s="36"/>
      <c r="D2380" s="36"/>
      <c r="E2380" s="531"/>
      <c r="F2380" s="531"/>
      <c r="G2380" s="531"/>
    </row>
  </sheetData>
  <sortState ref="A2:G584">
    <sortCondition ref="A2:A584"/>
  </sortState>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13"/>
  <sheetViews>
    <sheetView workbookViewId="0">
      <selection activeCell="C4" sqref="C4"/>
    </sheetView>
  </sheetViews>
  <sheetFormatPr defaultRowHeight="15" x14ac:dyDescent="0.25"/>
  <cols>
    <col min="1" max="1" width="30.28515625" customWidth="1"/>
    <col min="2" max="2" width="36" customWidth="1"/>
    <col min="3" max="3" width="27.7109375" customWidth="1"/>
    <col min="4" max="4" width="32" customWidth="1"/>
  </cols>
  <sheetData>
    <row r="2" spans="1:4" s="547" customFormat="1" ht="57" x14ac:dyDescent="0.45">
      <c r="A2" s="545" t="s">
        <v>338</v>
      </c>
      <c r="B2" s="546" t="s">
        <v>8485</v>
      </c>
      <c r="C2" s="546" t="s">
        <v>8486</v>
      </c>
      <c r="D2" s="546" t="s">
        <v>8475</v>
      </c>
    </row>
    <row r="3" spans="1:4" s="547" customFormat="1" ht="28.5" hidden="1" x14ac:dyDescent="0.45">
      <c r="A3" s="548" t="s">
        <v>8478</v>
      </c>
      <c r="B3" s="549" t="s">
        <v>8480</v>
      </c>
      <c r="C3" s="549" t="s">
        <v>8481</v>
      </c>
      <c r="D3" s="549" t="s">
        <v>8477</v>
      </c>
    </row>
    <row r="4" spans="1:4" s="547" customFormat="1" ht="28.5" x14ac:dyDescent="0.45">
      <c r="A4" s="550" t="s">
        <v>8417</v>
      </c>
      <c r="B4" s="549">
        <v>684000</v>
      </c>
      <c r="C4" s="549">
        <v>665900</v>
      </c>
      <c r="D4" s="549">
        <v>18100</v>
      </c>
    </row>
    <row r="5" spans="1:4" s="547" customFormat="1" ht="28.5" x14ac:dyDescent="0.45">
      <c r="A5" s="550" t="s">
        <v>121</v>
      </c>
      <c r="B5" s="549">
        <v>5391544</v>
      </c>
      <c r="C5" s="549">
        <v>5033780</v>
      </c>
      <c r="D5" s="549">
        <v>357764</v>
      </c>
    </row>
    <row r="6" spans="1:4" s="547" customFormat="1" ht="28.5" x14ac:dyDescent="0.45">
      <c r="A6" s="550" t="s">
        <v>40</v>
      </c>
      <c r="B6" s="549">
        <v>57000</v>
      </c>
      <c r="C6" s="549">
        <v>27696</v>
      </c>
      <c r="D6" s="549">
        <v>29304</v>
      </c>
    </row>
    <row r="7" spans="1:4" s="547" customFormat="1" ht="28.5" x14ac:dyDescent="0.45">
      <c r="A7" s="550" t="s">
        <v>8418</v>
      </c>
      <c r="B7" s="549">
        <v>5300</v>
      </c>
      <c r="C7" s="549"/>
      <c r="D7" s="549">
        <v>5300</v>
      </c>
    </row>
    <row r="8" spans="1:4" s="547" customFormat="1" ht="28.5" x14ac:dyDescent="0.45">
      <c r="A8" s="550" t="s">
        <v>174</v>
      </c>
      <c r="B8" s="549">
        <v>16940</v>
      </c>
      <c r="C8" s="549"/>
      <c r="D8" s="549">
        <v>16940</v>
      </c>
    </row>
    <row r="9" spans="1:4" s="547" customFormat="1" ht="28.5" x14ac:dyDescent="0.45">
      <c r="A9" s="550" t="s">
        <v>157</v>
      </c>
      <c r="B9" s="549">
        <v>16240</v>
      </c>
      <c r="C9" s="549"/>
      <c r="D9" s="549">
        <v>16240</v>
      </c>
    </row>
    <row r="10" spans="1:4" s="547" customFormat="1" ht="28.5" x14ac:dyDescent="0.45">
      <c r="A10" s="550" t="s">
        <v>8483</v>
      </c>
      <c r="B10" s="549">
        <v>5650</v>
      </c>
      <c r="C10" s="549"/>
      <c r="D10" s="549">
        <v>5650</v>
      </c>
    </row>
    <row r="11" spans="1:4" s="547" customFormat="1" ht="28.5" x14ac:dyDescent="0.45">
      <c r="A11" s="550" t="s">
        <v>38</v>
      </c>
      <c r="B11" s="549">
        <v>66000</v>
      </c>
      <c r="C11" s="549"/>
      <c r="D11" s="549">
        <v>66000</v>
      </c>
    </row>
    <row r="12" spans="1:4" s="547" customFormat="1" ht="28.5" x14ac:dyDescent="0.45">
      <c r="A12" s="550" t="s">
        <v>8482</v>
      </c>
      <c r="B12" s="549"/>
      <c r="C12" s="549"/>
      <c r="D12" s="549"/>
    </row>
    <row r="13" spans="1:4" s="547" customFormat="1" ht="28.5" hidden="1" x14ac:dyDescent="0.45">
      <c r="A13" s="550" t="s">
        <v>8479</v>
      </c>
      <c r="B13" s="549">
        <v>6242674</v>
      </c>
      <c r="C13" s="549">
        <v>5727376</v>
      </c>
      <c r="D13" s="549">
        <v>515298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M83"/>
  <sheetViews>
    <sheetView workbookViewId="0">
      <selection activeCell="K9" sqref="K9"/>
    </sheetView>
  </sheetViews>
  <sheetFormatPr defaultRowHeight="15" x14ac:dyDescent="0.25"/>
  <cols>
    <col min="1" max="1" width="12.42578125" style="5" customWidth="1"/>
    <col min="2" max="2" width="13" style="5" customWidth="1"/>
    <col min="3" max="3" width="46.140625" style="5" customWidth="1"/>
    <col min="4" max="4" width="15.85546875" style="5" customWidth="1"/>
    <col min="5" max="5" width="9.140625" style="5"/>
    <col min="6" max="6" width="8" style="5" customWidth="1"/>
    <col min="7" max="7" width="8.42578125" customWidth="1"/>
    <col min="8" max="8" width="26.5703125" customWidth="1"/>
    <col min="9" max="9" width="19" customWidth="1"/>
    <col min="10" max="10" width="15" customWidth="1"/>
    <col min="11" max="11" width="18" customWidth="1"/>
    <col min="13" max="13" width="10.5703125" bestFit="1" customWidth="1"/>
  </cols>
  <sheetData>
    <row r="1" spans="1:13" ht="37.5" x14ac:dyDescent="0.25">
      <c r="A1" s="45" t="s">
        <v>1</v>
      </c>
      <c r="B1" s="45" t="s">
        <v>338</v>
      </c>
      <c r="C1" s="45" t="s">
        <v>3</v>
      </c>
      <c r="D1" s="125" t="s">
        <v>4365</v>
      </c>
      <c r="G1" s="445" t="s">
        <v>8416</v>
      </c>
      <c r="H1" s="445" t="s">
        <v>338</v>
      </c>
      <c r="I1" s="445" t="s">
        <v>4364</v>
      </c>
      <c r="J1" s="446" t="s">
        <v>8423</v>
      </c>
      <c r="K1" s="447" t="s">
        <v>8424</v>
      </c>
    </row>
    <row r="2" spans="1:13" ht="23.25" x14ac:dyDescent="0.35">
      <c r="A2" s="204">
        <v>44385</v>
      </c>
      <c r="B2" s="204" t="s">
        <v>8417</v>
      </c>
      <c r="C2" s="127" t="s">
        <v>3924</v>
      </c>
      <c r="D2" s="126">
        <v>27622</v>
      </c>
      <c r="G2" s="448">
        <v>1</v>
      </c>
      <c r="H2" s="448" t="s">
        <v>121</v>
      </c>
      <c r="I2" s="449">
        <f>SUMIF('Petty cash'!B1:B15003,Person!H2,'Petty cash'!D1:D15003)-6836712</f>
        <v>372764</v>
      </c>
      <c r="J2" s="449">
        <f t="shared" ref="J2:J11" si="0">SUMIF(B:B,H2,D:D)</f>
        <v>15000</v>
      </c>
      <c r="K2" s="449">
        <f t="shared" ref="K2:K11" si="1">I2-J2</f>
        <v>357764</v>
      </c>
    </row>
    <row r="3" spans="1:13" ht="23.25" x14ac:dyDescent="0.35">
      <c r="A3" s="204">
        <v>44385</v>
      </c>
      <c r="B3" s="204" t="s">
        <v>40</v>
      </c>
      <c r="C3" s="127" t="s">
        <v>8427</v>
      </c>
      <c r="D3" s="126">
        <v>3600</v>
      </c>
      <c r="G3" s="448">
        <v>2</v>
      </c>
      <c r="H3" s="448" t="s">
        <v>8417</v>
      </c>
      <c r="I3" s="449">
        <f>SUMIF('Petty cash'!B2:B15004,Person!H3,'Petty cash'!D2:D15004)-2096730+8100</f>
        <v>38100</v>
      </c>
      <c r="J3" s="449">
        <f t="shared" si="0"/>
        <v>27622</v>
      </c>
      <c r="K3" s="449">
        <f t="shared" si="1"/>
        <v>10478</v>
      </c>
    </row>
    <row r="4" spans="1:13" ht="23.25" x14ac:dyDescent="0.35">
      <c r="A4" s="204">
        <v>44385</v>
      </c>
      <c r="B4" s="204" t="s">
        <v>40</v>
      </c>
      <c r="C4" s="127" t="s">
        <v>8426</v>
      </c>
      <c r="D4" s="126">
        <v>240</v>
      </c>
      <c r="G4" s="448">
        <v>3</v>
      </c>
      <c r="H4" s="448" t="s">
        <v>40</v>
      </c>
      <c r="I4" s="449">
        <f>SUMIF('Petty cash'!B3:B15005,Person!H4,'Petty cash'!D3:D15005)-2815844</f>
        <v>61000</v>
      </c>
      <c r="J4" s="449">
        <f t="shared" si="0"/>
        <v>31536</v>
      </c>
      <c r="K4" s="449">
        <f t="shared" si="1"/>
        <v>29464</v>
      </c>
      <c r="M4" s="47"/>
    </row>
    <row r="5" spans="1:13" ht="23.25" x14ac:dyDescent="0.35">
      <c r="A5" s="204">
        <v>44385</v>
      </c>
      <c r="B5" s="204" t="s">
        <v>6831</v>
      </c>
      <c r="C5" s="36" t="s">
        <v>8428</v>
      </c>
      <c r="D5" s="8">
        <v>2000</v>
      </c>
      <c r="G5" s="448">
        <v>4</v>
      </c>
      <c r="H5" s="448" t="s">
        <v>8418</v>
      </c>
      <c r="I5" s="449">
        <f>SUMIF('Petty cash'!B4:B15006,Person!H5,'Petty cash'!D4:D15006)-427280+2300</f>
        <v>12300</v>
      </c>
      <c r="J5" s="449">
        <f t="shared" si="0"/>
        <v>7000</v>
      </c>
      <c r="K5" s="449">
        <f t="shared" si="1"/>
        <v>5300</v>
      </c>
    </row>
    <row r="6" spans="1:13" ht="23.25" x14ac:dyDescent="0.35">
      <c r="A6" s="204">
        <v>44385</v>
      </c>
      <c r="B6" s="204" t="s">
        <v>6831</v>
      </c>
      <c r="C6" s="36" t="s">
        <v>8429</v>
      </c>
      <c r="D6" s="8">
        <v>4000</v>
      </c>
      <c r="G6" s="448">
        <v>5</v>
      </c>
      <c r="H6" s="448" t="s">
        <v>157</v>
      </c>
      <c r="I6" s="449">
        <f>SUMIF('Petty cash'!B5:B15007,Person!H6,'Petty cash'!D5:D15007)-740990+16240</f>
        <v>16240</v>
      </c>
      <c r="J6" s="449">
        <f t="shared" si="0"/>
        <v>0</v>
      </c>
      <c r="K6" s="449">
        <f t="shared" si="1"/>
        <v>16240</v>
      </c>
    </row>
    <row r="7" spans="1:13" ht="23.25" x14ac:dyDescent="0.35">
      <c r="A7" s="204">
        <v>44390</v>
      </c>
      <c r="B7" s="204" t="s">
        <v>6831</v>
      </c>
      <c r="C7" s="36" t="s">
        <v>8441</v>
      </c>
      <c r="D7" s="8">
        <v>2000</v>
      </c>
      <c r="G7" s="448">
        <v>6</v>
      </c>
      <c r="H7" s="448" t="s">
        <v>8420</v>
      </c>
      <c r="I7" s="449">
        <f>SUMIF('Petty cash'!B6:B15008,Person!H7,'Petty cash'!D6:D15008)-143023+3120+8000</f>
        <v>37120</v>
      </c>
      <c r="J7" s="449">
        <f t="shared" si="0"/>
        <v>20180</v>
      </c>
      <c r="K7" s="449">
        <f t="shared" si="1"/>
        <v>16940</v>
      </c>
    </row>
    <row r="8" spans="1:13" ht="23.25" x14ac:dyDescent="0.35">
      <c r="A8" s="204">
        <v>44391</v>
      </c>
      <c r="B8" s="204" t="s">
        <v>6831</v>
      </c>
      <c r="C8" s="36" t="s">
        <v>7201</v>
      </c>
      <c r="D8" s="8">
        <v>2000</v>
      </c>
      <c r="G8" s="448">
        <v>7</v>
      </c>
      <c r="H8" s="448" t="s">
        <v>8422</v>
      </c>
      <c r="I8" s="449">
        <f>SUMIF('Petty cash'!B7:B15009,Person!H8,'Petty cash'!D7:D15009)-93200+3880</f>
        <v>1880</v>
      </c>
      <c r="J8" s="449">
        <f t="shared" si="0"/>
        <v>0</v>
      </c>
      <c r="K8" s="449">
        <f t="shared" si="1"/>
        <v>1880</v>
      </c>
    </row>
    <row r="9" spans="1:13" ht="23.25" x14ac:dyDescent="0.35">
      <c r="A9" s="204">
        <v>44392</v>
      </c>
      <c r="B9" s="204" t="s">
        <v>8420</v>
      </c>
      <c r="C9" s="36" t="s">
        <v>4390</v>
      </c>
      <c r="D9" s="8">
        <v>20180</v>
      </c>
      <c r="G9" s="448">
        <v>8</v>
      </c>
      <c r="H9" s="448" t="s">
        <v>8464</v>
      </c>
      <c r="I9" s="449">
        <f>SUMIF('Petty cash'!B8:B15010,Person!H9,'Petty cash'!D8:D15010)-93200+3880-249380+25000+2400</f>
        <v>27400</v>
      </c>
      <c r="J9" s="449">
        <f t="shared" si="0"/>
        <v>21750</v>
      </c>
      <c r="K9" s="449">
        <f t="shared" si="1"/>
        <v>5650</v>
      </c>
    </row>
    <row r="10" spans="1:13" ht="23.25" x14ac:dyDescent="0.35">
      <c r="A10" s="204">
        <v>44392</v>
      </c>
      <c r="B10" s="204" t="s">
        <v>40</v>
      </c>
      <c r="C10" s="36" t="s">
        <v>4390</v>
      </c>
      <c r="D10" s="8">
        <v>1540</v>
      </c>
      <c r="G10" s="448">
        <v>8</v>
      </c>
      <c r="H10" s="448" t="s">
        <v>5537</v>
      </c>
      <c r="I10" s="449">
        <f>SUMIF('Petty cash'!B9739:B15011,Person!H10,'Petty cash'!D9739:D15011)</f>
        <v>0</v>
      </c>
      <c r="J10" s="449">
        <f t="shared" si="0"/>
        <v>0</v>
      </c>
      <c r="K10" s="449">
        <f t="shared" si="1"/>
        <v>0</v>
      </c>
    </row>
    <row r="11" spans="1:13" ht="23.25" x14ac:dyDescent="0.35">
      <c r="A11" s="204">
        <v>44392</v>
      </c>
      <c r="B11" s="204" t="s">
        <v>40</v>
      </c>
      <c r="C11" s="36" t="s">
        <v>4390</v>
      </c>
      <c r="D11" s="8">
        <v>26156</v>
      </c>
      <c r="G11" s="448">
        <v>9</v>
      </c>
      <c r="H11" s="448" t="s">
        <v>446</v>
      </c>
      <c r="I11" s="449">
        <f>SUMIF('Petty cash'!B9595:B15012,Person!H11,'Petty cash'!D9595:D15012)+5000</f>
        <v>66000</v>
      </c>
      <c r="J11" s="449">
        <f t="shared" si="0"/>
        <v>0</v>
      </c>
      <c r="K11" s="449">
        <f t="shared" si="1"/>
        <v>66000</v>
      </c>
    </row>
    <row r="12" spans="1:13" ht="18.75" x14ac:dyDescent="0.3">
      <c r="A12" s="204">
        <v>44392</v>
      </c>
      <c r="B12" s="204" t="s">
        <v>8465</v>
      </c>
      <c r="C12" s="36" t="s">
        <v>4390</v>
      </c>
      <c r="D12" s="8">
        <v>21750</v>
      </c>
      <c r="G12" s="34"/>
      <c r="H12" s="34"/>
      <c r="I12" s="8"/>
      <c r="J12" s="8"/>
      <c r="K12" s="8"/>
    </row>
    <row r="13" spans="1:13" ht="18.75" x14ac:dyDescent="0.3">
      <c r="A13" s="204">
        <v>44392</v>
      </c>
      <c r="B13" s="204" t="s">
        <v>6877</v>
      </c>
      <c r="C13" s="36" t="s">
        <v>4390</v>
      </c>
      <c r="D13" s="8">
        <v>7000</v>
      </c>
      <c r="G13" s="34"/>
      <c r="H13" s="34"/>
      <c r="I13" s="8"/>
      <c r="J13" s="8"/>
      <c r="K13" s="8"/>
    </row>
    <row r="14" spans="1:13" x14ac:dyDescent="0.25">
      <c r="A14" s="204">
        <v>44393</v>
      </c>
      <c r="B14" s="204" t="s">
        <v>6831</v>
      </c>
      <c r="C14" s="34" t="s">
        <v>8473</v>
      </c>
      <c r="D14" s="34">
        <v>5000</v>
      </c>
      <c r="G14" s="34"/>
      <c r="H14" s="34"/>
      <c r="I14" s="8"/>
      <c r="J14" s="8"/>
      <c r="K14" s="8"/>
    </row>
    <row r="15" spans="1:13" x14ac:dyDescent="0.25">
      <c r="A15" s="204"/>
      <c r="B15" s="204"/>
      <c r="C15" s="34"/>
      <c r="D15" s="34"/>
      <c r="G15" s="34"/>
      <c r="H15" s="34"/>
      <c r="I15" s="8"/>
      <c r="J15" s="8"/>
      <c r="K15" s="8"/>
    </row>
    <row r="16" spans="1:13" x14ac:dyDescent="0.25">
      <c r="A16" s="204"/>
      <c r="B16" s="204"/>
      <c r="C16" s="34"/>
      <c r="D16" s="34"/>
    </row>
    <row r="17" spans="1:4" x14ac:dyDescent="0.25">
      <c r="A17" s="204"/>
      <c r="B17" s="204"/>
      <c r="C17" s="34"/>
      <c r="D17" s="34"/>
    </row>
    <row r="18" spans="1:4" ht="15.75" x14ac:dyDescent="0.25">
      <c r="A18" s="144"/>
      <c r="B18" s="144"/>
      <c r="C18" s="34"/>
      <c r="D18" s="34"/>
    </row>
    <row r="19" spans="1:4" ht="15.75" x14ac:dyDescent="0.25">
      <c r="A19" s="144"/>
      <c r="B19" s="144"/>
      <c r="C19" s="34"/>
      <c r="D19" s="34"/>
    </row>
    <row r="20" spans="1:4" ht="15.75" x14ac:dyDescent="0.25">
      <c r="A20" s="144"/>
      <c r="B20" s="144"/>
      <c r="C20" s="34"/>
      <c r="D20" s="34"/>
    </row>
    <row r="21" spans="1:4" ht="15.75" x14ac:dyDescent="0.25">
      <c r="A21" s="144"/>
      <c r="B21" s="144"/>
      <c r="C21" s="34"/>
      <c r="D21" s="34"/>
    </row>
    <row r="22" spans="1:4" ht="15.75" x14ac:dyDescent="0.25">
      <c r="A22" s="144"/>
      <c r="B22" s="144"/>
      <c r="C22" s="34"/>
      <c r="D22" s="34"/>
    </row>
    <row r="23" spans="1:4" ht="15.75" x14ac:dyDescent="0.25">
      <c r="A23" s="144"/>
      <c r="B23" s="144"/>
      <c r="C23" s="34"/>
      <c r="D23" s="34"/>
    </row>
    <row r="24" spans="1:4" ht="15.75" x14ac:dyDescent="0.25">
      <c r="A24" s="144"/>
      <c r="B24" s="144"/>
      <c r="C24" s="34"/>
      <c r="D24" s="34"/>
    </row>
    <row r="25" spans="1:4" ht="15.75" x14ac:dyDescent="0.25">
      <c r="A25" s="144"/>
      <c r="B25" s="144"/>
      <c r="C25" s="34"/>
      <c r="D25" s="34"/>
    </row>
    <row r="26" spans="1:4" ht="15.75" x14ac:dyDescent="0.25">
      <c r="A26" s="144"/>
      <c r="B26" s="144"/>
      <c r="C26" s="52"/>
      <c r="D26" s="34"/>
    </row>
    <row r="27" spans="1:4" ht="15.75" x14ac:dyDescent="0.25">
      <c r="A27" s="144"/>
      <c r="B27" s="144"/>
      <c r="C27" s="34"/>
      <c r="D27" s="46"/>
    </row>
    <row r="28" spans="1:4" ht="15.75" x14ac:dyDescent="0.25">
      <c r="A28" s="144"/>
      <c r="B28" s="144"/>
      <c r="C28" s="52"/>
      <c r="D28" s="52"/>
    </row>
    <row r="29" spans="1:4" x14ac:dyDescent="0.25">
      <c r="A29" s="34"/>
      <c r="B29" s="34"/>
      <c r="C29" s="52"/>
      <c r="D29" s="52"/>
    </row>
    <row r="30" spans="1:4" x14ac:dyDescent="0.25">
      <c r="C30" s="48"/>
    </row>
    <row r="31" spans="1:4" x14ac:dyDescent="0.25">
      <c r="C31" s="48"/>
    </row>
    <row r="32" spans="1:4" x14ac:dyDescent="0.25">
      <c r="C32" s="48"/>
    </row>
    <row r="33" spans="1:4" x14ac:dyDescent="0.25">
      <c r="C33" s="48"/>
    </row>
    <row r="34" spans="1:4" x14ac:dyDescent="0.25">
      <c r="A34" s="124"/>
      <c r="B34" s="124"/>
      <c r="C34" s="52"/>
      <c r="D34" s="34"/>
    </row>
    <row r="35" spans="1:4" x14ac:dyDescent="0.25">
      <c r="A35" s="124"/>
      <c r="B35" s="124"/>
      <c r="C35" s="52"/>
      <c r="D35" s="34"/>
    </row>
    <row r="36" spans="1:4" x14ac:dyDescent="0.25">
      <c r="A36" s="124"/>
      <c r="B36" s="124"/>
      <c r="C36" s="52"/>
      <c r="D36" s="34"/>
    </row>
    <row r="37" spans="1:4" x14ac:dyDescent="0.25">
      <c r="A37" s="124"/>
      <c r="B37" s="124"/>
      <c r="C37" s="52"/>
      <c r="D37" s="8"/>
    </row>
    <row r="38" spans="1:4" x14ac:dyDescent="0.25">
      <c r="A38" s="124"/>
      <c r="B38" s="124"/>
      <c r="C38" s="52"/>
      <c r="D38" s="8"/>
    </row>
    <row r="39" spans="1:4" x14ac:dyDescent="0.25">
      <c r="A39" s="124"/>
      <c r="B39" s="124"/>
      <c r="C39" s="52"/>
      <c r="D39" s="8"/>
    </row>
    <row r="40" spans="1:4" x14ac:dyDescent="0.25">
      <c r="A40" s="124"/>
      <c r="B40" s="124"/>
      <c r="C40" s="52"/>
      <c r="D40" s="8"/>
    </row>
    <row r="41" spans="1:4" x14ac:dyDescent="0.25">
      <c r="A41" s="124"/>
      <c r="B41" s="124"/>
      <c r="C41" s="52"/>
      <c r="D41" s="8"/>
    </row>
    <row r="42" spans="1:4" x14ac:dyDescent="0.25">
      <c r="A42" s="124"/>
      <c r="B42" s="124"/>
      <c r="C42" s="52"/>
      <c r="D42" s="8"/>
    </row>
    <row r="43" spans="1:4" x14ac:dyDescent="0.25">
      <c r="A43" s="124"/>
      <c r="B43" s="124"/>
      <c r="C43" s="52"/>
      <c r="D43" s="8"/>
    </row>
    <row r="44" spans="1:4" x14ac:dyDescent="0.25">
      <c r="A44" s="124"/>
      <c r="B44" s="124"/>
      <c r="C44" s="52"/>
      <c r="D44" s="8"/>
    </row>
    <row r="45" spans="1:4" x14ac:dyDescent="0.25">
      <c r="A45" s="124"/>
      <c r="B45" s="124"/>
      <c r="C45" s="52"/>
      <c r="D45" s="8"/>
    </row>
    <row r="46" spans="1:4" x14ac:dyDescent="0.25">
      <c r="A46" s="124"/>
      <c r="B46" s="124"/>
      <c r="C46" s="52"/>
      <c r="D46" s="8"/>
    </row>
    <row r="47" spans="1:4" x14ac:dyDescent="0.25">
      <c r="A47" s="124"/>
      <c r="B47" s="124"/>
      <c r="C47" s="52"/>
      <c r="D47" s="8"/>
    </row>
    <row r="48" spans="1:4" x14ac:dyDescent="0.25">
      <c r="A48" s="124"/>
      <c r="B48" s="124"/>
      <c r="C48" s="52"/>
      <c r="D48" s="8"/>
    </row>
    <row r="49" spans="1:4" x14ac:dyDescent="0.25">
      <c r="A49" s="124"/>
      <c r="B49" s="124"/>
      <c r="C49" s="52"/>
      <c r="D49" s="8"/>
    </row>
    <row r="50" spans="1:4" x14ac:dyDescent="0.25">
      <c r="A50" s="124"/>
      <c r="B50" s="124"/>
      <c r="C50" s="34"/>
      <c r="D50" s="8"/>
    </row>
    <row r="51" spans="1:4" x14ac:dyDescent="0.25">
      <c r="A51" s="124"/>
      <c r="B51" s="124"/>
      <c r="C51" s="34"/>
      <c r="D51" s="8"/>
    </row>
    <row r="52" spans="1:4" x14ac:dyDescent="0.25">
      <c r="A52" s="124"/>
      <c r="B52" s="124"/>
      <c r="C52" s="34"/>
      <c r="D52" s="8"/>
    </row>
    <row r="53" spans="1:4" x14ac:dyDescent="0.25">
      <c r="A53" s="124"/>
      <c r="B53" s="124"/>
      <c r="C53" s="34"/>
      <c r="D53" s="8"/>
    </row>
    <row r="54" spans="1:4" x14ac:dyDescent="0.25">
      <c r="A54" s="124"/>
      <c r="B54" s="124"/>
      <c r="C54" s="34"/>
      <c r="D54" s="8"/>
    </row>
    <row r="55" spans="1:4" x14ac:dyDescent="0.25">
      <c r="A55" s="124"/>
      <c r="B55" s="124"/>
      <c r="C55" s="34"/>
      <c r="D55" s="8"/>
    </row>
    <row r="56" spans="1:4" x14ac:dyDescent="0.25">
      <c r="A56" s="124"/>
      <c r="B56" s="124"/>
      <c r="C56" s="34"/>
      <c r="D56" s="8"/>
    </row>
    <row r="57" spans="1:4" x14ac:dyDescent="0.25">
      <c r="A57" s="124"/>
      <c r="B57" s="124"/>
      <c r="C57" s="52"/>
      <c r="D57" s="8"/>
    </row>
    <row r="58" spans="1:4" x14ac:dyDescent="0.25">
      <c r="A58" s="124"/>
      <c r="B58" s="124"/>
      <c r="C58" s="34"/>
      <c r="D58" s="8"/>
    </row>
    <row r="59" spans="1:4" x14ac:dyDescent="0.25">
      <c r="A59" s="124"/>
      <c r="B59" s="124"/>
      <c r="C59" s="34"/>
      <c r="D59" s="8"/>
    </row>
    <row r="60" spans="1:4" x14ac:dyDescent="0.25">
      <c r="A60" s="124"/>
      <c r="B60" s="124"/>
      <c r="C60" s="34"/>
      <c r="D60" s="8"/>
    </row>
    <row r="61" spans="1:4" x14ac:dyDescent="0.25">
      <c r="A61" s="124"/>
      <c r="B61" s="124"/>
      <c r="C61" s="34"/>
      <c r="D61" s="8"/>
    </row>
    <row r="62" spans="1:4" x14ac:dyDescent="0.25">
      <c r="A62" s="124"/>
      <c r="B62" s="124"/>
      <c r="C62" s="34"/>
      <c r="D62" s="8"/>
    </row>
    <row r="63" spans="1:4" x14ac:dyDescent="0.25">
      <c r="A63" s="124"/>
      <c r="B63" s="124"/>
      <c r="C63" s="34"/>
      <c r="D63" s="8"/>
    </row>
    <row r="64" spans="1:4" x14ac:dyDescent="0.25">
      <c r="A64" s="124"/>
      <c r="B64" s="124"/>
      <c r="C64" s="34"/>
      <c r="D64" s="8"/>
    </row>
    <row r="65" spans="1:4" x14ac:dyDescent="0.25">
      <c r="A65" s="124"/>
      <c r="B65" s="124"/>
      <c r="C65" s="52"/>
      <c r="D65" s="8"/>
    </row>
    <row r="66" spans="1:4" x14ac:dyDescent="0.25">
      <c r="A66" s="124"/>
      <c r="B66" s="124"/>
      <c r="C66" s="34"/>
      <c r="D66" s="8"/>
    </row>
    <row r="67" spans="1:4" x14ac:dyDescent="0.25">
      <c r="A67" s="124"/>
      <c r="B67" s="124"/>
      <c r="C67" s="34"/>
      <c r="D67" s="8"/>
    </row>
    <row r="68" spans="1:4" x14ac:dyDescent="0.25">
      <c r="A68" s="124"/>
      <c r="B68" s="124"/>
      <c r="C68" s="52"/>
      <c r="D68" s="34"/>
    </row>
    <row r="69" spans="1:4" x14ac:dyDescent="0.25">
      <c r="A69" s="124"/>
      <c r="B69" s="124"/>
      <c r="C69" s="52"/>
      <c r="D69" s="34"/>
    </row>
    <row r="70" spans="1:4" x14ac:dyDescent="0.25">
      <c r="A70" s="124"/>
      <c r="B70" s="124"/>
      <c r="C70" s="52"/>
      <c r="D70" s="14"/>
    </row>
    <row r="71" spans="1:4" x14ac:dyDescent="0.25">
      <c r="A71" s="124"/>
      <c r="B71" s="124"/>
      <c r="C71" s="52"/>
      <c r="D71" s="14"/>
    </row>
    <row r="72" spans="1:4" x14ac:dyDescent="0.25">
      <c r="A72" s="124"/>
      <c r="B72" s="124"/>
      <c r="C72" s="52"/>
      <c r="D72" s="14"/>
    </row>
    <row r="73" spans="1:4" x14ac:dyDescent="0.25">
      <c r="A73" s="124"/>
      <c r="B73" s="124"/>
      <c r="C73" s="52"/>
      <c r="D73" s="34"/>
    </row>
    <row r="74" spans="1:4" x14ac:dyDescent="0.25">
      <c r="A74" s="124"/>
      <c r="B74" s="124"/>
      <c r="C74" s="52"/>
      <c r="D74" s="14"/>
    </row>
    <row r="75" spans="1:4" x14ac:dyDescent="0.25">
      <c r="A75" s="124"/>
      <c r="B75" s="124"/>
      <c r="C75" s="52"/>
      <c r="D75" s="14"/>
    </row>
    <row r="76" spans="1:4" x14ac:dyDescent="0.25">
      <c r="A76" s="34"/>
      <c r="B76" s="34"/>
      <c r="C76" s="137"/>
      <c r="D76" s="137"/>
    </row>
    <row r="77" spans="1:4" x14ac:dyDescent="0.25">
      <c r="A77" s="34"/>
      <c r="B77" s="34"/>
      <c r="C77" s="34"/>
      <c r="D77" s="34"/>
    </row>
    <row r="78" spans="1:4" x14ac:dyDescent="0.25">
      <c r="A78" s="34"/>
      <c r="B78" s="34"/>
      <c r="C78" s="34"/>
      <c r="D78" s="34"/>
    </row>
    <row r="79" spans="1:4" x14ac:dyDescent="0.25">
      <c r="A79" s="34"/>
      <c r="B79" s="34"/>
      <c r="C79" s="34"/>
      <c r="D79" s="34"/>
    </row>
    <row r="80" spans="1:4" x14ac:dyDescent="0.25">
      <c r="A80" s="34"/>
      <c r="B80" s="34"/>
      <c r="C80" s="34"/>
      <c r="D80" s="34"/>
    </row>
    <row r="81" spans="1:4" x14ac:dyDescent="0.25">
      <c r="A81" s="34"/>
      <c r="B81" s="34"/>
      <c r="C81" s="34"/>
      <c r="D81" s="34"/>
    </row>
    <row r="82" spans="1:4" x14ac:dyDescent="0.25">
      <c r="A82" s="34"/>
      <c r="B82" s="34"/>
      <c r="C82" s="34"/>
      <c r="D82" s="34"/>
    </row>
    <row r="83" spans="1:4" x14ac:dyDescent="0.25">
      <c r="A83" s="34"/>
      <c r="B83" s="34"/>
      <c r="C83" s="34"/>
      <c r="D83" s="34"/>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M93"/>
  <sheetViews>
    <sheetView tabSelected="1" topLeftCell="A73" workbookViewId="0">
      <selection activeCell="C94" sqref="C94"/>
    </sheetView>
  </sheetViews>
  <sheetFormatPr defaultColWidth="8.85546875" defaultRowHeight="15" x14ac:dyDescent="0.25"/>
  <cols>
    <col min="1" max="1" width="13.5703125" style="5" customWidth="1"/>
    <col min="2" max="2" width="37.42578125" style="5" customWidth="1"/>
    <col min="3" max="3" width="13.5703125" style="5" customWidth="1"/>
    <col min="4" max="4" width="13.28515625" style="10" customWidth="1"/>
    <col min="5" max="5" width="12.7109375" style="5" customWidth="1"/>
    <col min="6" max="9" width="8.85546875" style="5"/>
    <col min="10" max="10" width="11.140625" style="10" bestFit="1" customWidth="1"/>
    <col min="11" max="11" width="8.85546875" style="5"/>
    <col min="12" max="13" width="10.140625" style="10" bestFit="1" customWidth="1"/>
    <col min="14" max="16384" width="8.85546875" style="5"/>
  </cols>
  <sheetData>
    <row r="1" spans="1:5" ht="15.75" x14ac:dyDescent="0.25">
      <c r="A1" s="144"/>
      <c r="B1" s="123"/>
      <c r="C1" s="85"/>
      <c r="D1" s="85"/>
      <c r="E1" s="85"/>
    </row>
    <row r="2" spans="1:5" ht="15.75" x14ac:dyDescent="0.25">
      <c r="A2" s="144">
        <v>44004</v>
      </c>
      <c r="B2" s="123" t="s">
        <v>3924</v>
      </c>
      <c r="C2" s="85"/>
      <c r="D2" s="85">
        <v>31487</v>
      </c>
      <c r="E2" s="85">
        <f>D2</f>
        <v>31487</v>
      </c>
    </row>
    <row r="3" spans="1:5" ht="15.75" x14ac:dyDescent="0.25">
      <c r="A3" s="144">
        <v>44004</v>
      </c>
      <c r="B3" s="123" t="s">
        <v>6749</v>
      </c>
      <c r="C3" s="85">
        <v>15000</v>
      </c>
      <c r="D3" s="85"/>
      <c r="E3" s="85">
        <f t="shared" ref="E3:E45" si="0">E2+D3-C3</f>
        <v>16487</v>
      </c>
    </row>
    <row r="4" spans="1:5" ht="15.75" x14ac:dyDescent="0.25">
      <c r="A4" s="144">
        <v>44004</v>
      </c>
      <c r="B4" s="123" t="s">
        <v>6750</v>
      </c>
      <c r="C4" s="85">
        <v>10000</v>
      </c>
      <c r="D4" s="85"/>
      <c r="E4" s="85">
        <f t="shared" si="0"/>
        <v>6487</v>
      </c>
    </row>
    <row r="5" spans="1:5" ht="15.75" x14ac:dyDescent="0.25">
      <c r="A5" s="144">
        <v>44009</v>
      </c>
      <c r="B5" s="123" t="s">
        <v>6750</v>
      </c>
      <c r="C5" s="85">
        <v>5000</v>
      </c>
      <c r="D5" s="85"/>
      <c r="E5" s="85">
        <f t="shared" si="0"/>
        <v>1487</v>
      </c>
    </row>
    <row r="6" spans="1:5" ht="15.75" x14ac:dyDescent="0.25">
      <c r="A6" s="144">
        <v>44009</v>
      </c>
      <c r="B6" s="123" t="s">
        <v>6750</v>
      </c>
      <c r="C6" s="85">
        <v>2000</v>
      </c>
      <c r="D6" s="85"/>
      <c r="E6" s="85">
        <f t="shared" si="0"/>
        <v>-513</v>
      </c>
    </row>
    <row r="7" spans="1:5" ht="15.75" x14ac:dyDescent="0.25">
      <c r="A7" s="144"/>
      <c r="B7" s="52" t="s">
        <v>3924</v>
      </c>
      <c r="C7" s="85"/>
      <c r="D7" s="85">
        <v>31520</v>
      </c>
      <c r="E7" s="85">
        <f t="shared" si="0"/>
        <v>31007</v>
      </c>
    </row>
    <row r="8" spans="1:5" ht="15.75" x14ac:dyDescent="0.25">
      <c r="A8" s="144"/>
      <c r="B8" s="52"/>
      <c r="C8" s="85">
        <v>8000</v>
      </c>
      <c r="D8" s="85"/>
      <c r="E8" s="85">
        <f t="shared" si="0"/>
        <v>23007</v>
      </c>
    </row>
    <row r="9" spans="1:5" ht="15.75" x14ac:dyDescent="0.25">
      <c r="A9" s="144">
        <v>44018</v>
      </c>
      <c r="B9" s="34" t="s">
        <v>6017</v>
      </c>
      <c r="C9" s="8">
        <v>5000</v>
      </c>
      <c r="D9" s="8"/>
      <c r="E9" s="85">
        <f t="shared" si="0"/>
        <v>18007</v>
      </c>
    </row>
    <row r="10" spans="1:5" ht="15.75" x14ac:dyDescent="0.25">
      <c r="A10" s="144">
        <v>44027</v>
      </c>
      <c r="B10" s="34" t="s">
        <v>6728</v>
      </c>
      <c r="C10" s="8">
        <v>15000</v>
      </c>
      <c r="D10" s="8"/>
      <c r="E10" s="85">
        <f t="shared" si="0"/>
        <v>3007</v>
      </c>
    </row>
    <row r="11" spans="1:5" ht="15.75" x14ac:dyDescent="0.25">
      <c r="A11" s="144">
        <v>44022</v>
      </c>
      <c r="B11" s="52" t="s">
        <v>3924</v>
      </c>
      <c r="C11" s="34"/>
      <c r="D11" s="8">
        <v>42300</v>
      </c>
      <c r="E11" s="85">
        <f t="shared" si="0"/>
        <v>45307</v>
      </c>
    </row>
    <row r="12" spans="1:5" ht="15.75" x14ac:dyDescent="0.25">
      <c r="A12" s="144"/>
      <c r="B12" s="34" t="s">
        <v>6728</v>
      </c>
      <c r="C12" s="8">
        <v>20000</v>
      </c>
      <c r="D12" s="8"/>
      <c r="E12" s="85">
        <f t="shared" si="0"/>
        <v>25307</v>
      </c>
    </row>
    <row r="13" spans="1:5" ht="15.75" x14ac:dyDescent="0.25">
      <c r="A13" s="144">
        <v>44043</v>
      </c>
      <c r="B13" s="34" t="s">
        <v>6751</v>
      </c>
      <c r="C13" s="34">
        <v>2500</v>
      </c>
      <c r="D13" s="8"/>
      <c r="E13" s="85">
        <f t="shared" si="0"/>
        <v>22807</v>
      </c>
    </row>
    <row r="14" spans="1:5" ht="15.75" x14ac:dyDescent="0.25">
      <c r="A14" s="144">
        <v>44043</v>
      </c>
      <c r="B14" s="34" t="s">
        <v>6751</v>
      </c>
      <c r="C14" s="51">
        <v>25000</v>
      </c>
      <c r="D14" s="12"/>
      <c r="E14" s="85">
        <f t="shared" si="0"/>
        <v>-2193</v>
      </c>
    </row>
    <row r="15" spans="1:5" ht="15.75" x14ac:dyDescent="0.25">
      <c r="A15" s="144">
        <v>44058</v>
      </c>
      <c r="B15" s="48" t="s">
        <v>6786</v>
      </c>
      <c r="C15" s="2"/>
      <c r="D15" s="12">
        <v>5000</v>
      </c>
      <c r="E15" s="85">
        <f>D15</f>
        <v>5000</v>
      </c>
    </row>
    <row r="16" spans="1:5" ht="15.75" x14ac:dyDescent="0.25">
      <c r="A16" s="144">
        <v>44058</v>
      </c>
      <c r="B16" s="48" t="s">
        <v>6817</v>
      </c>
      <c r="C16" s="2"/>
      <c r="D16" s="12">
        <v>30000</v>
      </c>
      <c r="E16" s="85">
        <f t="shared" si="0"/>
        <v>35000</v>
      </c>
    </row>
    <row r="17" spans="1:8" ht="15.75" x14ac:dyDescent="0.25">
      <c r="A17" s="144">
        <v>44058</v>
      </c>
      <c r="B17" s="48" t="s">
        <v>6817</v>
      </c>
      <c r="C17" s="2"/>
      <c r="D17" s="12">
        <v>102000</v>
      </c>
      <c r="E17" s="85">
        <f t="shared" si="0"/>
        <v>137000</v>
      </c>
    </row>
    <row r="18" spans="1:8" ht="15.75" x14ac:dyDescent="0.25">
      <c r="A18" s="144">
        <v>44058</v>
      </c>
      <c r="B18" s="2"/>
      <c r="C18" s="2"/>
      <c r="D18" s="12">
        <v>15000</v>
      </c>
      <c r="E18" s="85">
        <f t="shared" si="0"/>
        <v>152000</v>
      </c>
    </row>
    <row r="19" spans="1:8" ht="15.75" x14ac:dyDescent="0.25">
      <c r="A19" s="144">
        <v>44058</v>
      </c>
      <c r="B19" s="2"/>
      <c r="C19" s="2">
        <v>157818</v>
      </c>
      <c r="D19" s="12"/>
      <c r="E19" s="85">
        <f t="shared" si="0"/>
        <v>-5818</v>
      </c>
    </row>
    <row r="20" spans="1:8" ht="15.75" x14ac:dyDescent="0.25">
      <c r="A20" s="144">
        <v>44058</v>
      </c>
      <c r="C20" s="10">
        <v>21952</v>
      </c>
      <c r="E20" s="85">
        <f t="shared" si="0"/>
        <v>-27770</v>
      </c>
    </row>
    <row r="21" spans="1:8" ht="15.75" x14ac:dyDescent="0.25">
      <c r="A21" s="144">
        <v>44084</v>
      </c>
      <c r="B21" s="34" t="s">
        <v>6867</v>
      </c>
      <c r="C21" s="8"/>
      <c r="D21" s="8">
        <v>10000</v>
      </c>
      <c r="E21" s="85">
        <f t="shared" si="0"/>
        <v>-17770</v>
      </c>
    </row>
    <row r="22" spans="1:8" ht="15.75" x14ac:dyDescent="0.25">
      <c r="A22" s="144">
        <v>44084</v>
      </c>
      <c r="B22" s="34" t="s">
        <v>6893</v>
      </c>
      <c r="C22" s="8"/>
      <c r="D22" s="8">
        <v>10000</v>
      </c>
      <c r="E22" s="85">
        <f t="shared" si="0"/>
        <v>-7770</v>
      </c>
      <c r="G22" s="47"/>
    </row>
    <row r="23" spans="1:8" ht="15.75" x14ac:dyDescent="0.25">
      <c r="A23" s="144">
        <v>44084</v>
      </c>
      <c r="B23" s="34" t="s">
        <v>3924</v>
      </c>
      <c r="C23" s="8">
        <v>15615</v>
      </c>
      <c r="D23" s="8"/>
      <c r="E23" s="85">
        <f t="shared" si="0"/>
        <v>-23385</v>
      </c>
      <c r="G23" s="47"/>
    </row>
    <row r="24" spans="1:8" ht="15.75" x14ac:dyDescent="0.25">
      <c r="A24" s="144">
        <v>44088</v>
      </c>
      <c r="B24" s="34" t="s">
        <v>6892</v>
      </c>
      <c r="C24" s="8"/>
      <c r="D24" s="8">
        <v>20000</v>
      </c>
      <c r="E24" s="85">
        <f t="shared" si="0"/>
        <v>-3385</v>
      </c>
    </row>
    <row r="25" spans="1:8" ht="15.75" x14ac:dyDescent="0.25">
      <c r="A25" s="144">
        <v>44091</v>
      </c>
      <c r="B25" s="34" t="s">
        <v>6913</v>
      </c>
      <c r="C25" s="8"/>
      <c r="D25" s="8">
        <v>3000</v>
      </c>
      <c r="E25" s="85">
        <f t="shared" si="0"/>
        <v>-385</v>
      </c>
    </row>
    <row r="26" spans="1:8" ht="15.75" x14ac:dyDescent="0.25">
      <c r="A26" s="144">
        <v>44091</v>
      </c>
      <c r="B26" s="34" t="s">
        <v>6918</v>
      </c>
      <c r="C26" s="8"/>
      <c r="D26" s="8">
        <v>30000</v>
      </c>
      <c r="E26" s="85">
        <f t="shared" si="0"/>
        <v>29615</v>
      </c>
      <c r="H26" s="47"/>
    </row>
    <row r="27" spans="1:8" ht="15.75" x14ac:dyDescent="0.25">
      <c r="A27" s="144">
        <v>44091</v>
      </c>
      <c r="B27" s="34" t="s">
        <v>6787</v>
      </c>
      <c r="C27" s="8"/>
      <c r="D27" s="8">
        <v>4000</v>
      </c>
      <c r="E27" s="85">
        <f t="shared" si="0"/>
        <v>33615</v>
      </c>
    </row>
    <row r="28" spans="1:8" ht="15.75" x14ac:dyDescent="0.25">
      <c r="A28" s="144">
        <v>44096</v>
      </c>
      <c r="B28" s="34" t="s">
        <v>3924</v>
      </c>
      <c r="C28" s="8">
        <v>87350</v>
      </c>
      <c r="D28" s="8"/>
      <c r="E28" s="85">
        <f t="shared" si="0"/>
        <v>-53735</v>
      </c>
      <c r="H28" s="47"/>
    </row>
    <row r="29" spans="1:8" ht="15.75" x14ac:dyDescent="0.25">
      <c r="A29" s="144">
        <v>44096</v>
      </c>
      <c r="B29" s="34" t="s">
        <v>295</v>
      </c>
      <c r="C29" s="8"/>
      <c r="D29" s="8">
        <v>15000</v>
      </c>
      <c r="E29" s="85">
        <f t="shared" si="0"/>
        <v>-38735</v>
      </c>
    </row>
    <row r="30" spans="1:8" ht="15.75" x14ac:dyDescent="0.25">
      <c r="A30" s="144">
        <v>44104</v>
      </c>
      <c r="B30" s="34" t="s">
        <v>3924</v>
      </c>
      <c r="C30" s="8">
        <v>42185</v>
      </c>
      <c r="D30" s="8"/>
      <c r="E30" s="85">
        <f t="shared" si="0"/>
        <v>-80920</v>
      </c>
    </row>
    <row r="31" spans="1:8" ht="15.75" x14ac:dyDescent="0.25">
      <c r="A31" s="144">
        <v>44106</v>
      </c>
      <c r="B31" s="34" t="s">
        <v>6065</v>
      </c>
      <c r="C31" s="8"/>
      <c r="D31" s="8">
        <v>25000</v>
      </c>
      <c r="E31" s="85">
        <f t="shared" si="0"/>
        <v>-55920</v>
      </c>
      <c r="H31" s="47"/>
    </row>
    <row r="32" spans="1:8" ht="15.75" x14ac:dyDescent="0.25">
      <c r="A32" s="144">
        <v>44119</v>
      </c>
      <c r="B32" s="123" t="s">
        <v>7085</v>
      </c>
      <c r="C32" s="85"/>
      <c r="D32" s="85">
        <v>50000</v>
      </c>
      <c r="E32" s="85">
        <f t="shared" si="0"/>
        <v>-5920</v>
      </c>
    </row>
    <row r="33" spans="1:9" ht="15.75" x14ac:dyDescent="0.25">
      <c r="A33" s="144">
        <v>44121</v>
      </c>
      <c r="B33" s="123" t="s">
        <v>7107</v>
      </c>
      <c r="C33" s="85"/>
      <c r="D33" s="85">
        <v>35000</v>
      </c>
      <c r="E33" s="85">
        <f t="shared" si="0"/>
        <v>29080</v>
      </c>
    </row>
    <row r="34" spans="1:9" ht="15.75" x14ac:dyDescent="0.25">
      <c r="A34" s="144">
        <v>44118</v>
      </c>
      <c r="B34" s="34"/>
      <c r="C34" s="8">
        <v>21067</v>
      </c>
      <c r="D34" s="8"/>
      <c r="E34" s="85">
        <f t="shared" si="0"/>
        <v>8013</v>
      </c>
      <c r="G34" s="47"/>
    </row>
    <row r="35" spans="1:9" ht="15.75" x14ac:dyDescent="0.25">
      <c r="A35" s="144">
        <v>44123</v>
      </c>
      <c r="B35" s="34" t="s">
        <v>3924</v>
      </c>
      <c r="C35" s="8">
        <v>74124</v>
      </c>
      <c r="D35" s="8"/>
      <c r="E35" s="85">
        <f t="shared" si="0"/>
        <v>-66111</v>
      </c>
    </row>
    <row r="36" spans="1:9" ht="15.75" x14ac:dyDescent="0.25">
      <c r="A36" s="144">
        <v>44127</v>
      </c>
      <c r="B36" s="34" t="s">
        <v>7127</v>
      </c>
      <c r="C36" s="8"/>
      <c r="D36" s="8">
        <v>65000</v>
      </c>
      <c r="E36" s="85">
        <f t="shared" si="0"/>
        <v>-1111</v>
      </c>
      <c r="G36" s="47"/>
    </row>
    <row r="37" spans="1:9" ht="15.75" x14ac:dyDescent="0.25">
      <c r="A37" s="144">
        <v>44131</v>
      </c>
      <c r="B37" s="137" t="s">
        <v>7149</v>
      </c>
      <c r="C37" s="139"/>
      <c r="D37" s="8">
        <v>80000</v>
      </c>
      <c r="E37" s="85">
        <f t="shared" si="0"/>
        <v>78889</v>
      </c>
      <c r="G37" s="47"/>
    </row>
    <row r="38" spans="1:9" ht="15.75" x14ac:dyDescent="0.25">
      <c r="A38" s="144">
        <v>44133</v>
      </c>
      <c r="B38" s="26" t="s">
        <v>7161</v>
      </c>
      <c r="C38" s="8"/>
      <c r="D38" s="8">
        <v>20000</v>
      </c>
      <c r="E38" s="85">
        <f t="shared" si="0"/>
        <v>98889</v>
      </c>
    </row>
    <row r="39" spans="1:9" ht="15.75" x14ac:dyDescent="0.25">
      <c r="A39" s="144">
        <v>44133</v>
      </c>
      <c r="B39" s="34" t="s">
        <v>6065</v>
      </c>
      <c r="C39" s="8"/>
      <c r="D39" s="139">
        <v>30000</v>
      </c>
      <c r="E39" s="85">
        <f t="shared" si="0"/>
        <v>128889</v>
      </c>
    </row>
    <row r="40" spans="1:9" ht="15.75" x14ac:dyDescent="0.25">
      <c r="A40" s="144">
        <v>44138</v>
      </c>
      <c r="B40" s="34" t="s">
        <v>3924</v>
      </c>
      <c r="C40" s="8">
        <v>162272</v>
      </c>
      <c r="D40" s="139"/>
      <c r="E40" s="85">
        <f t="shared" si="0"/>
        <v>-33383</v>
      </c>
    </row>
    <row r="41" spans="1:9" ht="15.75" x14ac:dyDescent="0.25">
      <c r="A41" s="144">
        <v>44141</v>
      </c>
      <c r="B41" s="34" t="s">
        <v>7229</v>
      </c>
      <c r="C41" s="34"/>
      <c r="D41" s="139">
        <v>10000</v>
      </c>
      <c r="E41" s="85">
        <f t="shared" si="0"/>
        <v>-23383</v>
      </c>
      <c r="I41" s="164"/>
    </row>
    <row r="42" spans="1:9" ht="15.75" x14ac:dyDescent="0.25">
      <c r="A42" s="144">
        <v>44141</v>
      </c>
      <c r="B42" s="34" t="s">
        <v>295</v>
      </c>
      <c r="C42" s="34"/>
      <c r="D42" s="8">
        <v>20000</v>
      </c>
      <c r="E42" s="85">
        <f t="shared" si="0"/>
        <v>-3383</v>
      </c>
    </row>
    <row r="43" spans="1:9" ht="15.75" x14ac:dyDescent="0.25">
      <c r="A43" s="144">
        <v>44150</v>
      </c>
      <c r="B43" s="34" t="s">
        <v>295</v>
      </c>
      <c r="C43" s="34"/>
      <c r="D43" s="8">
        <v>15000</v>
      </c>
      <c r="E43" s="85">
        <f t="shared" si="0"/>
        <v>11617</v>
      </c>
    </row>
    <row r="44" spans="1:9" ht="15.75" x14ac:dyDescent="0.25">
      <c r="A44" s="144">
        <v>44154</v>
      </c>
      <c r="B44" s="34" t="s">
        <v>4655</v>
      </c>
      <c r="C44" s="8">
        <v>29482</v>
      </c>
      <c r="D44" s="8"/>
      <c r="E44" s="85">
        <f t="shared" si="0"/>
        <v>-17865</v>
      </c>
    </row>
    <row r="45" spans="1:9" ht="15.75" x14ac:dyDescent="0.25">
      <c r="A45" s="144">
        <v>44154</v>
      </c>
      <c r="B45" s="34" t="s">
        <v>4655</v>
      </c>
      <c r="C45" s="8">
        <v>37593</v>
      </c>
      <c r="D45" s="8"/>
      <c r="E45" s="85">
        <f t="shared" si="0"/>
        <v>-55458</v>
      </c>
    </row>
    <row r="46" spans="1:9" ht="15.75" x14ac:dyDescent="0.25">
      <c r="A46" s="144">
        <v>44158</v>
      </c>
      <c r="B46" s="34" t="s">
        <v>6969</v>
      </c>
      <c r="C46" s="34"/>
      <c r="D46" s="8">
        <v>55000</v>
      </c>
      <c r="E46" s="85">
        <v>0</v>
      </c>
    </row>
    <row r="47" spans="1:9" ht="15.75" x14ac:dyDescent="0.25">
      <c r="A47" s="144">
        <v>44169</v>
      </c>
      <c r="B47" s="34" t="s">
        <v>7288</v>
      </c>
      <c r="C47" s="8"/>
      <c r="D47" s="8">
        <v>5000</v>
      </c>
      <c r="E47" s="85">
        <v>5000</v>
      </c>
    </row>
    <row r="48" spans="1:9" ht="15.75" x14ac:dyDescent="0.25">
      <c r="A48" s="144">
        <v>44169</v>
      </c>
      <c r="B48" s="34" t="s">
        <v>7289</v>
      </c>
      <c r="C48" s="8">
        <v>58569</v>
      </c>
      <c r="D48" s="8"/>
      <c r="E48" s="85">
        <f t="shared" ref="E48:E79" si="1">E47+D48-C48</f>
        <v>-53569</v>
      </c>
    </row>
    <row r="49" spans="1:5" ht="15.75" x14ac:dyDescent="0.25">
      <c r="A49" s="144">
        <v>44175</v>
      </c>
      <c r="B49" s="34" t="s">
        <v>295</v>
      </c>
      <c r="C49" s="8"/>
      <c r="D49" s="8">
        <v>53569</v>
      </c>
      <c r="E49" s="85">
        <f t="shared" si="1"/>
        <v>0</v>
      </c>
    </row>
    <row r="50" spans="1:5" ht="15.75" x14ac:dyDescent="0.25">
      <c r="A50" s="144">
        <v>44177</v>
      </c>
      <c r="B50" s="34" t="s">
        <v>6065</v>
      </c>
      <c r="C50" s="34"/>
      <c r="D50" s="8">
        <v>5000</v>
      </c>
      <c r="E50" s="85">
        <f t="shared" si="1"/>
        <v>5000</v>
      </c>
    </row>
    <row r="51" spans="1:5" ht="15.75" x14ac:dyDescent="0.25">
      <c r="A51" s="144">
        <v>44175</v>
      </c>
      <c r="B51" s="34" t="s">
        <v>7326</v>
      </c>
      <c r="C51" s="34"/>
      <c r="D51" s="8">
        <v>15000</v>
      </c>
      <c r="E51" s="85">
        <f t="shared" si="1"/>
        <v>20000</v>
      </c>
    </row>
    <row r="52" spans="1:5" ht="15.75" x14ac:dyDescent="0.25">
      <c r="A52" s="144">
        <v>44175</v>
      </c>
      <c r="B52" s="34" t="s">
        <v>7327</v>
      </c>
      <c r="C52" s="34"/>
      <c r="D52" s="8">
        <v>2850</v>
      </c>
      <c r="E52" s="85">
        <f t="shared" si="1"/>
        <v>22850</v>
      </c>
    </row>
    <row r="53" spans="1:5" ht="15.75" x14ac:dyDescent="0.25">
      <c r="A53" s="144">
        <v>44186</v>
      </c>
      <c r="B53" s="34" t="s">
        <v>295</v>
      </c>
      <c r="C53" s="34"/>
      <c r="D53" s="8">
        <v>430</v>
      </c>
      <c r="E53" s="85">
        <f t="shared" si="1"/>
        <v>23280</v>
      </c>
    </row>
    <row r="54" spans="1:5" ht="15.75" x14ac:dyDescent="0.25">
      <c r="A54" s="144">
        <v>44186</v>
      </c>
      <c r="B54" s="34"/>
      <c r="C54" s="8"/>
      <c r="D54" s="8">
        <v>5000</v>
      </c>
      <c r="E54" s="85">
        <f t="shared" si="1"/>
        <v>28280</v>
      </c>
    </row>
    <row r="55" spans="1:5" ht="15.75" x14ac:dyDescent="0.25">
      <c r="A55" s="144">
        <v>44186</v>
      </c>
      <c r="B55" s="34"/>
      <c r="C55" s="8">
        <v>33820</v>
      </c>
      <c r="D55" s="8"/>
      <c r="E55" s="85">
        <f t="shared" si="1"/>
        <v>-5540</v>
      </c>
    </row>
    <row r="56" spans="1:5" ht="15.75" x14ac:dyDescent="0.25">
      <c r="A56" s="144">
        <v>44290</v>
      </c>
      <c r="B56" s="34" t="s">
        <v>6951</v>
      </c>
      <c r="C56" s="8"/>
      <c r="D56" s="8">
        <v>5500</v>
      </c>
      <c r="E56" s="85">
        <v>0</v>
      </c>
    </row>
    <row r="57" spans="1:5" ht="15.75" x14ac:dyDescent="0.25">
      <c r="A57" s="144">
        <v>44290</v>
      </c>
      <c r="B57" s="34" t="s">
        <v>7374</v>
      </c>
      <c r="C57" s="8"/>
      <c r="D57" s="8">
        <v>20000</v>
      </c>
      <c r="E57" s="85">
        <f t="shared" si="1"/>
        <v>20000</v>
      </c>
    </row>
    <row r="58" spans="1:5" ht="15.75" x14ac:dyDescent="0.25">
      <c r="A58" s="144">
        <v>44302</v>
      </c>
      <c r="B58" s="34" t="s">
        <v>295</v>
      </c>
      <c r="C58" s="8"/>
      <c r="D58" s="8">
        <v>20000</v>
      </c>
      <c r="E58" s="85">
        <f t="shared" si="1"/>
        <v>40000</v>
      </c>
    </row>
    <row r="59" spans="1:5" ht="15.75" x14ac:dyDescent="0.25">
      <c r="A59" s="144">
        <v>44302</v>
      </c>
      <c r="B59" s="52" t="s">
        <v>3924</v>
      </c>
      <c r="C59" s="8">
        <v>27935</v>
      </c>
      <c r="D59" s="8"/>
      <c r="E59" s="85">
        <f t="shared" si="1"/>
        <v>12065</v>
      </c>
    </row>
    <row r="60" spans="1:5" ht="15.75" x14ac:dyDescent="0.25">
      <c r="A60" s="144">
        <v>44214</v>
      </c>
      <c r="B60" s="52" t="s">
        <v>295</v>
      </c>
      <c r="C60" s="8"/>
      <c r="D60" s="8">
        <v>100000</v>
      </c>
      <c r="E60" s="85">
        <f t="shared" si="1"/>
        <v>112065</v>
      </c>
    </row>
    <row r="61" spans="1:5" ht="15.75" x14ac:dyDescent="0.25">
      <c r="A61" s="144">
        <v>44229</v>
      </c>
      <c r="B61" s="34" t="s">
        <v>3924</v>
      </c>
      <c r="C61" s="8">
        <v>45925</v>
      </c>
      <c r="D61" s="8"/>
      <c r="E61" s="85">
        <f t="shared" si="1"/>
        <v>66140</v>
      </c>
    </row>
    <row r="62" spans="1:5" ht="15.75" x14ac:dyDescent="0.25">
      <c r="A62" s="144">
        <v>44229</v>
      </c>
      <c r="B62" s="34" t="s">
        <v>3924</v>
      </c>
      <c r="C62" s="8">
        <v>47040</v>
      </c>
      <c r="D62" s="8"/>
      <c r="E62" s="85">
        <f t="shared" si="1"/>
        <v>19100</v>
      </c>
    </row>
    <row r="63" spans="1:5" ht="15.75" x14ac:dyDescent="0.25">
      <c r="A63" s="144">
        <v>44241</v>
      </c>
      <c r="B63" s="34" t="s">
        <v>295</v>
      </c>
      <c r="C63" s="8"/>
      <c r="D63" s="8">
        <v>20000</v>
      </c>
      <c r="E63" s="85">
        <f t="shared" si="1"/>
        <v>39100</v>
      </c>
    </row>
    <row r="64" spans="1:5" ht="15.75" x14ac:dyDescent="0.25">
      <c r="A64" s="144">
        <v>44245</v>
      </c>
      <c r="B64" s="34" t="s">
        <v>4390</v>
      </c>
      <c r="C64" s="34">
        <v>30247</v>
      </c>
      <c r="D64" s="8"/>
      <c r="E64" s="85">
        <f t="shared" si="1"/>
        <v>8853</v>
      </c>
    </row>
    <row r="65" spans="1:5" ht="15.75" x14ac:dyDescent="0.25">
      <c r="A65" s="144">
        <v>44261</v>
      </c>
      <c r="B65" s="34" t="s">
        <v>7716</v>
      </c>
      <c r="C65" s="34"/>
      <c r="D65" s="8">
        <v>50000</v>
      </c>
      <c r="E65" s="85">
        <f t="shared" si="1"/>
        <v>58853</v>
      </c>
    </row>
    <row r="66" spans="1:5" ht="15.75" x14ac:dyDescent="0.25">
      <c r="A66" s="144">
        <v>44272</v>
      </c>
      <c r="B66" s="34" t="s">
        <v>295</v>
      </c>
      <c r="C66" s="34"/>
      <c r="D66" s="8">
        <v>20000</v>
      </c>
      <c r="E66" s="85">
        <f t="shared" si="1"/>
        <v>78853</v>
      </c>
    </row>
    <row r="67" spans="1:5" ht="15.75" x14ac:dyDescent="0.25">
      <c r="A67" s="144">
        <v>44272</v>
      </c>
      <c r="B67" s="34" t="s">
        <v>4390</v>
      </c>
      <c r="C67" s="8">
        <v>75516</v>
      </c>
      <c r="D67" s="8"/>
      <c r="E67" s="85">
        <f t="shared" si="1"/>
        <v>3337</v>
      </c>
    </row>
    <row r="68" spans="1:5" ht="15.75" x14ac:dyDescent="0.25">
      <c r="A68" s="144">
        <v>44277</v>
      </c>
      <c r="B68" s="34" t="s">
        <v>295</v>
      </c>
      <c r="C68" s="34"/>
      <c r="D68" s="8">
        <v>20000</v>
      </c>
      <c r="E68" s="85">
        <f t="shared" si="1"/>
        <v>23337</v>
      </c>
    </row>
    <row r="69" spans="1:5" ht="15.75" x14ac:dyDescent="0.25">
      <c r="A69" s="144">
        <v>44281</v>
      </c>
      <c r="B69" s="34" t="s">
        <v>3924</v>
      </c>
      <c r="C69" s="34">
        <v>94340</v>
      </c>
      <c r="D69" s="8"/>
      <c r="E69" s="85">
        <f t="shared" si="1"/>
        <v>-71003</v>
      </c>
    </row>
    <row r="70" spans="1:5" ht="15.75" x14ac:dyDescent="0.25">
      <c r="A70" s="144">
        <v>44282</v>
      </c>
      <c r="B70" s="34" t="s">
        <v>7716</v>
      </c>
      <c r="C70" s="34"/>
      <c r="D70" s="8">
        <v>5000</v>
      </c>
      <c r="E70" s="85">
        <f t="shared" si="1"/>
        <v>-66003</v>
      </c>
    </row>
    <row r="71" spans="1:5" ht="15.75" x14ac:dyDescent="0.25">
      <c r="A71" s="144">
        <v>44287</v>
      </c>
      <c r="B71" s="52" t="s">
        <v>295</v>
      </c>
      <c r="C71" s="34"/>
      <c r="D71" s="8">
        <v>100000</v>
      </c>
      <c r="E71" s="85">
        <f t="shared" si="1"/>
        <v>33997</v>
      </c>
    </row>
    <row r="72" spans="1:5" ht="15.75" x14ac:dyDescent="0.25">
      <c r="A72" s="144">
        <v>44298</v>
      </c>
      <c r="B72" s="52" t="s">
        <v>3924</v>
      </c>
      <c r="C72" s="34">
        <v>64875</v>
      </c>
      <c r="D72" s="8"/>
      <c r="E72" s="85">
        <f t="shared" si="1"/>
        <v>-30878</v>
      </c>
    </row>
    <row r="73" spans="1:5" ht="15.75" x14ac:dyDescent="0.25">
      <c r="A73" s="144">
        <v>44301</v>
      </c>
      <c r="B73" s="52" t="s">
        <v>295</v>
      </c>
      <c r="C73" s="34"/>
      <c r="D73" s="8">
        <v>30000</v>
      </c>
      <c r="E73" s="85">
        <f t="shared" si="1"/>
        <v>-878</v>
      </c>
    </row>
    <row r="74" spans="1:5" ht="15.75" x14ac:dyDescent="0.25">
      <c r="A74" s="144">
        <v>44301</v>
      </c>
      <c r="B74" s="52" t="s">
        <v>3924</v>
      </c>
      <c r="C74" s="34">
        <v>21336</v>
      </c>
      <c r="D74" s="8"/>
      <c r="E74" s="85">
        <f t="shared" si="1"/>
        <v>-22214</v>
      </c>
    </row>
    <row r="75" spans="1:5" ht="15.75" x14ac:dyDescent="0.25">
      <c r="A75" s="144">
        <v>44301</v>
      </c>
      <c r="B75" s="52" t="s">
        <v>295</v>
      </c>
      <c r="C75" s="34"/>
      <c r="D75" s="8">
        <v>22000</v>
      </c>
      <c r="E75" s="85">
        <f t="shared" si="1"/>
        <v>-214</v>
      </c>
    </row>
    <row r="76" spans="1:5" ht="15.75" x14ac:dyDescent="0.25">
      <c r="A76" s="144">
        <v>44319</v>
      </c>
      <c r="B76" s="34" t="s">
        <v>7716</v>
      </c>
      <c r="C76" s="34"/>
      <c r="D76" s="8">
        <v>40000</v>
      </c>
      <c r="E76" s="85">
        <f t="shared" si="1"/>
        <v>39786</v>
      </c>
    </row>
    <row r="77" spans="1:5" ht="15.75" x14ac:dyDescent="0.25">
      <c r="A77" s="144">
        <v>44321</v>
      </c>
      <c r="B77" s="52" t="s">
        <v>4390</v>
      </c>
      <c r="C77" s="34">
        <v>65310</v>
      </c>
      <c r="D77" s="8"/>
      <c r="E77" s="85">
        <f t="shared" si="1"/>
        <v>-25524</v>
      </c>
    </row>
    <row r="78" spans="1:5" ht="15.75" x14ac:dyDescent="0.25">
      <c r="A78" s="144">
        <v>44336</v>
      </c>
      <c r="B78" s="52" t="s">
        <v>8127</v>
      </c>
      <c r="C78" s="34"/>
      <c r="D78" s="8">
        <v>20000</v>
      </c>
      <c r="E78" s="85">
        <f t="shared" si="1"/>
        <v>-5524</v>
      </c>
    </row>
    <row r="79" spans="1:5" ht="15.75" x14ac:dyDescent="0.25">
      <c r="A79" s="144">
        <v>44317</v>
      </c>
      <c r="B79" s="52" t="s">
        <v>4390</v>
      </c>
      <c r="C79" s="34">
        <v>38342</v>
      </c>
      <c r="D79" s="8"/>
      <c r="E79" s="85">
        <f t="shared" si="1"/>
        <v>-43866</v>
      </c>
    </row>
    <row r="80" spans="1:5" ht="15.75" x14ac:dyDescent="0.25">
      <c r="A80" s="144">
        <v>44350</v>
      </c>
      <c r="B80" s="34" t="s">
        <v>7716</v>
      </c>
      <c r="C80" s="34"/>
      <c r="D80" s="8">
        <v>20000</v>
      </c>
      <c r="E80" s="85">
        <f t="shared" ref="E80:E93" si="2">E79+D80-C80</f>
        <v>-23866</v>
      </c>
    </row>
    <row r="81" spans="1:5" ht="15.75" x14ac:dyDescent="0.25">
      <c r="A81" s="144">
        <v>44352</v>
      </c>
      <c r="B81" s="34" t="s">
        <v>7716</v>
      </c>
      <c r="C81" s="34"/>
      <c r="D81" s="8">
        <v>70000</v>
      </c>
      <c r="E81" s="85">
        <f t="shared" si="2"/>
        <v>46134</v>
      </c>
    </row>
    <row r="82" spans="1:5" ht="15.75" x14ac:dyDescent="0.25">
      <c r="A82" s="144">
        <v>44355</v>
      </c>
      <c r="B82" s="52" t="s">
        <v>4390</v>
      </c>
      <c r="C82" s="34">
        <v>62305</v>
      </c>
      <c r="D82" s="8"/>
      <c r="E82" s="85">
        <f t="shared" si="2"/>
        <v>-16171</v>
      </c>
    </row>
    <row r="83" spans="1:5" ht="15.75" x14ac:dyDescent="0.25">
      <c r="A83" s="144">
        <v>44361</v>
      </c>
      <c r="B83" s="48" t="s">
        <v>8237</v>
      </c>
      <c r="D83" s="10">
        <v>15000</v>
      </c>
      <c r="E83" s="85">
        <f t="shared" si="2"/>
        <v>-1171</v>
      </c>
    </row>
    <row r="84" spans="1:5" ht="15.75" x14ac:dyDescent="0.25">
      <c r="A84" s="144">
        <v>44366</v>
      </c>
      <c r="B84" s="48" t="s">
        <v>8237</v>
      </c>
      <c r="D84" s="10">
        <v>20000</v>
      </c>
      <c r="E84" s="85">
        <f t="shared" si="2"/>
        <v>18829</v>
      </c>
    </row>
    <row r="85" spans="1:5" ht="15.75" x14ac:dyDescent="0.25">
      <c r="A85" s="144">
        <v>44370</v>
      </c>
      <c r="B85" s="48" t="s">
        <v>8283</v>
      </c>
      <c r="D85" s="10">
        <v>14000</v>
      </c>
      <c r="E85" s="85">
        <f t="shared" si="2"/>
        <v>32829</v>
      </c>
    </row>
    <row r="86" spans="1:5" ht="15.75" x14ac:dyDescent="0.25">
      <c r="A86" s="144">
        <v>44371</v>
      </c>
      <c r="B86" s="48" t="s">
        <v>8294</v>
      </c>
      <c r="C86" s="5">
        <v>35000</v>
      </c>
      <c r="E86" s="85">
        <f t="shared" si="2"/>
        <v>-2171</v>
      </c>
    </row>
    <row r="87" spans="1:5" ht="15.75" x14ac:dyDescent="0.25">
      <c r="A87" s="144">
        <v>44371</v>
      </c>
      <c r="B87" s="48" t="s">
        <v>439</v>
      </c>
      <c r="D87" s="10">
        <v>10000</v>
      </c>
      <c r="E87" s="85">
        <f t="shared" si="2"/>
        <v>7829</v>
      </c>
    </row>
    <row r="88" spans="1:5" ht="15.75" x14ac:dyDescent="0.25">
      <c r="A88" s="144">
        <v>44373</v>
      </c>
      <c r="B88" s="48" t="s">
        <v>439</v>
      </c>
      <c r="D88" s="10">
        <v>20000</v>
      </c>
      <c r="E88" s="85">
        <f t="shared" si="2"/>
        <v>27829</v>
      </c>
    </row>
    <row r="89" spans="1:5" ht="15.75" x14ac:dyDescent="0.25">
      <c r="A89" s="144">
        <v>44373</v>
      </c>
      <c r="B89" s="48" t="s">
        <v>8312</v>
      </c>
      <c r="D89" s="10">
        <v>3000</v>
      </c>
      <c r="E89" s="85">
        <f t="shared" si="2"/>
        <v>30829</v>
      </c>
    </row>
    <row r="90" spans="1:5" ht="15.75" x14ac:dyDescent="0.25">
      <c r="A90" s="144">
        <v>44373</v>
      </c>
      <c r="B90" s="48" t="s">
        <v>3924</v>
      </c>
      <c r="C90" s="5">
        <v>57729</v>
      </c>
      <c r="E90" s="85">
        <f t="shared" si="2"/>
        <v>-26900</v>
      </c>
    </row>
    <row r="91" spans="1:5" ht="15.75" x14ac:dyDescent="0.25">
      <c r="A91" s="144">
        <v>44377</v>
      </c>
      <c r="B91" s="48" t="s">
        <v>439</v>
      </c>
      <c r="D91" s="10">
        <v>30000</v>
      </c>
      <c r="E91" s="85">
        <f t="shared" si="2"/>
        <v>3100</v>
      </c>
    </row>
    <row r="92" spans="1:5" ht="15.75" x14ac:dyDescent="0.25">
      <c r="A92" s="144">
        <v>44380</v>
      </c>
      <c r="B92" s="34" t="s">
        <v>7716</v>
      </c>
      <c r="D92" s="10">
        <v>5000</v>
      </c>
      <c r="E92" s="85">
        <f t="shared" si="2"/>
        <v>8100</v>
      </c>
    </row>
    <row r="93" spans="1:5" ht="15.75" x14ac:dyDescent="0.25">
      <c r="A93" s="144">
        <v>44380</v>
      </c>
      <c r="D93" s="10">
        <v>10000</v>
      </c>
      <c r="E93" s="85">
        <f t="shared" si="2"/>
        <v>18100</v>
      </c>
    </row>
  </sheetData>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P630"/>
  <sheetViews>
    <sheetView topLeftCell="A589" workbookViewId="0">
      <selection activeCell="F632" sqref="F632"/>
    </sheetView>
  </sheetViews>
  <sheetFormatPr defaultColWidth="8.85546875" defaultRowHeight="15" x14ac:dyDescent="0.25"/>
  <cols>
    <col min="1" max="1" width="11.5703125" style="5" customWidth="1"/>
    <col min="2" max="2" width="5.28515625" style="5" customWidth="1"/>
    <col min="3" max="3" width="34.28515625" style="5" customWidth="1"/>
    <col min="4" max="4" width="10" style="10" bestFit="1" customWidth="1"/>
    <col min="5" max="5" width="12.28515625" style="10" customWidth="1"/>
    <col min="6" max="6" width="12.7109375" style="5" customWidth="1"/>
    <col min="7" max="7" width="3.7109375" style="5" bestFit="1" customWidth="1"/>
    <col min="8" max="8" width="8.85546875" style="5"/>
    <col min="9" max="10" width="10" style="5" bestFit="1" customWidth="1"/>
    <col min="11" max="11" width="23" style="10" bestFit="1" customWidth="1"/>
    <col min="12" max="12" width="8.85546875" style="5"/>
    <col min="13" max="14" width="8.5703125" style="5" bestFit="1" customWidth="1"/>
    <col min="15" max="15" width="8.85546875" style="5"/>
    <col min="16" max="16" width="9.140625" style="5" bestFit="1" customWidth="1"/>
    <col min="17" max="16384" width="8.85546875" style="5"/>
  </cols>
  <sheetData>
    <row r="1" spans="1:14" x14ac:dyDescent="0.25">
      <c r="A1" s="90"/>
      <c r="B1" s="529" t="s">
        <v>4395</v>
      </c>
      <c r="C1" s="529"/>
      <c r="D1" s="111"/>
      <c r="E1" s="112"/>
      <c r="F1" s="113">
        <v>604268</v>
      </c>
    </row>
    <row r="2" spans="1:14" x14ac:dyDescent="0.25">
      <c r="A2" s="90" t="s">
        <v>4396</v>
      </c>
      <c r="B2" s="52"/>
      <c r="C2" s="52" t="s">
        <v>4397</v>
      </c>
      <c r="D2" s="14">
        <v>26250</v>
      </c>
      <c r="E2" s="14"/>
      <c r="F2" s="113">
        <f t="shared" ref="F2:F33" si="0">F1-D2+E2</f>
        <v>578018</v>
      </c>
      <c r="N2" s="10"/>
    </row>
    <row r="3" spans="1:14" x14ac:dyDescent="0.25">
      <c r="A3" s="90" t="s">
        <v>4396</v>
      </c>
      <c r="B3" s="52"/>
      <c r="C3" s="72" t="s">
        <v>4398</v>
      </c>
      <c r="D3" s="14">
        <v>5000</v>
      </c>
      <c r="E3" s="14"/>
      <c r="F3" s="113">
        <f t="shared" si="0"/>
        <v>573018</v>
      </c>
    </row>
    <row r="4" spans="1:14" x14ac:dyDescent="0.25">
      <c r="A4" s="90" t="s">
        <v>4396</v>
      </c>
      <c r="B4" s="52"/>
      <c r="C4" s="72" t="s">
        <v>4399</v>
      </c>
      <c r="D4" s="14">
        <v>3000</v>
      </c>
      <c r="E4" s="14"/>
      <c r="F4" s="113">
        <f t="shared" si="0"/>
        <v>570018</v>
      </c>
    </row>
    <row r="5" spans="1:14" x14ac:dyDescent="0.25">
      <c r="A5" s="90" t="s">
        <v>4400</v>
      </c>
      <c r="B5" s="34"/>
      <c r="C5" s="70" t="s">
        <v>4399</v>
      </c>
      <c r="D5" s="8">
        <v>26500</v>
      </c>
      <c r="E5" s="8"/>
      <c r="F5" s="113">
        <f t="shared" si="0"/>
        <v>543518</v>
      </c>
      <c r="M5" s="10"/>
    </row>
    <row r="6" spans="1:14" x14ac:dyDescent="0.25">
      <c r="A6" s="90"/>
      <c r="B6" s="34"/>
      <c r="C6" s="34" t="s">
        <v>4401</v>
      </c>
      <c r="D6" s="8">
        <v>10000</v>
      </c>
      <c r="E6" s="8"/>
      <c r="F6" s="113">
        <f t="shared" si="0"/>
        <v>533518</v>
      </c>
      <c r="M6" s="10"/>
    </row>
    <row r="7" spans="1:14" x14ac:dyDescent="0.25">
      <c r="A7" s="90"/>
      <c r="B7" s="52"/>
      <c r="C7" s="72" t="s">
        <v>4402</v>
      </c>
      <c r="D7" s="14">
        <v>10000</v>
      </c>
      <c r="E7" s="14"/>
      <c r="F7" s="113">
        <f t="shared" si="0"/>
        <v>523518</v>
      </c>
      <c r="M7" s="10"/>
    </row>
    <row r="8" spans="1:14" x14ac:dyDescent="0.25">
      <c r="A8" s="90"/>
      <c r="B8" s="34"/>
      <c r="C8" s="34" t="s">
        <v>21</v>
      </c>
      <c r="D8" s="8">
        <v>5000</v>
      </c>
      <c r="E8" s="8"/>
      <c r="F8" s="113">
        <f t="shared" si="0"/>
        <v>518518</v>
      </c>
      <c r="M8" s="10"/>
    </row>
    <row r="9" spans="1:14" x14ac:dyDescent="0.25">
      <c r="A9" s="90"/>
      <c r="B9" s="34"/>
      <c r="C9" s="34" t="s">
        <v>1087</v>
      </c>
      <c r="D9" s="8">
        <v>13192</v>
      </c>
      <c r="E9" s="8"/>
      <c r="F9" s="113">
        <f t="shared" si="0"/>
        <v>505326</v>
      </c>
      <c r="M9" s="10"/>
    </row>
    <row r="10" spans="1:14" x14ac:dyDescent="0.25">
      <c r="A10" s="8"/>
      <c r="B10" s="8"/>
      <c r="C10" s="128" t="s">
        <v>4403</v>
      </c>
      <c r="D10" s="8">
        <v>20600</v>
      </c>
      <c r="E10" s="8"/>
      <c r="F10" s="113">
        <f t="shared" si="0"/>
        <v>484726</v>
      </c>
      <c r="M10" s="10"/>
    </row>
    <row r="11" spans="1:14" x14ac:dyDescent="0.25">
      <c r="A11" s="8" t="s">
        <v>4404</v>
      </c>
      <c r="B11" s="8"/>
      <c r="C11" s="128" t="s">
        <v>4405</v>
      </c>
      <c r="D11" s="8">
        <v>100000</v>
      </c>
      <c r="E11" s="8"/>
      <c r="F11" s="113">
        <f t="shared" si="0"/>
        <v>384726</v>
      </c>
      <c r="M11" s="10"/>
    </row>
    <row r="12" spans="1:14" x14ac:dyDescent="0.25">
      <c r="A12" s="8"/>
      <c r="B12" s="8"/>
      <c r="C12" s="128" t="s">
        <v>4406</v>
      </c>
      <c r="D12" s="8">
        <v>40000</v>
      </c>
      <c r="E12" s="8"/>
      <c r="F12" s="113">
        <f t="shared" si="0"/>
        <v>344726</v>
      </c>
      <c r="M12" s="10"/>
    </row>
    <row r="13" spans="1:14" x14ac:dyDescent="0.25">
      <c r="A13" s="8"/>
      <c r="B13" s="8"/>
      <c r="C13" s="128" t="s">
        <v>4407</v>
      </c>
      <c r="D13" s="8">
        <v>15000</v>
      </c>
      <c r="E13" s="8"/>
      <c r="F13" s="113">
        <f t="shared" si="0"/>
        <v>329726</v>
      </c>
      <c r="M13" s="10"/>
    </row>
    <row r="14" spans="1:14" x14ac:dyDescent="0.25">
      <c r="A14" s="8"/>
      <c r="B14" s="8"/>
      <c r="C14" s="128" t="s">
        <v>4408</v>
      </c>
      <c r="D14" s="8">
        <v>17000</v>
      </c>
      <c r="E14" s="8"/>
      <c r="F14" s="113">
        <f t="shared" si="0"/>
        <v>312726</v>
      </c>
      <c r="M14" s="10"/>
    </row>
    <row r="15" spans="1:14" x14ac:dyDescent="0.25">
      <c r="A15" s="8"/>
      <c r="B15" s="8"/>
      <c r="C15" s="128" t="s">
        <v>4409</v>
      </c>
      <c r="D15" s="8">
        <v>3000</v>
      </c>
      <c r="E15" s="8"/>
      <c r="F15" s="113">
        <f t="shared" si="0"/>
        <v>309726</v>
      </c>
      <c r="M15" s="10"/>
    </row>
    <row r="16" spans="1:14" x14ac:dyDescent="0.25">
      <c r="A16" s="8"/>
      <c r="B16" s="8"/>
      <c r="C16" s="128" t="s">
        <v>1052</v>
      </c>
      <c r="D16" s="8">
        <v>25000</v>
      </c>
      <c r="E16" s="8"/>
      <c r="F16" s="113">
        <f t="shared" si="0"/>
        <v>284726</v>
      </c>
      <c r="M16" s="10"/>
    </row>
    <row r="17" spans="1:16" x14ac:dyDescent="0.25">
      <c r="A17" s="8"/>
      <c r="B17" s="8"/>
      <c r="C17" s="128" t="s">
        <v>1052</v>
      </c>
      <c r="D17" s="8">
        <v>50000</v>
      </c>
      <c r="E17" s="8"/>
      <c r="F17" s="113">
        <f t="shared" si="0"/>
        <v>234726</v>
      </c>
      <c r="M17" s="10"/>
    </row>
    <row r="18" spans="1:16" x14ac:dyDescent="0.25">
      <c r="A18" s="8"/>
      <c r="B18" s="8"/>
      <c r="C18" s="128" t="s">
        <v>2099</v>
      </c>
      <c r="D18" s="8">
        <v>20000</v>
      </c>
      <c r="E18" s="8"/>
      <c r="F18" s="113">
        <f t="shared" si="0"/>
        <v>214726</v>
      </c>
      <c r="M18" s="10"/>
    </row>
    <row r="19" spans="1:16" x14ac:dyDescent="0.25">
      <c r="A19" s="8"/>
      <c r="B19" s="8"/>
      <c r="C19" s="128" t="s">
        <v>3659</v>
      </c>
      <c r="D19" s="8">
        <v>30780</v>
      </c>
      <c r="E19" s="8"/>
      <c r="F19" s="113">
        <f t="shared" si="0"/>
        <v>183946</v>
      </c>
      <c r="M19" s="10"/>
    </row>
    <row r="20" spans="1:16" x14ac:dyDescent="0.25">
      <c r="A20" s="8"/>
      <c r="B20" s="8"/>
      <c r="C20" s="128" t="s">
        <v>4410</v>
      </c>
      <c r="D20" s="8">
        <v>45000</v>
      </c>
      <c r="E20" s="8"/>
      <c r="F20" s="113">
        <f t="shared" si="0"/>
        <v>138946</v>
      </c>
      <c r="M20" s="10"/>
    </row>
    <row r="21" spans="1:16" x14ac:dyDescent="0.25">
      <c r="A21" s="8"/>
      <c r="B21" s="8"/>
      <c r="C21" s="128" t="s">
        <v>4406</v>
      </c>
      <c r="D21" s="8">
        <v>20000</v>
      </c>
      <c r="E21" s="8"/>
      <c r="F21" s="113">
        <f t="shared" si="0"/>
        <v>118946</v>
      </c>
      <c r="M21" s="10"/>
    </row>
    <row r="22" spans="1:16" x14ac:dyDescent="0.25">
      <c r="A22" s="8"/>
      <c r="B22" s="8"/>
      <c r="C22" s="128" t="s">
        <v>4411</v>
      </c>
      <c r="D22" s="8">
        <v>20000</v>
      </c>
      <c r="E22" s="8"/>
      <c r="F22" s="113">
        <f t="shared" si="0"/>
        <v>98946</v>
      </c>
      <c r="M22" s="10"/>
    </row>
    <row r="23" spans="1:16" x14ac:dyDescent="0.25">
      <c r="A23" s="8"/>
      <c r="B23" s="8"/>
      <c r="C23" s="128" t="s">
        <v>4412</v>
      </c>
      <c r="D23" s="8">
        <v>13000</v>
      </c>
      <c r="E23" s="8"/>
      <c r="F23" s="113">
        <f t="shared" si="0"/>
        <v>85946</v>
      </c>
      <c r="M23" s="10"/>
      <c r="P23" s="47"/>
    </row>
    <row r="24" spans="1:16" x14ac:dyDescent="0.25">
      <c r="A24" s="8"/>
      <c r="B24" s="8"/>
      <c r="C24" s="128" t="s">
        <v>1052</v>
      </c>
      <c r="D24" s="8">
        <v>25000</v>
      </c>
      <c r="E24" s="8"/>
      <c r="F24" s="113">
        <f t="shared" si="0"/>
        <v>60946</v>
      </c>
      <c r="M24" s="10"/>
    </row>
    <row r="25" spans="1:16" x14ac:dyDescent="0.25">
      <c r="A25" s="8"/>
      <c r="B25" s="8"/>
      <c r="C25" s="128" t="s">
        <v>2996</v>
      </c>
      <c r="D25" s="8">
        <v>20183</v>
      </c>
      <c r="E25" s="8"/>
      <c r="F25" s="113">
        <f t="shared" si="0"/>
        <v>40763</v>
      </c>
      <c r="M25" s="10"/>
    </row>
    <row r="26" spans="1:16" x14ac:dyDescent="0.25">
      <c r="A26" s="8"/>
      <c r="B26" s="8"/>
      <c r="C26" s="128" t="s">
        <v>2996</v>
      </c>
      <c r="D26" s="8">
        <v>27700</v>
      </c>
      <c r="E26" s="8"/>
      <c r="F26" s="113">
        <f t="shared" si="0"/>
        <v>13063</v>
      </c>
      <c r="M26" s="10"/>
    </row>
    <row r="27" spans="1:16" x14ac:dyDescent="0.25">
      <c r="A27" s="8"/>
      <c r="B27" s="8"/>
      <c r="C27" s="128" t="s">
        <v>2996</v>
      </c>
      <c r="D27" s="8">
        <v>15035</v>
      </c>
      <c r="E27" s="8"/>
      <c r="F27" s="113">
        <f t="shared" si="0"/>
        <v>-1972</v>
      </c>
      <c r="M27" s="10"/>
    </row>
    <row r="28" spans="1:16" x14ac:dyDescent="0.25">
      <c r="A28" s="8"/>
      <c r="B28" s="8"/>
      <c r="C28" s="128" t="s">
        <v>31</v>
      </c>
      <c r="D28" s="8">
        <v>4000</v>
      </c>
      <c r="E28" s="8"/>
      <c r="F28" s="113">
        <f t="shared" si="0"/>
        <v>-5972</v>
      </c>
      <c r="M28" s="10"/>
    </row>
    <row r="29" spans="1:16" x14ac:dyDescent="0.25">
      <c r="A29" s="8"/>
      <c r="B29" s="8"/>
      <c r="C29" s="128" t="s">
        <v>2996</v>
      </c>
      <c r="D29" s="8">
        <v>24326</v>
      </c>
      <c r="E29" s="8"/>
      <c r="F29" s="113">
        <f t="shared" si="0"/>
        <v>-30298</v>
      </c>
      <c r="M29" s="10"/>
    </row>
    <row r="30" spans="1:16" x14ac:dyDescent="0.25">
      <c r="A30" s="8"/>
      <c r="B30" s="8"/>
      <c r="C30" s="128" t="s">
        <v>4406</v>
      </c>
      <c r="D30" s="8">
        <v>5000</v>
      </c>
      <c r="E30" s="8"/>
      <c r="F30" s="113">
        <f t="shared" si="0"/>
        <v>-35298</v>
      </c>
      <c r="M30" s="10"/>
    </row>
    <row r="31" spans="1:16" x14ac:dyDescent="0.25">
      <c r="A31" s="8"/>
      <c r="B31" s="8"/>
      <c r="C31" s="8" t="s">
        <v>4413</v>
      </c>
      <c r="D31" s="8">
        <v>15966</v>
      </c>
      <c r="E31" s="8"/>
      <c r="F31" s="113">
        <f t="shared" si="0"/>
        <v>-51264</v>
      </c>
      <c r="M31" s="10"/>
    </row>
    <row r="32" spans="1:16" x14ac:dyDescent="0.25">
      <c r="A32" s="8"/>
      <c r="B32" s="8"/>
      <c r="C32" s="8" t="s">
        <v>4414</v>
      </c>
      <c r="D32" s="8">
        <v>55000</v>
      </c>
      <c r="E32" s="8"/>
      <c r="F32" s="113">
        <f t="shared" si="0"/>
        <v>-106264</v>
      </c>
      <c r="M32" s="10"/>
    </row>
    <row r="33" spans="1:13" x14ac:dyDescent="0.25">
      <c r="A33" s="129" t="s">
        <v>4415</v>
      </c>
      <c r="B33" s="8"/>
      <c r="C33" s="8" t="s">
        <v>4406</v>
      </c>
      <c r="D33" s="8">
        <v>20000</v>
      </c>
      <c r="E33" s="8"/>
      <c r="F33" s="113">
        <f t="shared" si="0"/>
        <v>-126264</v>
      </c>
      <c r="M33" s="10"/>
    </row>
    <row r="34" spans="1:13" x14ac:dyDescent="0.25">
      <c r="A34" s="129" t="s">
        <v>4415</v>
      </c>
      <c r="B34" s="8"/>
      <c r="C34" s="130" t="s">
        <v>4416</v>
      </c>
      <c r="D34" s="8">
        <v>9872</v>
      </c>
      <c r="E34" s="8"/>
      <c r="F34" s="113">
        <f t="shared" ref="F34:F65" si="1">F33-D34+E34</f>
        <v>-136136</v>
      </c>
      <c r="M34" s="10"/>
    </row>
    <row r="35" spans="1:13" x14ac:dyDescent="0.25">
      <c r="A35" s="129" t="s">
        <v>4417</v>
      </c>
      <c r="B35" s="8"/>
      <c r="C35" s="8" t="s">
        <v>4418</v>
      </c>
      <c r="D35" s="8">
        <v>40000</v>
      </c>
      <c r="E35" s="8"/>
      <c r="F35" s="113">
        <f t="shared" si="1"/>
        <v>-176136</v>
      </c>
      <c r="M35" s="10"/>
    </row>
    <row r="36" spans="1:13" x14ac:dyDescent="0.25">
      <c r="A36" s="129" t="s">
        <v>4417</v>
      </c>
      <c r="B36" s="8"/>
      <c r="C36" s="8" t="s">
        <v>1052</v>
      </c>
      <c r="D36" s="8">
        <v>20000</v>
      </c>
      <c r="E36" s="8"/>
      <c r="F36" s="113">
        <f t="shared" si="1"/>
        <v>-196136</v>
      </c>
    </row>
    <row r="37" spans="1:13" x14ac:dyDescent="0.25">
      <c r="A37" s="129" t="s">
        <v>4419</v>
      </c>
      <c r="B37" s="8"/>
      <c r="C37" s="8" t="s">
        <v>31</v>
      </c>
      <c r="D37" s="8">
        <v>4000</v>
      </c>
      <c r="E37" s="8"/>
      <c r="F37" s="113">
        <f t="shared" si="1"/>
        <v>-200136</v>
      </c>
    </row>
    <row r="38" spans="1:13" x14ac:dyDescent="0.25">
      <c r="A38" s="129" t="s">
        <v>4419</v>
      </c>
      <c r="B38" s="8"/>
      <c r="C38" s="8" t="s">
        <v>4420</v>
      </c>
      <c r="D38" s="8">
        <v>40000</v>
      </c>
      <c r="E38" s="8"/>
      <c r="F38" s="113">
        <f t="shared" si="1"/>
        <v>-240136</v>
      </c>
    </row>
    <row r="39" spans="1:13" x14ac:dyDescent="0.25">
      <c r="A39" s="129" t="s">
        <v>4419</v>
      </c>
      <c r="B39" s="8"/>
      <c r="C39" s="8" t="s">
        <v>4421</v>
      </c>
      <c r="D39" s="8">
        <v>20000</v>
      </c>
      <c r="E39" s="8"/>
      <c r="F39" s="113">
        <f t="shared" si="1"/>
        <v>-260136</v>
      </c>
    </row>
    <row r="40" spans="1:13" x14ac:dyDescent="0.25">
      <c r="A40" s="129" t="s">
        <v>4419</v>
      </c>
      <c r="B40" s="8"/>
      <c r="C40" s="8" t="s">
        <v>4422</v>
      </c>
      <c r="D40" s="8">
        <v>77500</v>
      </c>
      <c r="E40" s="8"/>
      <c r="F40" s="113">
        <f t="shared" si="1"/>
        <v>-337636</v>
      </c>
    </row>
    <row r="41" spans="1:13" x14ac:dyDescent="0.25">
      <c r="A41" s="129"/>
      <c r="B41" s="8"/>
      <c r="C41" s="8" t="s">
        <v>4423</v>
      </c>
      <c r="D41" s="8">
        <v>90000</v>
      </c>
      <c r="E41" s="8"/>
      <c r="F41" s="113">
        <f t="shared" si="1"/>
        <v>-427636</v>
      </c>
    </row>
    <row r="42" spans="1:13" x14ac:dyDescent="0.25">
      <c r="A42" s="129" t="s">
        <v>4424</v>
      </c>
      <c r="B42" s="8"/>
      <c r="C42" s="8" t="s">
        <v>1973</v>
      </c>
      <c r="D42" s="8">
        <v>15000</v>
      </c>
      <c r="E42" s="8"/>
      <c r="F42" s="113">
        <f t="shared" si="1"/>
        <v>-442636</v>
      </c>
    </row>
    <row r="43" spans="1:13" x14ac:dyDescent="0.25">
      <c r="A43" s="129" t="s">
        <v>4425</v>
      </c>
      <c r="B43" s="8"/>
      <c r="C43" s="8" t="s">
        <v>1973</v>
      </c>
      <c r="D43" s="8">
        <v>5000</v>
      </c>
      <c r="E43" s="8"/>
      <c r="F43" s="113">
        <f t="shared" si="1"/>
        <v>-447636</v>
      </c>
    </row>
    <row r="44" spans="1:13" x14ac:dyDescent="0.25">
      <c r="A44" s="129" t="s">
        <v>4426</v>
      </c>
      <c r="B44" s="8"/>
      <c r="C44" s="8" t="s">
        <v>4427</v>
      </c>
      <c r="D44" s="8">
        <v>9620</v>
      </c>
      <c r="E44" s="8"/>
      <c r="F44" s="113">
        <f t="shared" si="1"/>
        <v>-457256</v>
      </c>
    </row>
    <row r="45" spans="1:13" x14ac:dyDescent="0.25">
      <c r="A45" s="129" t="s">
        <v>4428</v>
      </c>
      <c r="B45" s="8"/>
      <c r="C45" s="8" t="s">
        <v>27</v>
      </c>
      <c r="D45" s="8">
        <v>11320</v>
      </c>
      <c r="E45" s="8"/>
      <c r="F45" s="113">
        <f t="shared" si="1"/>
        <v>-468576</v>
      </c>
    </row>
    <row r="46" spans="1:13" x14ac:dyDescent="0.25">
      <c r="A46" s="129" t="s">
        <v>4429</v>
      </c>
      <c r="B46" s="8"/>
      <c r="C46" s="8" t="s">
        <v>4430</v>
      </c>
      <c r="D46" s="8">
        <v>40000</v>
      </c>
      <c r="E46" s="8"/>
      <c r="F46" s="113">
        <f t="shared" si="1"/>
        <v>-508576</v>
      </c>
    </row>
    <row r="47" spans="1:13" x14ac:dyDescent="0.25">
      <c r="A47" s="129" t="s">
        <v>4431</v>
      </c>
      <c r="B47" s="8"/>
      <c r="C47" s="8" t="s">
        <v>4432</v>
      </c>
      <c r="D47" s="8"/>
      <c r="E47" s="8">
        <v>300000</v>
      </c>
      <c r="F47" s="113">
        <f t="shared" si="1"/>
        <v>-208576</v>
      </c>
    </row>
    <row r="48" spans="1:13" x14ac:dyDescent="0.25">
      <c r="A48" s="129" t="s">
        <v>4433</v>
      </c>
      <c r="B48" s="8"/>
      <c r="C48" s="8" t="s">
        <v>4434</v>
      </c>
      <c r="D48" s="8">
        <v>6100</v>
      </c>
      <c r="E48" s="8"/>
      <c r="F48" s="113">
        <f t="shared" si="1"/>
        <v>-214676</v>
      </c>
    </row>
    <row r="49" spans="1:6" x14ac:dyDescent="0.25">
      <c r="A49" s="129" t="s">
        <v>4433</v>
      </c>
      <c r="B49" s="8"/>
      <c r="C49" s="8" t="s">
        <v>4413</v>
      </c>
      <c r="D49" s="8">
        <v>23600</v>
      </c>
      <c r="E49" s="8"/>
      <c r="F49" s="113">
        <f t="shared" si="1"/>
        <v>-238276</v>
      </c>
    </row>
    <row r="50" spans="1:6" x14ac:dyDescent="0.25">
      <c r="A50" s="129" t="s">
        <v>4433</v>
      </c>
      <c r="B50" s="8"/>
      <c r="C50" s="8" t="s">
        <v>4413</v>
      </c>
      <c r="D50" s="8">
        <v>42770</v>
      </c>
      <c r="E50" s="8"/>
      <c r="F50" s="113">
        <f t="shared" si="1"/>
        <v>-281046</v>
      </c>
    </row>
    <row r="51" spans="1:6" x14ac:dyDescent="0.25">
      <c r="A51" s="129" t="s">
        <v>4435</v>
      </c>
      <c r="B51" s="8"/>
      <c r="C51" s="8" t="s">
        <v>4413</v>
      </c>
      <c r="D51" s="8">
        <v>9150</v>
      </c>
      <c r="E51" s="8"/>
      <c r="F51" s="113">
        <f t="shared" si="1"/>
        <v>-290196</v>
      </c>
    </row>
    <row r="52" spans="1:6" x14ac:dyDescent="0.25">
      <c r="A52" s="129" t="s">
        <v>4436</v>
      </c>
      <c r="B52" s="8"/>
      <c r="C52" s="8" t="s">
        <v>4437</v>
      </c>
      <c r="D52" s="8">
        <v>30000</v>
      </c>
      <c r="E52" s="8"/>
      <c r="F52" s="113">
        <f t="shared" si="1"/>
        <v>-320196</v>
      </c>
    </row>
    <row r="53" spans="1:6" x14ac:dyDescent="0.25">
      <c r="A53" s="129" t="s">
        <v>4436</v>
      </c>
      <c r="B53" s="8"/>
      <c r="C53" s="8"/>
      <c r="D53" s="8">
        <v>4130</v>
      </c>
      <c r="E53" s="8"/>
      <c r="F53" s="113">
        <f t="shared" si="1"/>
        <v>-324326</v>
      </c>
    </row>
    <row r="54" spans="1:6" x14ac:dyDescent="0.25">
      <c r="A54" s="129" t="s">
        <v>4436</v>
      </c>
      <c r="B54" s="8"/>
      <c r="C54" s="8" t="s">
        <v>1675</v>
      </c>
      <c r="D54" s="8">
        <v>20000</v>
      </c>
      <c r="E54" s="8"/>
      <c r="F54" s="113">
        <f t="shared" si="1"/>
        <v>-344326</v>
      </c>
    </row>
    <row r="55" spans="1:6" x14ac:dyDescent="0.25">
      <c r="A55" s="129" t="s">
        <v>4436</v>
      </c>
      <c r="B55" s="8"/>
      <c r="C55" s="8" t="s">
        <v>2996</v>
      </c>
      <c r="D55" s="8">
        <v>17270</v>
      </c>
      <c r="E55" s="8"/>
      <c r="F55" s="113">
        <f t="shared" si="1"/>
        <v>-361596</v>
      </c>
    </row>
    <row r="56" spans="1:6" x14ac:dyDescent="0.25">
      <c r="A56" s="129" t="s">
        <v>4438</v>
      </c>
      <c r="B56" s="8"/>
      <c r="C56" s="8" t="s">
        <v>4439</v>
      </c>
      <c r="D56" s="8">
        <v>49000</v>
      </c>
      <c r="E56" s="8"/>
      <c r="F56" s="113">
        <f t="shared" si="1"/>
        <v>-410596</v>
      </c>
    </row>
    <row r="57" spans="1:6" x14ac:dyDescent="0.25">
      <c r="A57" s="129" t="s">
        <v>4438</v>
      </c>
      <c r="B57" s="8"/>
      <c r="C57" s="8" t="s">
        <v>4406</v>
      </c>
      <c r="D57" s="8">
        <v>15000</v>
      </c>
      <c r="E57" s="8"/>
      <c r="F57" s="113">
        <f t="shared" si="1"/>
        <v>-425596</v>
      </c>
    </row>
    <row r="58" spans="1:6" x14ac:dyDescent="0.25">
      <c r="A58" s="129" t="s">
        <v>4438</v>
      </c>
      <c r="B58" s="8" t="s">
        <v>4440</v>
      </c>
      <c r="C58" s="8" t="s">
        <v>3140</v>
      </c>
      <c r="D58" s="8">
        <v>15000</v>
      </c>
      <c r="E58" s="8"/>
      <c r="F58" s="113">
        <f t="shared" si="1"/>
        <v>-440596</v>
      </c>
    </row>
    <row r="59" spans="1:6" x14ac:dyDescent="0.25">
      <c r="A59" s="129" t="s">
        <v>4438</v>
      </c>
      <c r="B59" s="8"/>
      <c r="C59" s="8" t="s">
        <v>4413</v>
      </c>
      <c r="D59" s="8">
        <v>40730</v>
      </c>
      <c r="E59" s="8"/>
      <c r="F59" s="113">
        <f t="shared" si="1"/>
        <v>-481326</v>
      </c>
    </row>
    <row r="60" spans="1:6" x14ac:dyDescent="0.25">
      <c r="A60" s="129" t="s">
        <v>4441</v>
      </c>
      <c r="B60" s="34"/>
      <c r="C60" s="14" t="s">
        <v>4442</v>
      </c>
      <c r="D60" s="14">
        <v>5850</v>
      </c>
      <c r="E60" s="8"/>
      <c r="F60" s="113">
        <f t="shared" si="1"/>
        <v>-487176</v>
      </c>
    </row>
    <row r="61" spans="1:6" x14ac:dyDescent="0.25">
      <c r="A61" s="129" t="s">
        <v>4443</v>
      </c>
      <c r="B61" s="34"/>
      <c r="C61" s="14" t="s">
        <v>4444</v>
      </c>
      <c r="D61" s="14">
        <v>30000</v>
      </c>
      <c r="E61" s="8"/>
      <c r="F61" s="113">
        <f t="shared" si="1"/>
        <v>-517176</v>
      </c>
    </row>
    <row r="62" spans="1:6" x14ac:dyDescent="0.25">
      <c r="A62" s="129" t="s">
        <v>4443</v>
      </c>
      <c r="B62" s="34"/>
      <c r="C62" s="14" t="s">
        <v>2996</v>
      </c>
      <c r="D62" s="14">
        <v>38570</v>
      </c>
      <c r="E62" s="8"/>
      <c r="F62" s="113">
        <f t="shared" si="1"/>
        <v>-555746</v>
      </c>
    </row>
    <row r="63" spans="1:6" x14ac:dyDescent="0.25">
      <c r="A63" s="129" t="s">
        <v>4445</v>
      </c>
      <c r="B63" s="34" t="s">
        <v>62</v>
      </c>
      <c r="C63" s="14" t="s">
        <v>4446</v>
      </c>
      <c r="D63" s="14">
        <v>20000</v>
      </c>
      <c r="E63" s="8"/>
      <c r="F63" s="113">
        <f t="shared" si="1"/>
        <v>-575746</v>
      </c>
    </row>
    <row r="64" spans="1:6" x14ac:dyDescent="0.25">
      <c r="A64" s="129" t="s">
        <v>4445</v>
      </c>
      <c r="B64" s="34" t="s">
        <v>61</v>
      </c>
      <c r="C64" s="14" t="s">
        <v>4447</v>
      </c>
      <c r="D64" s="14">
        <v>2000</v>
      </c>
      <c r="E64" s="8"/>
      <c r="F64" s="113">
        <f t="shared" si="1"/>
        <v>-577746</v>
      </c>
    </row>
    <row r="65" spans="1:6" x14ac:dyDescent="0.25">
      <c r="A65" s="129" t="s">
        <v>4448</v>
      </c>
      <c r="B65" s="34"/>
      <c r="C65" s="14" t="s">
        <v>4449</v>
      </c>
      <c r="D65" s="8">
        <f>5600+23600</f>
        <v>29200</v>
      </c>
      <c r="E65" s="8"/>
      <c r="F65" s="113">
        <f t="shared" si="1"/>
        <v>-606946</v>
      </c>
    </row>
    <row r="66" spans="1:6" x14ac:dyDescent="0.25">
      <c r="A66" s="129" t="s">
        <v>4448</v>
      </c>
      <c r="B66" s="34" t="s">
        <v>2597</v>
      </c>
      <c r="C66" s="14" t="s">
        <v>4450</v>
      </c>
      <c r="D66" s="14">
        <v>43460</v>
      </c>
      <c r="E66" s="8"/>
      <c r="F66" s="113">
        <f t="shared" ref="F66:F70" si="2">F65-D66+E66</f>
        <v>-650406</v>
      </c>
    </row>
    <row r="67" spans="1:6" x14ac:dyDescent="0.25">
      <c r="A67" s="131" t="s">
        <v>4451</v>
      </c>
      <c r="B67" s="34" t="s">
        <v>4452</v>
      </c>
      <c r="C67" s="34" t="s">
        <v>41</v>
      </c>
      <c r="D67" s="8">
        <v>30000</v>
      </c>
      <c r="E67" s="8"/>
      <c r="F67" s="113">
        <f t="shared" si="2"/>
        <v>-680406</v>
      </c>
    </row>
    <row r="68" spans="1:6" x14ac:dyDescent="0.25">
      <c r="A68" s="131" t="s">
        <v>4451</v>
      </c>
      <c r="B68" s="34"/>
      <c r="C68" s="34" t="s">
        <v>4453</v>
      </c>
      <c r="D68" s="8">
        <v>50480</v>
      </c>
      <c r="E68" s="8"/>
      <c r="F68" s="113">
        <f t="shared" si="2"/>
        <v>-730886</v>
      </c>
    </row>
    <row r="69" spans="1:6" x14ac:dyDescent="0.25">
      <c r="A69" s="131" t="s">
        <v>4451</v>
      </c>
      <c r="B69" s="34"/>
      <c r="C69" s="34" t="s">
        <v>21</v>
      </c>
      <c r="D69" s="8">
        <v>88800</v>
      </c>
      <c r="E69" s="8"/>
      <c r="F69" s="113">
        <f t="shared" si="2"/>
        <v>-819686</v>
      </c>
    </row>
    <row r="70" spans="1:6" ht="30" x14ac:dyDescent="0.25">
      <c r="A70" s="129" t="s">
        <v>4445</v>
      </c>
      <c r="B70" s="34"/>
      <c r="C70" s="100" t="s">
        <v>4454</v>
      </c>
      <c r="D70" s="8"/>
      <c r="E70" s="8">
        <v>1000000</v>
      </c>
      <c r="F70" s="113">
        <f t="shared" si="2"/>
        <v>180314</v>
      </c>
    </row>
    <row r="71" spans="1:6" x14ac:dyDescent="0.25">
      <c r="A71" s="129" t="s">
        <v>4451</v>
      </c>
      <c r="B71" s="34" t="s">
        <v>844</v>
      </c>
      <c r="C71" s="34" t="s">
        <v>4455</v>
      </c>
      <c r="D71" s="8">
        <v>180000</v>
      </c>
      <c r="E71" s="8"/>
      <c r="F71" s="34">
        <v>0</v>
      </c>
    </row>
    <row r="72" spans="1:6" ht="45" x14ac:dyDescent="0.25">
      <c r="A72" s="129" t="s">
        <v>4451</v>
      </c>
      <c r="B72" s="91"/>
      <c r="C72" s="132" t="s">
        <v>4456</v>
      </c>
      <c r="D72" s="91"/>
      <c r="E72" s="91">
        <v>1500000</v>
      </c>
      <c r="F72" s="133">
        <f t="shared" ref="F72:F103" si="3">F71-D72+E72</f>
        <v>1500000</v>
      </c>
    </row>
    <row r="73" spans="1:6" x14ac:dyDescent="0.25">
      <c r="A73" s="129" t="s">
        <v>4451</v>
      </c>
      <c r="B73" s="91" t="s">
        <v>36</v>
      </c>
      <c r="C73" s="91" t="s">
        <v>4457</v>
      </c>
      <c r="D73" s="91">
        <v>400000</v>
      </c>
      <c r="E73" s="91"/>
      <c r="F73" s="133">
        <f t="shared" si="3"/>
        <v>1100000</v>
      </c>
    </row>
    <row r="74" spans="1:6" x14ac:dyDescent="0.25">
      <c r="A74" s="129" t="s">
        <v>4458</v>
      </c>
      <c r="B74" s="91"/>
      <c r="C74" s="91" t="s">
        <v>2996</v>
      </c>
      <c r="D74" s="91">
        <v>5696</v>
      </c>
      <c r="E74" s="91"/>
      <c r="F74" s="133">
        <f t="shared" si="3"/>
        <v>1094304</v>
      </c>
    </row>
    <row r="75" spans="1:6" x14ac:dyDescent="0.25">
      <c r="A75" s="129" t="s">
        <v>4459</v>
      </c>
      <c r="B75" s="91"/>
      <c r="C75" s="91" t="s">
        <v>4460</v>
      </c>
      <c r="D75" s="91">
        <v>200000</v>
      </c>
      <c r="E75" s="91"/>
      <c r="F75" s="133">
        <f t="shared" si="3"/>
        <v>894304</v>
      </c>
    </row>
    <row r="76" spans="1:6" x14ac:dyDescent="0.25">
      <c r="A76" s="129" t="s">
        <v>4461</v>
      </c>
      <c r="B76" s="91"/>
      <c r="C76" s="91" t="s">
        <v>2996</v>
      </c>
      <c r="D76" s="91">
        <v>11040</v>
      </c>
      <c r="E76" s="91"/>
      <c r="F76" s="133">
        <f t="shared" si="3"/>
        <v>883264</v>
      </c>
    </row>
    <row r="77" spans="1:6" x14ac:dyDescent="0.25">
      <c r="A77" s="129" t="s">
        <v>4462</v>
      </c>
      <c r="B77" s="91"/>
      <c r="C77" s="91" t="s">
        <v>2996</v>
      </c>
      <c r="D77" s="91">
        <v>10200</v>
      </c>
      <c r="E77" s="91"/>
      <c r="F77" s="133">
        <f t="shared" si="3"/>
        <v>873064</v>
      </c>
    </row>
    <row r="78" spans="1:6" x14ac:dyDescent="0.25">
      <c r="A78" s="129" t="s">
        <v>4462</v>
      </c>
      <c r="B78" s="91"/>
      <c r="C78" s="91" t="s">
        <v>3196</v>
      </c>
      <c r="D78" s="91">
        <v>5000</v>
      </c>
      <c r="E78" s="91"/>
      <c r="F78" s="133">
        <f t="shared" si="3"/>
        <v>868064</v>
      </c>
    </row>
    <row r="79" spans="1:6" x14ac:dyDescent="0.25">
      <c r="A79" s="129" t="s">
        <v>4463</v>
      </c>
      <c r="B79" s="91"/>
      <c r="C79" s="91" t="s">
        <v>2996</v>
      </c>
      <c r="D79" s="91">
        <v>13117</v>
      </c>
      <c r="E79" s="91"/>
      <c r="F79" s="133">
        <f t="shared" si="3"/>
        <v>854947</v>
      </c>
    </row>
    <row r="80" spans="1:6" x14ac:dyDescent="0.25">
      <c r="A80" s="129" t="s">
        <v>4463</v>
      </c>
      <c r="B80" s="91"/>
      <c r="C80" s="91" t="s">
        <v>2996</v>
      </c>
      <c r="D80" s="91">
        <v>35370</v>
      </c>
      <c r="E80" s="91"/>
      <c r="F80" s="133">
        <f t="shared" si="3"/>
        <v>819577</v>
      </c>
    </row>
    <row r="81" spans="1:6" x14ac:dyDescent="0.25">
      <c r="A81" s="129" t="s">
        <v>4464</v>
      </c>
      <c r="B81" s="91"/>
      <c r="C81" s="91" t="s">
        <v>2996</v>
      </c>
      <c r="D81" s="91">
        <v>37405</v>
      </c>
      <c r="E81" s="91"/>
      <c r="F81" s="133">
        <f t="shared" si="3"/>
        <v>782172</v>
      </c>
    </row>
    <row r="82" spans="1:6" x14ac:dyDescent="0.25">
      <c r="A82" s="129" t="s">
        <v>4465</v>
      </c>
      <c r="B82" s="91"/>
      <c r="C82" s="91" t="s">
        <v>2996</v>
      </c>
      <c r="D82" s="91">
        <v>5000</v>
      </c>
      <c r="E82" s="91"/>
      <c r="F82" s="133">
        <f t="shared" si="3"/>
        <v>777172</v>
      </c>
    </row>
    <row r="83" spans="1:6" x14ac:dyDescent="0.25">
      <c r="A83" s="129" t="s">
        <v>4466</v>
      </c>
      <c r="B83" s="91"/>
      <c r="C83" s="91" t="s">
        <v>4467</v>
      </c>
      <c r="D83" s="91">
        <v>200000</v>
      </c>
      <c r="E83" s="91"/>
      <c r="F83" s="133">
        <f t="shared" si="3"/>
        <v>577172</v>
      </c>
    </row>
    <row r="84" spans="1:6" x14ac:dyDescent="0.25">
      <c r="A84" s="129" t="s">
        <v>4466</v>
      </c>
      <c r="B84" s="91"/>
      <c r="C84" s="91" t="s">
        <v>2996</v>
      </c>
      <c r="D84" s="91">
        <v>23200</v>
      </c>
      <c r="E84" s="91"/>
      <c r="F84" s="133">
        <f t="shared" si="3"/>
        <v>553972</v>
      </c>
    </row>
    <row r="85" spans="1:6" x14ac:dyDescent="0.25">
      <c r="A85" s="129" t="s">
        <v>4468</v>
      </c>
      <c r="B85" s="91"/>
      <c r="C85" s="91" t="s">
        <v>1973</v>
      </c>
      <c r="D85" s="91">
        <v>40000</v>
      </c>
      <c r="E85" s="91"/>
      <c r="F85" s="133">
        <f t="shared" si="3"/>
        <v>513972</v>
      </c>
    </row>
    <row r="86" spans="1:6" x14ac:dyDescent="0.25">
      <c r="A86" s="129" t="s">
        <v>4468</v>
      </c>
      <c r="B86" s="91"/>
      <c r="C86" s="91" t="s">
        <v>4469</v>
      </c>
      <c r="D86" s="91">
        <v>20000</v>
      </c>
      <c r="E86" s="91"/>
      <c r="F86" s="133">
        <f t="shared" si="3"/>
        <v>493972</v>
      </c>
    </row>
    <row r="87" spans="1:6" x14ac:dyDescent="0.25">
      <c r="A87" s="129" t="s">
        <v>4468</v>
      </c>
      <c r="B87" s="91"/>
      <c r="C87" s="91" t="s">
        <v>3196</v>
      </c>
      <c r="D87" s="91">
        <v>20000</v>
      </c>
      <c r="E87" s="91"/>
      <c r="F87" s="133">
        <f t="shared" si="3"/>
        <v>473972</v>
      </c>
    </row>
    <row r="88" spans="1:6" x14ac:dyDescent="0.25">
      <c r="A88" s="129" t="s">
        <v>4468</v>
      </c>
      <c r="B88" s="91"/>
      <c r="C88" s="91" t="s">
        <v>4418</v>
      </c>
      <c r="D88" s="91">
        <v>30000</v>
      </c>
      <c r="E88" s="91"/>
      <c r="F88" s="133">
        <f t="shared" si="3"/>
        <v>443972</v>
      </c>
    </row>
    <row r="89" spans="1:6" x14ac:dyDescent="0.25">
      <c r="A89" s="129" t="s">
        <v>4468</v>
      </c>
      <c r="B89" s="91"/>
      <c r="C89" s="91" t="s">
        <v>1052</v>
      </c>
      <c r="D89" s="91">
        <v>100000</v>
      </c>
      <c r="E89" s="91"/>
      <c r="F89" s="133">
        <f t="shared" si="3"/>
        <v>343972</v>
      </c>
    </row>
    <row r="90" spans="1:6" x14ac:dyDescent="0.25">
      <c r="A90" s="129" t="s">
        <v>4470</v>
      </c>
      <c r="B90" s="91"/>
      <c r="C90" s="91" t="s">
        <v>4471</v>
      </c>
      <c r="D90" s="91">
        <v>100000</v>
      </c>
      <c r="E90" s="91"/>
      <c r="F90" s="133">
        <f t="shared" si="3"/>
        <v>243972</v>
      </c>
    </row>
    <row r="91" spans="1:6" x14ac:dyDescent="0.25">
      <c r="A91" s="129" t="s">
        <v>4470</v>
      </c>
      <c r="B91" s="91"/>
      <c r="C91" s="91" t="s">
        <v>4472</v>
      </c>
      <c r="D91" s="91">
        <v>213315</v>
      </c>
      <c r="E91" s="91"/>
      <c r="F91" s="133">
        <f t="shared" si="3"/>
        <v>30657</v>
      </c>
    </row>
    <row r="92" spans="1:6" x14ac:dyDescent="0.25">
      <c r="A92" s="129" t="s">
        <v>4470</v>
      </c>
      <c r="B92" s="91"/>
      <c r="C92" s="91" t="s">
        <v>4473</v>
      </c>
      <c r="D92" s="91">
        <v>200000</v>
      </c>
      <c r="E92" s="91"/>
      <c r="F92" s="133">
        <f t="shared" si="3"/>
        <v>-169343</v>
      </c>
    </row>
    <row r="93" spans="1:6" x14ac:dyDescent="0.25">
      <c r="A93" s="129" t="s">
        <v>4474</v>
      </c>
      <c r="B93" s="91"/>
      <c r="C93" s="91" t="s">
        <v>4467</v>
      </c>
      <c r="D93" s="91">
        <v>200000</v>
      </c>
      <c r="E93" s="91"/>
      <c r="F93" s="133">
        <f t="shared" si="3"/>
        <v>-369343</v>
      </c>
    </row>
    <row r="94" spans="1:6" x14ac:dyDescent="0.25">
      <c r="A94" s="129" t="s">
        <v>4474</v>
      </c>
      <c r="B94" s="91"/>
      <c r="C94" s="91" t="s">
        <v>4475</v>
      </c>
      <c r="D94" s="91">
        <v>8380</v>
      </c>
      <c r="E94" s="91"/>
      <c r="F94" s="133">
        <f t="shared" si="3"/>
        <v>-377723</v>
      </c>
    </row>
    <row r="95" spans="1:6" x14ac:dyDescent="0.25">
      <c r="A95" s="129" t="s">
        <v>4476</v>
      </c>
      <c r="B95" s="91"/>
      <c r="C95" s="91" t="s">
        <v>4477</v>
      </c>
      <c r="D95" s="91">
        <v>5000</v>
      </c>
      <c r="E95" s="91"/>
      <c r="F95" s="133">
        <f t="shared" si="3"/>
        <v>-382723</v>
      </c>
    </row>
    <row r="96" spans="1:6" x14ac:dyDescent="0.25">
      <c r="A96" s="129" t="s">
        <v>4476</v>
      </c>
      <c r="B96" s="91"/>
      <c r="C96" s="91" t="s">
        <v>16</v>
      </c>
      <c r="D96" s="91">
        <v>9000</v>
      </c>
      <c r="E96" s="91"/>
      <c r="F96" s="133">
        <f t="shared" si="3"/>
        <v>-391723</v>
      </c>
    </row>
    <row r="97" spans="1:6" x14ac:dyDescent="0.25">
      <c r="A97" s="129" t="s">
        <v>4478</v>
      </c>
      <c r="B97" s="91"/>
      <c r="C97" s="91" t="s">
        <v>2996</v>
      </c>
      <c r="D97" s="91">
        <v>23820</v>
      </c>
      <c r="E97" s="91"/>
      <c r="F97" s="133">
        <f t="shared" si="3"/>
        <v>-415543</v>
      </c>
    </row>
    <row r="98" spans="1:6" x14ac:dyDescent="0.25">
      <c r="A98" s="129" t="s">
        <v>4478</v>
      </c>
      <c r="B98" s="91"/>
      <c r="C98" s="91" t="s">
        <v>2996</v>
      </c>
      <c r="D98" s="91">
        <v>29198</v>
      </c>
      <c r="E98" s="91"/>
      <c r="F98" s="133">
        <f t="shared" si="3"/>
        <v>-444741</v>
      </c>
    </row>
    <row r="99" spans="1:6" x14ac:dyDescent="0.25">
      <c r="A99" s="129" t="s">
        <v>4478</v>
      </c>
      <c r="B99" s="91"/>
      <c r="C99" s="91" t="s">
        <v>2996</v>
      </c>
      <c r="D99" s="91">
        <v>30200</v>
      </c>
      <c r="E99" s="91"/>
      <c r="F99" s="133">
        <f t="shared" si="3"/>
        <v>-474941</v>
      </c>
    </row>
    <row r="100" spans="1:6" x14ac:dyDescent="0.25">
      <c r="A100" s="129" t="s">
        <v>4479</v>
      </c>
      <c r="B100" s="91"/>
      <c r="C100" s="91" t="s">
        <v>4480</v>
      </c>
      <c r="D100" s="91">
        <v>100000</v>
      </c>
      <c r="E100" s="91"/>
      <c r="F100" s="133">
        <f t="shared" si="3"/>
        <v>-574941</v>
      </c>
    </row>
    <row r="101" spans="1:6" x14ac:dyDescent="0.25">
      <c r="A101" s="91"/>
      <c r="B101" s="91"/>
      <c r="C101" s="134" t="s">
        <v>4481</v>
      </c>
      <c r="D101" s="133">
        <v>53346</v>
      </c>
      <c r="E101" s="91"/>
      <c r="F101" s="133">
        <f t="shared" si="3"/>
        <v>-628287</v>
      </c>
    </row>
    <row r="102" spans="1:6" x14ac:dyDescent="0.25">
      <c r="A102" s="91"/>
      <c r="B102" s="91"/>
      <c r="C102" s="134" t="s">
        <v>4482</v>
      </c>
      <c r="D102" s="133">
        <v>30600</v>
      </c>
      <c r="E102" s="91"/>
      <c r="F102" s="133">
        <f t="shared" si="3"/>
        <v>-658887</v>
      </c>
    </row>
    <row r="103" spans="1:6" x14ac:dyDescent="0.25">
      <c r="A103" s="91"/>
      <c r="B103" s="91"/>
      <c r="C103" s="134" t="s">
        <v>4482</v>
      </c>
      <c r="D103" s="133">
        <v>98966</v>
      </c>
      <c r="E103" s="91"/>
      <c r="F103" s="133">
        <f t="shared" si="3"/>
        <v>-757853</v>
      </c>
    </row>
    <row r="104" spans="1:6" x14ac:dyDescent="0.25">
      <c r="A104" s="91"/>
      <c r="B104" s="91"/>
      <c r="C104" s="134" t="s">
        <v>4482</v>
      </c>
      <c r="D104" s="133">
        <v>9588</v>
      </c>
      <c r="E104" s="91"/>
      <c r="F104" s="133">
        <f t="shared" ref="F104:F135" si="4">F103-D104+E104</f>
        <v>-767441</v>
      </c>
    </row>
    <row r="105" spans="1:6" ht="25.5" x14ac:dyDescent="0.25">
      <c r="A105" s="91"/>
      <c r="B105" s="91"/>
      <c r="C105" s="134" t="s">
        <v>4483</v>
      </c>
      <c r="D105" s="133">
        <v>22100</v>
      </c>
      <c r="E105" s="91"/>
      <c r="F105" s="133">
        <f t="shared" si="4"/>
        <v>-789541</v>
      </c>
    </row>
    <row r="106" spans="1:6" ht="25.5" x14ac:dyDescent="0.25">
      <c r="A106" s="91"/>
      <c r="B106" s="91"/>
      <c r="C106" s="134" t="s">
        <v>4483</v>
      </c>
      <c r="D106" s="133">
        <v>22100</v>
      </c>
      <c r="E106" s="91"/>
      <c r="F106" s="133">
        <f t="shared" si="4"/>
        <v>-811641</v>
      </c>
    </row>
    <row r="107" spans="1:6" x14ac:dyDescent="0.25">
      <c r="A107" s="91"/>
      <c r="B107" s="91"/>
      <c r="C107" s="91" t="s">
        <v>4484</v>
      </c>
      <c r="D107" s="91">
        <v>213315</v>
      </c>
      <c r="E107" s="91"/>
      <c r="F107" s="133">
        <f t="shared" si="4"/>
        <v>-1024956</v>
      </c>
    </row>
    <row r="108" spans="1:6" x14ac:dyDescent="0.25">
      <c r="A108" s="91"/>
      <c r="B108" s="91"/>
      <c r="C108" s="91" t="s">
        <v>4485</v>
      </c>
      <c r="D108" s="91">
        <v>62000</v>
      </c>
      <c r="E108" s="91"/>
      <c r="F108" s="133">
        <f t="shared" si="4"/>
        <v>-1086956</v>
      </c>
    </row>
    <row r="109" spans="1:6" x14ac:dyDescent="0.25">
      <c r="A109" s="91"/>
      <c r="B109" s="91"/>
      <c r="C109" s="91" t="s">
        <v>4449</v>
      </c>
      <c r="D109" s="91">
        <v>42800</v>
      </c>
      <c r="E109" s="91"/>
      <c r="F109" s="133">
        <f t="shared" si="4"/>
        <v>-1129756</v>
      </c>
    </row>
    <row r="110" spans="1:6" x14ac:dyDescent="0.25">
      <c r="A110" s="91"/>
      <c r="B110" s="91"/>
      <c r="C110" s="91" t="s">
        <v>4486</v>
      </c>
      <c r="D110" s="91">
        <v>14000</v>
      </c>
      <c r="E110" s="91"/>
      <c r="F110" s="133">
        <f t="shared" si="4"/>
        <v>-1143756</v>
      </c>
    </row>
    <row r="111" spans="1:6" x14ac:dyDescent="0.25">
      <c r="A111" s="91"/>
      <c r="B111" s="91"/>
      <c r="C111" s="91" t="s">
        <v>4450</v>
      </c>
      <c r="D111" s="91">
        <v>86370</v>
      </c>
      <c r="E111" s="91"/>
      <c r="F111" s="133">
        <f t="shared" si="4"/>
        <v>-1230126</v>
      </c>
    </row>
    <row r="112" spans="1:6" x14ac:dyDescent="0.25">
      <c r="A112" s="91"/>
      <c r="B112" s="91"/>
      <c r="C112" s="91" t="s">
        <v>4450</v>
      </c>
      <c r="D112" s="91">
        <v>37200</v>
      </c>
      <c r="E112" s="91"/>
      <c r="F112" s="133">
        <f t="shared" si="4"/>
        <v>-1267326</v>
      </c>
    </row>
    <row r="113" spans="1:6" x14ac:dyDescent="0.25">
      <c r="A113" s="129" t="s">
        <v>4487</v>
      </c>
      <c r="B113" s="91"/>
      <c r="C113" s="91" t="s">
        <v>4488</v>
      </c>
      <c r="D113" s="91">
        <v>30000</v>
      </c>
      <c r="E113" s="91"/>
      <c r="F113" s="133">
        <f t="shared" si="4"/>
        <v>-1297326</v>
      </c>
    </row>
    <row r="114" spans="1:6" x14ac:dyDescent="0.25">
      <c r="A114" s="91"/>
      <c r="B114" s="91"/>
      <c r="C114" s="91" t="s">
        <v>4489</v>
      </c>
      <c r="D114" s="91">
        <v>110000</v>
      </c>
      <c r="E114" s="91"/>
      <c r="F114" s="133">
        <f t="shared" si="4"/>
        <v>-1407326</v>
      </c>
    </row>
    <row r="115" spans="1:6" ht="30" x14ac:dyDescent="0.25">
      <c r="A115" s="91"/>
      <c r="B115" s="91"/>
      <c r="C115" s="132" t="s">
        <v>4490</v>
      </c>
      <c r="D115" s="91"/>
      <c r="E115" s="91">
        <v>1000000</v>
      </c>
      <c r="F115" s="133">
        <f t="shared" si="4"/>
        <v>-407326</v>
      </c>
    </row>
    <row r="116" spans="1:6" x14ac:dyDescent="0.25">
      <c r="A116" s="91"/>
      <c r="B116" s="91"/>
      <c r="C116" s="91" t="s">
        <v>4491</v>
      </c>
      <c r="D116" s="91">
        <v>48600</v>
      </c>
      <c r="E116" s="91"/>
      <c r="F116" s="133">
        <f t="shared" si="4"/>
        <v>-455926</v>
      </c>
    </row>
    <row r="117" spans="1:6" x14ac:dyDescent="0.25">
      <c r="A117" s="91"/>
      <c r="B117" s="91"/>
      <c r="C117" s="91" t="s">
        <v>4492</v>
      </c>
      <c r="D117" s="91">
        <v>28300</v>
      </c>
      <c r="E117" s="91"/>
      <c r="F117" s="133">
        <f t="shared" si="4"/>
        <v>-484226</v>
      </c>
    </row>
    <row r="118" spans="1:6" x14ac:dyDescent="0.25">
      <c r="A118" s="91"/>
      <c r="B118" s="91"/>
      <c r="C118" s="91" t="s">
        <v>4493</v>
      </c>
      <c r="D118" s="91">
        <v>24490</v>
      </c>
      <c r="E118" s="91"/>
      <c r="F118" s="133">
        <f t="shared" si="4"/>
        <v>-508716</v>
      </c>
    </row>
    <row r="119" spans="1:6" x14ac:dyDescent="0.25">
      <c r="A119" s="91"/>
      <c r="B119" s="91"/>
      <c r="C119" s="91" t="s">
        <v>4494</v>
      </c>
      <c r="D119" s="91">
        <v>10000</v>
      </c>
      <c r="E119" s="91"/>
      <c r="F119" s="133">
        <f t="shared" si="4"/>
        <v>-518716</v>
      </c>
    </row>
    <row r="120" spans="1:6" x14ac:dyDescent="0.25">
      <c r="A120" s="91"/>
      <c r="B120" s="91"/>
      <c r="C120" s="91" t="s">
        <v>4495</v>
      </c>
      <c r="D120" s="91">
        <v>10000</v>
      </c>
      <c r="E120" s="91"/>
      <c r="F120" s="133">
        <f t="shared" si="4"/>
        <v>-528716</v>
      </c>
    </row>
    <row r="121" spans="1:6" x14ac:dyDescent="0.25">
      <c r="A121" s="91"/>
      <c r="B121" s="91"/>
      <c r="C121" s="91" t="s">
        <v>4496</v>
      </c>
      <c r="D121" s="91">
        <v>4000</v>
      </c>
      <c r="E121" s="91"/>
      <c r="F121" s="133">
        <f t="shared" si="4"/>
        <v>-532716</v>
      </c>
    </row>
    <row r="122" spans="1:6" x14ac:dyDescent="0.25">
      <c r="A122" s="91"/>
      <c r="B122" s="91"/>
      <c r="C122" s="91" t="s">
        <v>4497</v>
      </c>
      <c r="D122" s="91">
        <v>18000</v>
      </c>
      <c r="E122" s="91"/>
      <c r="F122" s="133">
        <f t="shared" si="4"/>
        <v>-550716</v>
      </c>
    </row>
    <row r="123" spans="1:6" x14ac:dyDescent="0.25">
      <c r="A123" s="91"/>
      <c r="B123" s="91"/>
      <c r="C123" s="91" t="s">
        <v>2131</v>
      </c>
      <c r="D123" s="91">
        <v>15090</v>
      </c>
      <c r="E123" s="91"/>
      <c r="F123" s="133">
        <f t="shared" si="4"/>
        <v>-565806</v>
      </c>
    </row>
    <row r="124" spans="1:6" x14ac:dyDescent="0.25">
      <c r="A124" s="91"/>
      <c r="B124" s="91"/>
      <c r="C124" s="91" t="s">
        <v>4498</v>
      </c>
      <c r="D124" s="91">
        <v>15000</v>
      </c>
      <c r="E124" s="91"/>
      <c r="F124" s="133">
        <f t="shared" si="4"/>
        <v>-580806</v>
      </c>
    </row>
    <row r="125" spans="1:6" x14ac:dyDescent="0.25">
      <c r="A125" s="91"/>
      <c r="B125" s="91"/>
      <c r="C125" s="91" t="s">
        <v>4498</v>
      </c>
      <c r="D125" s="91">
        <v>18000</v>
      </c>
      <c r="E125" s="91"/>
      <c r="F125" s="133">
        <f t="shared" si="4"/>
        <v>-598806</v>
      </c>
    </row>
    <row r="126" spans="1:6" x14ac:dyDescent="0.25">
      <c r="A126" s="91"/>
      <c r="B126" s="91"/>
      <c r="C126" s="91" t="s">
        <v>4499</v>
      </c>
      <c r="D126" s="91">
        <v>3350</v>
      </c>
      <c r="E126" s="91"/>
      <c r="F126" s="133">
        <f t="shared" si="4"/>
        <v>-602156</v>
      </c>
    </row>
    <row r="127" spans="1:6" x14ac:dyDescent="0.25">
      <c r="A127" s="91"/>
      <c r="B127" s="91"/>
      <c r="C127" s="91" t="s">
        <v>4500</v>
      </c>
      <c r="D127" s="91">
        <v>240000</v>
      </c>
      <c r="E127" s="91"/>
      <c r="F127" s="133">
        <f t="shared" si="4"/>
        <v>-842156</v>
      </c>
    </row>
    <row r="128" spans="1:6" x14ac:dyDescent="0.25">
      <c r="A128" s="91"/>
      <c r="B128" s="91"/>
      <c r="C128" s="91" t="s">
        <v>4501</v>
      </c>
      <c r="D128" s="91">
        <v>200000</v>
      </c>
      <c r="E128" s="91"/>
      <c r="F128" s="133">
        <f t="shared" si="4"/>
        <v>-1042156</v>
      </c>
    </row>
    <row r="129" spans="1:6" x14ac:dyDescent="0.25">
      <c r="A129" s="91"/>
      <c r="B129" s="91"/>
      <c r="C129" s="91" t="s">
        <v>4502</v>
      </c>
      <c r="D129" s="91">
        <v>90000</v>
      </c>
      <c r="E129" s="91"/>
      <c r="F129" s="133">
        <f t="shared" si="4"/>
        <v>-1132156</v>
      </c>
    </row>
    <row r="130" spans="1:6" x14ac:dyDescent="0.25">
      <c r="A130" s="91"/>
      <c r="B130" s="91"/>
      <c r="C130" s="91" t="s">
        <v>4503</v>
      </c>
      <c r="D130" s="91">
        <v>200000</v>
      </c>
      <c r="E130" s="91"/>
      <c r="F130" s="133">
        <f t="shared" si="4"/>
        <v>-1332156</v>
      </c>
    </row>
    <row r="131" spans="1:6" x14ac:dyDescent="0.25">
      <c r="A131" s="91"/>
      <c r="B131" s="91"/>
      <c r="C131" s="91" t="s">
        <v>4504</v>
      </c>
      <c r="D131" s="91">
        <v>30000</v>
      </c>
      <c r="E131" s="91"/>
      <c r="F131" s="133">
        <f t="shared" si="4"/>
        <v>-1362156</v>
      </c>
    </row>
    <row r="132" spans="1:6" x14ac:dyDescent="0.25">
      <c r="A132" s="91"/>
      <c r="B132" s="91"/>
      <c r="C132" s="91" t="s">
        <v>4505</v>
      </c>
      <c r="D132" s="91">
        <v>100000</v>
      </c>
      <c r="E132" s="91"/>
      <c r="F132" s="133">
        <f t="shared" si="4"/>
        <v>-1462156</v>
      </c>
    </row>
    <row r="133" spans="1:6" x14ac:dyDescent="0.25">
      <c r="A133" s="91"/>
      <c r="B133" s="91"/>
      <c r="C133" s="91" t="s">
        <v>4504</v>
      </c>
      <c r="D133" s="91">
        <v>18000</v>
      </c>
      <c r="E133" s="91"/>
      <c r="F133" s="133">
        <f t="shared" si="4"/>
        <v>-1480156</v>
      </c>
    </row>
    <row r="134" spans="1:6" x14ac:dyDescent="0.25">
      <c r="A134" s="91"/>
      <c r="B134" s="91"/>
      <c r="C134" s="91" t="s">
        <v>4506</v>
      </c>
      <c r="D134" s="91">
        <v>89000</v>
      </c>
      <c r="E134" s="91"/>
      <c r="F134" s="133">
        <f t="shared" si="4"/>
        <v>-1569156</v>
      </c>
    </row>
    <row r="135" spans="1:6" x14ac:dyDescent="0.25">
      <c r="A135" s="91"/>
      <c r="B135" s="91"/>
      <c r="C135" s="91" t="s">
        <v>4507</v>
      </c>
      <c r="D135" s="91">
        <v>25000</v>
      </c>
      <c r="E135" s="91"/>
      <c r="F135" s="133">
        <f t="shared" si="4"/>
        <v>-1594156</v>
      </c>
    </row>
    <row r="136" spans="1:6" x14ac:dyDescent="0.25">
      <c r="A136" s="91"/>
      <c r="B136" s="91"/>
      <c r="C136" s="91" t="s">
        <v>4508</v>
      </c>
      <c r="D136" s="91"/>
      <c r="E136" s="91">
        <v>2345000</v>
      </c>
      <c r="F136" s="133">
        <f t="shared" ref="F136:F167" si="5">F135-D136+E136</f>
        <v>750844</v>
      </c>
    </row>
    <row r="137" spans="1:6" x14ac:dyDescent="0.25">
      <c r="A137" s="91"/>
      <c r="B137" s="91"/>
      <c r="C137" s="91" t="s">
        <v>4509</v>
      </c>
      <c r="D137" s="91"/>
      <c r="E137" s="91">
        <v>379295</v>
      </c>
      <c r="F137" s="133">
        <f t="shared" si="5"/>
        <v>1130139</v>
      </c>
    </row>
    <row r="138" spans="1:6" x14ac:dyDescent="0.25">
      <c r="A138" s="91"/>
      <c r="B138" s="91"/>
      <c r="C138" s="91" t="s">
        <v>4510</v>
      </c>
      <c r="D138" s="91"/>
      <c r="E138" s="91">
        <v>400000</v>
      </c>
      <c r="F138" s="133">
        <f t="shared" si="5"/>
        <v>1530139</v>
      </c>
    </row>
    <row r="139" spans="1:6" x14ac:dyDescent="0.25">
      <c r="A139" s="91"/>
      <c r="B139" s="91"/>
      <c r="C139" s="91" t="s">
        <v>4511</v>
      </c>
      <c r="D139" s="91">
        <v>309000</v>
      </c>
      <c r="E139" s="91"/>
      <c r="F139" s="133">
        <f t="shared" si="5"/>
        <v>1221139</v>
      </c>
    </row>
    <row r="140" spans="1:6" x14ac:dyDescent="0.25">
      <c r="A140" s="91"/>
      <c r="B140" s="91"/>
      <c r="C140" s="91" t="s">
        <v>4512</v>
      </c>
      <c r="D140" s="91">
        <v>150000</v>
      </c>
      <c r="E140" s="91"/>
      <c r="F140" s="133">
        <f t="shared" si="5"/>
        <v>1071139</v>
      </c>
    </row>
    <row r="141" spans="1:6" x14ac:dyDescent="0.25">
      <c r="A141" s="91"/>
      <c r="B141" s="91"/>
      <c r="C141" s="91" t="s">
        <v>4513</v>
      </c>
      <c r="D141" s="91">
        <v>150000</v>
      </c>
      <c r="E141" s="91"/>
      <c r="F141" s="133">
        <f t="shared" si="5"/>
        <v>921139</v>
      </c>
    </row>
    <row r="142" spans="1:6" x14ac:dyDescent="0.25">
      <c r="A142" s="91"/>
      <c r="B142" s="91"/>
      <c r="C142" s="91" t="s">
        <v>4514</v>
      </c>
      <c r="D142" s="91">
        <v>100000</v>
      </c>
      <c r="E142" s="91"/>
      <c r="F142" s="133">
        <f t="shared" si="5"/>
        <v>821139</v>
      </c>
    </row>
    <row r="143" spans="1:6" x14ac:dyDescent="0.25">
      <c r="A143" s="91"/>
      <c r="B143" s="91"/>
      <c r="C143" s="91" t="s">
        <v>4515</v>
      </c>
      <c r="D143" s="91">
        <v>39000</v>
      </c>
      <c r="E143" s="91"/>
      <c r="F143" s="133">
        <f t="shared" si="5"/>
        <v>782139</v>
      </c>
    </row>
    <row r="144" spans="1:6" x14ac:dyDescent="0.25">
      <c r="A144" s="91"/>
      <c r="B144" s="91"/>
      <c r="C144" s="91" t="s">
        <v>4516</v>
      </c>
      <c r="D144" s="91">
        <v>175000</v>
      </c>
      <c r="E144" s="91"/>
      <c r="F144" s="133">
        <f t="shared" si="5"/>
        <v>607139</v>
      </c>
    </row>
    <row r="145" spans="1:6" x14ac:dyDescent="0.25">
      <c r="A145" s="91"/>
      <c r="B145" s="91"/>
      <c r="C145" s="91" t="s">
        <v>4517</v>
      </c>
      <c r="D145" s="91">
        <v>20000</v>
      </c>
      <c r="E145" s="91"/>
      <c r="F145" s="133">
        <f t="shared" si="5"/>
        <v>587139</v>
      </c>
    </row>
    <row r="146" spans="1:6" x14ac:dyDescent="0.25">
      <c r="A146" s="91"/>
      <c r="B146" s="91"/>
      <c r="C146" s="91" t="s">
        <v>4518</v>
      </c>
      <c r="D146" s="91">
        <v>50000</v>
      </c>
      <c r="E146" s="91"/>
      <c r="F146" s="133">
        <f t="shared" si="5"/>
        <v>537139</v>
      </c>
    </row>
    <row r="147" spans="1:6" x14ac:dyDescent="0.25">
      <c r="A147" s="91"/>
      <c r="B147" s="91"/>
      <c r="C147" s="91" t="s">
        <v>4519</v>
      </c>
      <c r="D147" s="91">
        <v>30000</v>
      </c>
      <c r="E147" s="91"/>
      <c r="F147" s="133">
        <f t="shared" si="5"/>
        <v>507139</v>
      </c>
    </row>
    <row r="148" spans="1:6" x14ac:dyDescent="0.25">
      <c r="A148" s="91"/>
      <c r="B148" s="91"/>
      <c r="C148" s="91" t="s">
        <v>4519</v>
      </c>
      <c r="D148" s="91">
        <v>10000</v>
      </c>
      <c r="E148" s="91"/>
      <c r="F148" s="133">
        <f t="shared" si="5"/>
        <v>497139</v>
      </c>
    </row>
    <row r="149" spans="1:6" x14ac:dyDescent="0.25">
      <c r="A149" s="91"/>
      <c r="B149" s="91"/>
      <c r="C149" s="91" t="s">
        <v>4520</v>
      </c>
      <c r="D149" s="91">
        <v>150000</v>
      </c>
      <c r="E149" s="91"/>
      <c r="F149" s="133">
        <f t="shared" si="5"/>
        <v>347139</v>
      </c>
    </row>
    <row r="150" spans="1:6" x14ac:dyDescent="0.25">
      <c r="A150" s="91"/>
      <c r="B150" s="91"/>
      <c r="C150" s="91" t="s">
        <v>4520</v>
      </c>
      <c r="D150" s="91">
        <v>28000</v>
      </c>
      <c r="E150" s="91"/>
      <c r="F150" s="133">
        <f t="shared" si="5"/>
        <v>319139</v>
      </c>
    </row>
    <row r="151" spans="1:6" x14ac:dyDescent="0.25">
      <c r="A151" s="91"/>
      <c r="B151" s="91"/>
      <c r="C151" s="91" t="s">
        <v>4521</v>
      </c>
      <c r="D151" s="91"/>
      <c r="E151" s="91">
        <v>250000</v>
      </c>
      <c r="F151" s="133">
        <f t="shared" si="5"/>
        <v>569139</v>
      </c>
    </row>
    <row r="152" spans="1:6" x14ac:dyDescent="0.25">
      <c r="A152" s="91"/>
      <c r="B152" s="91"/>
      <c r="C152" s="91" t="s">
        <v>4522</v>
      </c>
      <c r="D152" s="91"/>
      <c r="E152" s="91">
        <v>300000</v>
      </c>
      <c r="F152" s="133">
        <f t="shared" si="5"/>
        <v>869139</v>
      </c>
    </row>
    <row r="153" spans="1:6" x14ac:dyDescent="0.25">
      <c r="A153" s="91"/>
      <c r="B153" s="91"/>
      <c r="C153" s="91" t="s">
        <v>4519</v>
      </c>
      <c r="D153" s="91">
        <v>50000</v>
      </c>
      <c r="E153" s="91"/>
      <c r="F153" s="133">
        <f t="shared" si="5"/>
        <v>819139</v>
      </c>
    </row>
    <row r="154" spans="1:6" x14ac:dyDescent="0.25">
      <c r="A154" s="91"/>
      <c r="B154" s="91"/>
      <c r="C154" s="91" t="s">
        <v>4523</v>
      </c>
      <c r="D154" s="91"/>
      <c r="E154" s="91">
        <v>60000</v>
      </c>
      <c r="F154" s="133">
        <f t="shared" si="5"/>
        <v>879139</v>
      </c>
    </row>
    <row r="155" spans="1:6" x14ac:dyDescent="0.25">
      <c r="A155" s="91"/>
      <c r="B155" s="91"/>
      <c r="C155" s="91" t="s">
        <v>41</v>
      </c>
      <c r="D155" s="91"/>
      <c r="E155" s="91">
        <v>50000</v>
      </c>
      <c r="F155" s="133">
        <f t="shared" si="5"/>
        <v>929139</v>
      </c>
    </row>
    <row r="156" spans="1:6" x14ac:dyDescent="0.25">
      <c r="A156" s="91"/>
      <c r="B156" s="91"/>
      <c r="C156" s="91" t="s">
        <v>4524</v>
      </c>
      <c r="D156" s="91">
        <v>15000</v>
      </c>
      <c r="E156" s="91"/>
      <c r="F156" s="133">
        <f t="shared" si="5"/>
        <v>914139</v>
      </c>
    </row>
    <row r="157" spans="1:6" x14ac:dyDescent="0.25">
      <c r="A157" s="91"/>
      <c r="B157" s="91"/>
      <c r="C157" s="91" t="s">
        <v>4525</v>
      </c>
      <c r="D157" s="91">
        <v>15950</v>
      </c>
      <c r="E157" s="91"/>
      <c r="F157" s="133">
        <f t="shared" si="5"/>
        <v>898189</v>
      </c>
    </row>
    <row r="158" spans="1:6" x14ac:dyDescent="0.25">
      <c r="A158" s="91"/>
      <c r="B158" s="91"/>
      <c r="C158" s="91" t="s">
        <v>4526</v>
      </c>
      <c r="D158" s="91">
        <v>11200</v>
      </c>
      <c r="E158" s="91"/>
      <c r="F158" s="133">
        <f t="shared" si="5"/>
        <v>886989</v>
      </c>
    </row>
    <row r="159" spans="1:6" x14ac:dyDescent="0.25">
      <c r="A159" s="91"/>
      <c r="B159" s="91"/>
      <c r="C159" s="91" t="s">
        <v>4527</v>
      </c>
      <c r="D159" s="91">
        <v>19950</v>
      </c>
      <c r="E159" s="91"/>
      <c r="F159" s="133">
        <f t="shared" si="5"/>
        <v>867039</v>
      </c>
    </row>
    <row r="160" spans="1:6" x14ac:dyDescent="0.25">
      <c r="A160" s="91"/>
      <c r="B160" s="91"/>
      <c r="C160" s="91" t="s">
        <v>4519</v>
      </c>
      <c r="D160" s="91">
        <v>60000</v>
      </c>
      <c r="E160" s="91"/>
      <c r="F160" s="133">
        <f t="shared" si="5"/>
        <v>807039</v>
      </c>
    </row>
    <row r="161" spans="1:6" x14ac:dyDescent="0.25">
      <c r="A161" s="91"/>
      <c r="B161" s="91"/>
      <c r="C161" s="91" t="s">
        <v>4528</v>
      </c>
      <c r="D161" s="91">
        <v>25000</v>
      </c>
      <c r="E161" s="91"/>
      <c r="F161" s="133">
        <f t="shared" si="5"/>
        <v>782039</v>
      </c>
    </row>
    <row r="162" spans="1:6" x14ac:dyDescent="0.25">
      <c r="A162" s="91"/>
      <c r="B162" s="91"/>
      <c r="C162" s="91" t="s">
        <v>4529</v>
      </c>
      <c r="D162" s="91">
        <v>90000</v>
      </c>
      <c r="E162" s="91"/>
      <c r="F162" s="133">
        <f t="shared" si="5"/>
        <v>692039</v>
      </c>
    </row>
    <row r="163" spans="1:6" x14ac:dyDescent="0.25">
      <c r="A163" s="91"/>
      <c r="B163" s="91"/>
      <c r="C163" s="91" t="s">
        <v>4530</v>
      </c>
      <c r="D163" s="91">
        <v>250000</v>
      </c>
      <c r="E163" s="91"/>
      <c r="F163" s="133">
        <f t="shared" si="5"/>
        <v>442039</v>
      </c>
    </row>
    <row r="164" spans="1:6" x14ac:dyDescent="0.25">
      <c r="A164" s="91"/>
      <c r="B164" s="91"/>
      <c r="C164" s="91" t="s">
        <v>4531</v>
      </c>
      <c r="D164" s="91">
        <v>50000</v>
      </c>
      <c r="E164" s="91"/>
      <c r="F164" s="133">
        <f t="shared" si="5"/>
        <v>392039</v>
      </c>
    </row>
    <row r="165" spans="1:6" x14ac:dyDescent="0.25">
      <c r="A165" s="91"/>
      <c r="B165" s="91"/>
      <c r="C165" s="91" t="s">
        <v>4532</v>
      </c>
      <c r="D165" s="91">
        <v>4700</v>
      </c>
      <c r="E165" s="91"/>
      <c r="F165" s="133">
        <f t="shared" si="5"/>
        <v>387339</v>
      </c>
    </row>
    <row r="166" spans="1:6" x14ac:dyDescent="0.25">
      <c r="A166" s="91"/>
      <c r="B166" s="91"/>
      <c r="C166" s="91" t="s">
        <v>4525</v>
      </c>
      <c r="D166" s="91">
        <v>16000</v>
      </c>
      <c r="E166" s="91"/>
      <c r="F166" s="133">
        <f t="shared" si="5"/>
        <v>371339</v>
      </c>
    </row>
    <row r="167" spans="1:6" x14ac:dyDescent="0.25">
      <c r="A167" s="91"/>
      <c r="B167" s="91"/>
      <c r="C167" s="91" t="s">
        <v>4533</v>
      </c>
      <c r="D167" s="91">
        <v>10000</v>
      </c>
      <c r="E167" s="91"/>
      <c r="F167" s="133">
        <f t="shared" si="5"/>
        <v>361339</v>
      </c>
    </row>
    <row r="168" spans="1:6" x14ac:dyDescent="0.25">
      <c r="A168" s="91"/>
      <c r="B168" s="91"/>
      <c r="C168" s="91" t="s">
        <v>4534</v>
      </c>
      <c r="D168" s="91">
        <v>15000</v>
      </c>
      <c r="E168" s="91"/>
      <c r="F168" s="133">
        <f t="shared" ref="F168:F195" si="6">F167-D168+E168</f>
        <v>346339</v>
      </c>
    </row>
    <row r="169" spans="1:6" x14ac:dyDescent="0.25">
      <c r="A169" s="91"/>
      <c r="B169" s="91"/>
      <c r="C169" s="91" t="s">
        <v>4535</v>
      </c>
      <c r="D169" s="91">
        <v>33000</v>
      </c>
      <c r="E169" s="91"/>
      <c r="F169" s="133">
        <f t="shared" si="6"/>
        <v>313339</v>
      </c>
    </row>
    <row r="170" spans="1:6" x14ac:dyDescent="0.25">
      <c r="A170" s="34"/>
      <c r="B170" s="34"/>
      <c r="C170" s="34" t="s">
        <v>4536</v>
      </c>
      <c r="D170" s="8">
        <v>75000</v>
      </c>
      <c r="E170" s="8"/>
      <c r="F170" s="133">
        <f t="shared" si="6"/>
        <v>238339</v>
      </c>
    </row>
    <row r="171" spans="1:6" x14ac:dyDescent="0.25">
      <c r="A171" s="34"/>
      <c r="B171" s="34"/>
      <c r="C171" s="34" t="s">
        <v>4537</v>
      </c>
      <c r="D171" s="8">
        <f>4168+1570</f>
        <v>5738</v>
      </c>
      <c r="E171" s="8"/>
      <c r="F171" s="133">
        <f t="shared" si="6"/>
        <v>232601</v>
      </c>
    </row>
    <row r="172" spans="1:6" x14ac:dyDescent="0.25">
      <c r="A172" s="34"/>
      <c r="B172" s="34"/>
      <c r="C172" s="34" t="s">
        <v>4538</v>
      </c>
      <c r="D172" s="8">
        <v>20000</v>
      </c>
      <c r="E172" s="8"/>
      <c r="F172" s="133">
        <f t="shared" si="6"/>
        <v>212601</v>
      </c>
    </row>
    <row r="173" spans="1:6" x14ac:dyDescent="0.25">
      <c r="A173" s="34"/>
      <c r="B173" s="34"/>
      <c r="C173" s="34" t="s">
        <v>4539</v>
      </c>
      <c r="D173" s="8">
        <v>120000</v>
      </c>
      <c r="E173" s="8"/>
      <c r="F173" s="133">
        <f t="shared" si="6"/>
        <v>92601</v>
      </c>
    </row>
    <row r="174" spans="1:6" x14ac:dyDescent="0.25">
      <c r="A174" s="34"/>
      <c r="B174" s="34"/>
      <c r="C174" s="34" t="s">
        <v>4540</v>
      </c>
      <c r="D174" s="8">
        <v>10000</v>
      </c>
      <c r="E174" s="8"/>
      <c r="F174" s="133">
        <f t="shared" si="6"/>
        <v>82601</v>
      </c>
    </row>
    <row r="175" spans="1:6" x14ac:dyDescent="0.25">
      <c r="A175" s="34"/>
      <c r="B175" s="34"/>
      <c r="C175" s="34" t="s">
        <v>4541</v>
      </c>
      <c r="D175" s="8"/>
      <c r="E175" s="8">
        <v>20000</v>
      </c>
      <c r="F175" s="133">
        <f t="shared" si="6"/>
        <v>102601</v>
      </c>
    </row>
    <row r="176" spans="1:6" x14ac:dyDescent="0.25">
      <c r="A176" s="34"/>
      <c r="B176" s="34"/>
      <c r="C176" s="34" t="s">
        <v>4542</v>
      </c>
      <c r="D176" s="8">
        <v>16500</v>
      </c>
      <c r="E176" s="8"/>
      <c r="F176" s="133">
        <f t="shared" si="6"/>
        <v>86101</v>
      </c>
    </row>
    <row r="177" spans="1:6" x14ac:dyDescent="0.25">
      <c r="A177" s="34"/>
      <c r="B177" s="34"/>
      <c r="C177" s="34" t="s">
        <v>4543</v>
      </c>
      <c r="D177" s="8">
        <v>50000</v>
      </c>
      <c r="E177" s="8"/>
      <c r="F177" s="133">
        <f t="shared" si="6"/>
        <v>36101</v>
      </c>
    </row>
    <row r="178" spans="1:6" x14ac:dyDescent="0.25">
      <c r="A178" s="34"/>
      <c r="B178" s="34"/>
      <c r="C178" s="34" t="s">
        <v>4544</v>
      </c>
      <c r="D178" s="8">
        <v>18040</v>
      </c>
      <c r="E178" s="8"/>
      <c r="F178" s="133">
        <f t="shared" si="6"/>
        <v>18061</v>
      </c>
    </row>
    <row r="179" spans="1:6" x14ac:dyDescent="0.25">
      <c r="A179" s="34"/>
      <c r="B179" s="34"/>
      <c r="C179" s="34" t="s">
        <v>4545</v>
      </c>
      <c r="D179" s="8">
        <v>6570</v>
      </c>
      <c r="E179" s="8"/>
      <c r="F179" s="133">
        <f t="shared" si="6"/>
        <v>11491</v>
      </c>
    </row>
    <row r="180" spans="1:6" x14ac:dyDescent="0.25">
      <c r="A180" s="34"/>
      <c r="B180" s="34"/>
      <c r="C180" s="34" t="s">
        <v>4546</v>
      </c>
      <c r="D180" s="8">
        <v>10000</v>
      </c>
      <c r="E180" s="8"/>
      <c r="F180" s="133">
        <f t="shared" si="6"/>
        <v>1491</v>
      </c>
    </row>
    <row r="181" spans="1:6" x14ac:dyDescent="0.25">
      <c r="A181" s="34"/>
      <c r="B181" s="34"/>
      <c r="C181" s="34" t="s">
        <v>4547</v>
      </c>
      <c r="D181" s="8">
        <v>7190</v>
      </c>
      <c r="E181" s="8"/>
      <c r="F181" s="133">
        <f t="shared" si="6"/>
        <v>-5699</v>
      </c>
    </row>
    <row r="182" spans="1:6" x14ac:dyDescent="0.25">
      <c r="A182" s="34"/>
      <c r="B182" s="34"/>
      <c r="C182" s="34" t="s">
        <v>4548</v>
      </c>
      <c r="D182" s="8">
        <v>45000</v>
      </c>
      <c r="E182" s="8"/>
      <c r="F182" s="133">
        <f t="shared" si="6"/>
        <v>-50699</v>
      </c>
    </row>
    <row r="183" spans="1:6" x14ac:dyDescent="0.25">
      <c r="A183" s="34"/>
      <c r="B183" s="34"/>
      <c r="C183" s="34" t="s">
        <v>4549</v>
      </c>
      <c r="D183" s="8">
        <v>4775</v>
      </c>
      <c r="E183" s="8"/>
      <c r="F183" s="133">
        <f t="shared" si="6"/>
        <v>-55474</v>
      </c>
    </row>
    <row r="184" spans="1:6" x14ac:dyDescent="0.25">
      <c r="A184" s="34"/>
      <c r="B184" s="34"/>
      <c r="C184" s="34" t="s">
        <v>4550</v>
      </c>
      <c r="D184" s="8"/>
      <c r="E184" s="8">
        <v>451000</v>
      </c>
      <c r="F184" s="133">
        <f t="shared" si="6"/>
        <v>395526</v>
      </c>
    </row>
    <row r="185" spans="1:6" x14ac:dyDescent="0.25">
      <c r="A185" s="34"/>
      <c r="B185" s="34"/>
      <c r="C185" s="34" t="s">
        <v>4551</v>
      </c>
      <c r="D185" s="8">
        <v>60000</v>
      </c>
      <c r="E185" s="8"/>
      <c r="F185" s="133">
        <f t="shared" si="6"/>
        <v>335526</v>
      </c>
    </row>
    <row r="186" spans="1:6" x14ac:dyDescent="0.25">
      <c r="A186" s="34"/>
      <c r="B186" s="34"/>
      <c r="C186" s="34" t="s">
        <v>4552</v>
      </c>
      <c r="D186" s="8">
        <v>30000</v>
      </c>
      <c r="E186" s="8"/>
      <c r="F186" s="133">
        <f t="shared" si="6"/>
        <v>305526</v>
      </c>
    </row>
    <row r="187" spans="1:6" x14ac:dyDescent="0.25">
      <c r="A187" s="34"/>
      <c r="B187" s="34"/>
      <c r="C187" s="34" t="s">
        <v>4553</v>
      </c>
      <c r="D187" s="8">
        <v>100000</v>
      </c>
      <c r="E187" s="8"/>
      <c r="F187" s="133">
        <f t="shared" si="6"/>
        <v>205526</v>
      </c>
    </row>
    <row r="188" spans="1:6" x14ac:dyDescent="0.25">
      <c r="A188" s="34"/>
      <c r="B188" s="34"/>
      <c r="C188" s="34" t="s">
        <v>4554</v>
      </c>
      <c r="D188" s="8">
        <v>100000</v>
      </c>
      <c r="E188" s="8"/>
      <c r="F188" s="133">
        <f t="shared" si="6"/>
        <v>105526</v>
      </c>
    </row>
    <row r="189" spans="1:6" x14ac:dyDescent="0.25">
      <c r="A189" s="34"/>
      <c r="B189" s="34"/>
      <c r="C189" s="34" t="s">
        <v>4555</v>
      </c>
      <c r="D189" s="8">
        <v>75000</v>
      </c>
      <c r="E189" s="8"/>
      <c r="F189" s="133">
        <f t="shared" si="6"/>
        <v>30526</v>
      </c>
    </row>
    <row r="190" spans="1:6" x14ac:dyDescent="0.25">
      <c r="A190" s="34"/>
      <c r="B190" s="34"/>
      <c r="C190" s="34" t="s">
        <v>4556</v>
      </c>
      <c r="D190" s="8">
        <v>30000</v>
      </c>
      <c r="E190" s="8"/>
      <c r="F190" s="133">
        <f t="shared" si="6"/>
        <v>526</v>
      </c>
    </row>
    <row r="191" spans="1:6" x14ac:dyDescent="0.25">
      <c r="A191" s="34"/>
      <c r="B191" s="34"/>
      <c r="C191" s="34" t="s">
        <v>4557</v>
      </c>
      <c r="D191" s="8">
        <v>100000</v>
      </c>
      <c r="E191" s="8"/>
      <c r="F191" s="133">
        <f t="shared" si="6"/>
        <v>-99474</v>
      </c>
    </row>
    <row r="192" spans="1:6" x14ac:dyDescent="0.25">
      <c r="A192" s="34"/>
      <c r="B192" s="34"/>
      <c r="C192" s="34" t="s">
        <v>4558</v>
      </c>
      <c r="D192" s="8">
        <v>10020</v>
      </c>
      <c r="E192" s="8"/>
      <c r="F192" s="133">
        <f t="shared" si="6"/>
        <v>-109494</v>
      </c>
    </row>
    <row r="193" spans="1:6" x14ac:dyDescent="0.25">
      <c r="A193" s="34"/>
      <c r="B193" s="34"/>
      <c r="C193" s="34" t="s">
        <v>31</v>
      </c>
      <c r="D193" s="8">
        <v>3000</v>
      </c>
      <c r="E193" s="8"/>
      <c r="F193" s="133">
        <f t="shared" si="6"/>
        <v>-112494</v>
      </c>
    </row>
    <row r="194" spans="1:6" x14ac:dyDescent="0.25">
      <c r="A194" s="34"/>
      <c r="B194" s="34"/>
      <c r="C194" s="34" t="s">
        <v>4559</v>
      </c>
      <c r="D194" s="8">
        <v>30000</v>
      </c>
      <c r="E194" s="8"/>
      <c r="F194" s="133">
        <f t="shared" si="6"/>
        <v>-142494</v>
      </c>
    </row>
    <row r="195" spans="1:6" x14ac:dyDescent="0.25">
      <c r="A195" s="34"/>
      <c r="B195" s="34"/>
      <c r="C195" s="34" t="s">
        <v>4560</v>
      </c>
      <c r="D195" s="8"/>
      <c r="E195" s="8">
        <v>142500</v>
      </c>
      <c r="F195" s="133">
        <f t="shared" si="6"/>
        <v>6</v>
      </c>
    </row>
    <row r="196" spans="1:6" x14ac:dyDescent="0.25">
      <c r="A196" s="34"/>
      <c r="B196" s="34"/>
      <c r="C196" s="34"/>
      <c r="D196" s="8"/>
      <c r="E196" s="8"/>
      <c r="F196" s="34"/>
    </row>
    <row r="197" spans="1:6" x14ac:dyDescent="0.25">
      <c r="A197" s="34"/>
      <c r="B197" s="34"/>
      <c r="C197" s="34" t="s">
        <v>4561</v>
      </c>
      <c r="D197" s="8">
        <v>500000</v>
      </c>
      <c r="E197" s="8"/>
      <c r="F197" s="133">
        <f t="shared" ref="F197:F228" si="7">F196-D197+E197</f>
        <v>-500000</v>
      </c>
    </row>
    <row r="198" spans="1:6" ht="60" x14ac:dyDescent="0.25">
      <c r="A198" s="34"/>
      <c r="B198" s="34" t="s">
        <v>4562</v>
      </c>
      <c r="C198" s="70" t="s">
        <v>4563</v>
      </c>
      <c r="D198" s="8"/>
      <c r="E198" s="91">
        <v>300000</v>
      </c>
      <c r="F198" s="133">
        <f t="shared" si="7"/>
        <v>-200000</v>
      </c>
    </row>
    <row r="199" spans="1:6" x14ac:dyDescent="0.25">
      <c r="A199" s="34"/>
      <c r="B199" s="34"/>
      <c r="C199" s="34" t="s">
        <v>4564</v>
      </c>
      <c r="D199" s="8">
        <v>50000</v>
      </c>
      <c r="E199" s="8"/>
      <c r="F199" s="133">
        <f t="shared" si="7"/>
        <v>-250000</v>
      </c>
    </row>
    <row r="200" spans="1:6" x14ac:dyDescent="0.25">
      <c r="A200" s="34"/>
      <c r="B200" s="34"/>
      <c r="C200" s="34" t="s">
        <v>4565</v>
      </c>
      <c r="D200" s="8">
        <v>20000</v>
      </c>
      <c r="E200" s="8"/>
      <c r="F200" s="133">
        <f t="shared" si="7"/>
        <v>-270000</v>
      </c>
    </row>
    <row r="201" spans="1:6" x14ac:dyDescent="0.25">
      <c r="A201" s="34"/>
      <c r="B201" s="34"/>
      <c r="C201" s="34" t="s">
        <v>31</v>
      </c>
      <c r="D201" s="8">
        <v>2000</v>
      </c>
      <c r="E201" s="8"/>
      <c r="F201" s="133">
        <f t="shared" si="7"/>
        <v>-272000</v>
      </c>
    </row>
    <row r="202" spans="1:6" x14ac:dyDescent="0.25">
      <c r="A202" s="34"/>
      <c r="B202" s="34"/>
      <c r="C202" s="34" t="s">
        <v>4566</v>
      </c>
      <c r="D202" s="8">
        <v>22000</v>
      </c>
      <c r="E202" s="8"/>
      <c r="F202" s="133">
        <f t="shared" si="7"/>
        <v>-294000</v>
      </c>
    </row>
    <row r="203" spans="1:6" x14ac:dyDescent="0.25">
      <c r="A203" s="34"/>
      <c r="B203" s="34"/>
      <c r="C203" s="34" t="s">
        <v>4567</v>
      </c>
      <c r="D203" s="8">
        <v>5250</v>
      </c>
      <c r="E203" s="8"/>
      <c r="F203" s="133">
        <f t="shared" si="7"/>
        <v>-299250</v>
      </c>
    </row>
    <row r="204" spans="1:6" x14ac:dyDescent="0.25">
      <c r="A204" s="34"/>
      <c r="B204" s="34"/>
      <c r="C204" s="34" t="s">
        <v>4568</v>
      </c>
      <c r="D204" s="8">
        <v>10000</v>
      </c>
      <c r="E204" s="8"/>
      <c r="F204" s="133">
        <f t="shared" si="7"/>
        <v>-309250</v>
      </c>
    </row>
    <row r="205" spans="1:6" x14ac:dyDescent="0.25">
      <c r="A205" s="34"/>
      <c r="B205" s="34"/>
      <c r="C205" s="34" t="s">
        <v>4569</v>
      </c>
      <c r="D205" s="8">
        <v>14000</v>
      </c>
      <c r="E205" s="8"/>
      <c r="F205" s="133">
        <f t="shared" si="7"/>
        <v>-323250</v>
      </c>
    </row>
    <row r="206" spans="1:6" x14ac:dyDescent="0.25">
      <c r="A206" s="34"/>
      <c r="B206" s="34"/>
      <c r="C206" s="52" t="s">
        <v>4546</v>
      </c>
      <c r="D206" s="14">
        <v>4000</v>
      </c>
      <c r="E206" s="8"/>
      <c r="F206" s="133">
        <f t="shared" si="7"/>
        <v>-327250</v>
      </c>
    </row>
    <row r="207" spans="1:6" x14ac:dyDescent="0.25">
      <c r="A207" s="34"/>
      <c r="B207" s="34"/>
      <c r="C207" s="34" t="s">
        <v>4570</v>
      </c>
      <c r="D207" s="8">
        <v>47700</v>
      </c>
      <c r="E207" s="8"/>
      <c r="F207" s="133">
        <f t="shared" si="7"/>
        <v>-374950</v>
      </c>
    </row>
    <row r="208" spans="1:6" x14ac:dyDescent="0.25">
      <c r="A208" s="34"/>
      <c r="B208" s="34"/>
      <c r="C208" s="34" t="s">
        <v>4571</v>
      </c>
      <c r="D208" s="8">
        <v>12800</v>
      </c>
      <c r="E208" s="8"/>
      <c r="F208" s="133">
        <f t="shared" si="7"/>
        <v>-387750</v>
      </c>
    </row>
    <row r="209" spans="1:7" x14ac:dyDescent="0.25">
      <c r="A209" s="34"/>
      <c r="B209" s="34"/>
      <c r="C209" s="34" t="s">
        <v>4572</v>
      </c>
      <c r="D209" s="8">
        <v>500000</v>
      </c>
      <c r="E209" s="8"/>
      <c r="F209" s="133">
        <f t="shared" si="7"/>
        <v>-887750</v>
      </c>
    </row>
    <row r="210" spans="1:7" x14ac:dyDescent="0.25">
      <c r="A210" s="34"/>
      <c r="B210" s="34"/>
      <c r="C210" s="34" t="s">
        <v>4573</v>
      </c>
      <c r="D210" s="8">
        <v>25000</v>
      </c>
      <c r="E210" s="8"/>
      <c r="F210" s="133">
        <f t="shared" si="7"/>
        <v>-912750</v>
      </c>
    </row>
    <row r="211" spans="1:7" x14ac:dyDescent="0.25">
      <c r="A211" s="34"/>
      <c r="B211" s="34"/>
      <c r="C211" s="52" t="s">
        <v>4574</v>
      </c>
      <c r="D211" s="14">
        <v>20000</v>
      </c>
      <c r="E211" s="8"/>
      <c r="F211" s="133">
        <f t="shared" si="7"/>
        <v>-932750</v>
      </c>
    </row>
    <row r="212" spans="1:7" x14ac:dyDescent="0.25">
      <c r="A212" s="34"/>
      <c r="B212" s="34"/>
      <c r="C212" s="52" t="s">
        <v>4575</v>
      </c>
      <c r="D212" s="14">
        <v>40000</v>
      </c>
      <c r="E212" s="8"/>
      <c r="F212" s="133">
        <f t="shared" si="7"/>
        <v>-972750</v>
      </c>
    </row>
    <row r="213" spans="1:7" x14ac:dyDescent="0.25">
      <c r="A213" s="34"/>
      <c r="B213" s="34"/>
      <c r="C213" s="52" t="s">
        <v>4576</v>
      </c>
      <c r="D213" s="14">
        <v>5000</v>
      </c>
      <c r="E213" s="8"/>
      <c r="F213" s="133">
        <f t="shared" si="7"/>
        <v>-977750</v>
      </c>
    </row>
    <row r="214" spans="1:7" x14ac:dyDescent="0.25">
      <c r="A214" s="34"/>
      <c r="B214" s="34"/>
      <c r="C214" s="52" t="s">
        <v>4577</v>
      </c>
      <c r="D214" s="14"/>
      <c r="E214" s="8">
        <v>650000</v>
      </c>
      <c r="F214" s="133">
        <f t="shared" si="7"/>
        <v>-327750</v>
      </c>
    </row>
    <row r="215" spans="1:7" x14ac:dyDescent="0.25">
      <c r="A215" s="34"/>
      <c r="B215" s="34"/>
      <c r="C215" s="34" t="s">
        <v>4578</v>
      </c>
      <c r="D215" s="8">
        <v>200000</v>
      </c>
      <c r="E215" s="8"/>
      <c r="F215" s="133">
        <f t="shared" si="7"/>
        <v>-527750</v>
      </c>
    </row>
    <row r="216" spans="1:7" x14ac:dyDescent="0.25">
      <c r="A216" s="34"/>
      <c r="B216" s="34"/>
      <c r="C216" s="34" t="s">
        <v>4579</v>
      </c>
      <c r="D216" s="8">
        <v>50000</v>
      </c>
      <c r="E216" s="8"/>
      <c r="F216" s="133">
        <f t="shared" si="7"/>
        <v>-577750</v>
      </c>
    </row>
    <row r="217" spans="1:7" x14ac:dyDescent="0.25">
      <c r="A217" s="34"/>
      <c r="B217" s="34"/>
      <c r="C217" s="34" t="s">
        <v>4580</v>
      </c>
      <c r="D217" s="8"/>
      <c r="E217" s="8">
        <v>100000</v>
      </c>
      <c r="F217" s="133">
        <f t="shared" si="7"/>
        <v>-477750</v>
      </c>
    </row>
    <row r="218" spans="1:7" x14ac:dyDescent="0.25">
      <c r="A218" s="34"/>
      <c r="B218" s="34"/>
      <c r="C218" s="34" t="s">
        <v>4581</v>
      </c>
      <c r="D218" s="8">
        <v>10000</v>
      </c>
      <c r="E218" s="8"/>
      <c r="F218" s="133">
        <f t="shared" si="7"/>
        <v>-487750</v>
      </c>
    </row>
    <row r="219" spans="1:7" x14ac:dyDescent="0.25">
      <c r="A219" s="34"/>
      <c r="B219" s="34"/>
      <c r="C219" s="34" t="s">
        <v>4582</v>
      </c>
      <c r="D219" s="8">
        <v>6000</v>
      </c>
      <c r="E219" s="8"/>
      <c r="F219" s="133">
        <f t="shared" si="7"/>
        <v>-493750</v>
      </c>
    </row>
    <row r="220" spans="1:7" x14ac:dyDescent="0.25">
      <c r="A220" s="34"/>
      <c r="B220" s="34"/>
      <c r="C220" s="34" t="s">
        <v>4583</v>
      </c>
      <c r="D220" s="8"/>
      <c r="E220" s="8">
        <v>493750</v>
      </c>
      <c r="F220" s="133">
        <f t="shared" si="7"/>
        <v>0</v>
      </c>
      <c r="G220" s="5" t="s">
        <v>4584</v>
      </c>
    </row>
    <row r="221" spans="1:7" x14ac:dyDescent="0.25">
      <c r="A221" s="34"/>
      <c r="B221" s="34"/>
      <c r="C221" s="34" t="s">
        <v>4585</v>
      </c>
      <c r="D221" s="8">
        <v>2070</v>
      </c>
      <c r="E221" s="8"/>
      <c r="F221" s="133">
        <f t="shared" si="7"/>
        <v>-2070</v>
      </c>
    </row>
    <row r="222" spans="1:7" x14ac:dyDescent="0.25">
      <c r="A222" s="34"/>
      <c r="B222" s="34"/>
      <c r="C222" s="34" t="s">
        <v>4586</v>
      </c>
      <c r="D222" s="8">
        <v>8270</v>
      </c>
      <c r="E222" s="8"/>
      <c r="F222" s="133">
        <f t="shared" si="7"/>
        <v>-10340</v>
      </c>
    </row>
    <row r="223" spans="1:7" x14ac:dyDescent="0.25">
      <c r="A223" s="34"/>
      <c r="B223" s="34"/>
      <c r="C223" s="34" t="s">
        <v>3924</v>
      </c>
      <c r="D223" s="8">
        <v>7000</v>
      </c>
      <c r="E223" s="8"/>
      <c r="F223" s="133">
        <f t="shared" si="7"/>
        <v>-17340</v>
      </c>
    </row>
    <row r="224" spans="1:7" x14ac:dyDescent="0.25">
      <c r="A224" s="34"/>
      <c r="B224" s="34"/>
      <c r="C224" s="34" t="s">
        <v>3924</v>
      </c>
      <c r="D224" s="8">
        <v>9435</v>
      </c>
      <c r="E224" s="8"/>
      <c r="F224" s="133">
        <f t="shared" si="7"/>
        <v>-26775</v>
      </c>
    </row>
    <row r="225" spans="1:6" x14ac:dyDescent="0.25">
      <c r="A225" s="34"/>
      <c r="B225" s="34"/>
      <c r="C225" s="34" t="s">
        <v>3924</v>
      </c>
      <c r="D225" s="8">
        <v>13180</v>
      </c>
      <c r="E225" s="8"/>
      <c r="F225" s="133">
        <f t="shared" si="7"/>
        <v>-39955</v>
      </c>
    </row>
    <row r="226" spans="1:6" x14ac:dyDescent="0.25">
      <c r="A226" s="34"/>
      <c r="B226" s="34"/>
      <c r="C226" s="34" t="s">
        <v>3924</v>
      </c>
      <c r="D226" s="8">
        <v>6800</v>
      </c>
      <c r="E226" s="8"/>
      <c r="F226" s="133">
        <f t="shared" si="7"/>
        <v>-46755</v>
      </c>
    </row>
    <row r="227" spans="1:6" x14ac:dyDescent="0.25">
      <c r="A227" s="34"/>
      <c r="B227" s="34"/>
      <c r="C227" s="52" t="s">
        <v>4553</v>
      </c>
      <c r="D227" s="8">
        <v>3000</v>
      </c>
      <c r="E227" s="8"/>
      <c r="F227" s="133">
        <f t="shared" si="7"/>
        <v>-49755</v>
      </c>
    </row>
    <row r="228" spans="1:6" x14ac:dyDescent="0.25">
      <c r="A228" s="34"/>
      <c r="B228" s="34"/>
      <c r="C228" s="52" t="s">
        <v>4587</v>
      </c>
      <c r="D228" s="8">
        <v>2000</v>
      </c>
      <c r="E228" s="8"/>
      <c r="F228" s="133">
        <f t="shared" si="7"/>
        <v>-51755</v>
      </c>
    </row>
    <row r="229" spans="1:6" x14ac:dyDescent="0.25">
      <c r="A229" s="34"/>
      <c r="B229" s="34"/>
      <c r="C229" s="52" t="s">
        <v>4588</v>
      </c>
      <c r="D229" s="8">
        <v>2000</v>
      </c>
      <c r="E229" s="8"/>
      <c r="F229" s="133">
        <f t="shared" ref="F229:F260" si="8">F228-D229+E229</f>
        <v>-53755</v>
      </c>
    </row>
    <row r="230" spans="1:6" x14ac:dyDescent="0.25">
      <c r="A230" s="34"/>
      <c r="B230" s="34"/>
      <c r="C230" s="34" t="s">
        <v>3924</v>
      </c>
      <c r="D230" s="8">
        <v>24272</v>
      </c>
      <c r="E230" s="8"/>
      <c r="F230" s="133">
        <f t="shared" si="8"/>
        <v>-78027</v>
      </c>
    </row>
    <row r="231" spans="1:6" x14ac:dyDescent="0.25">
      <c r="A231" s="34"/>
      <c r="B231" s="34"/>
      <c r="C231" s="34" t="s">
        <v>4589</v>
      </c>
      <c r="D231" s="8">
        <v>60000</v>
      </c>
      <c r="E231" s="8"/>
      <c r="F231" s="133">
        <f t="shared" si="8"/>
        <v>-138027</v>
      </c>
    </row>
    <row r="232" spans="1:6" x14ac:dyDescent="0.25">
      <c r="A232" s="34"/>
      <c r="B232" s="34"/>
      <c r="C232" s="34" t="s">
        <v>4590</v>
      </c>
      <c r="D232" s="8">
        <v>10000</v>
      </c>
      <c r="E232" s="8"/>
      <c r="F232" s="133">
        <f t="shared" si="8"/>
        <v>-148027</v>
      </c>
    </row>
    <row r="233" spans="1:6" x14ac:dyDescent="0.25">
      <c r="A233" s="34"/>
      <c r="B233" s="34"/>
      <c r="C233" s="34" t="s">
        <v>4590</v>
      </c>
      <c r="D233" s="8">
        <v>10000</v>
      </c>
      <c r="E233" s="8"/>
      <c r="F233" s="133">
        <f t="shared" si="8"/>
        <v>-158027</v>
      </c>
    </row>
    <row r="234" spans="1:6" x14ac:dyDescent="0.25">
      <c r="A234" s="34"/>
      <c r="B234" s="34"/>
      <c r="C234" s="34" t="s">
        <v>4591</v>
      </c>
      <c r="D234" s="8">
        <v>15000</v>
      </c>
      <c r="E234" s="8"/>
      <c r="F234" s="133">
        <f t="shared" si="8"/>
        <v>-173027</v>
      </c>
    </row>
    <row r="235" spans="1:6" x14ac:dyDescent="0.25">
      <c r="A235" s="34"/>
      <c r="B235" s="34"/>
      <c r="C235" s="34" t="s">
        <v>4592</v>
      </c>
      <c r="D235" s="8">
        <v>15000</v>
      </c>
      <c r="E235" s="8"/>
      <c r="F235" s="133">
        <f t="shared" si="8"/>
        <v>-188027</v>
      </c>
    </row>
    <row r="236" spans="1:6" x14ac:dyDescent="0.25">
      <c r="A236" s="34"/>
      <c r="B236" s="34"/>
      <c r="C236" s="34" t="s">
        <v>4593</v>
      </c>
      <c r="D236" s="8">
        <v>25000</v>
      </c>
      <c r="E236" s="8"/>
      <c r="F236" s="133">
        <f t="shared" si="8"/>
        <v>-213027</v>
      </c>
    </row>
    <row r="237" spans="1:6" x14ac:dyDescent="0.25">
      <c r="A237" s="34"/>
      <c r="B237" s="34"/>
      <c r="C237" s="34" t="s">
        <v>4598</v>
      </c>
      <c r="D237" s="8"/>
      <c r="E237" s="8">
        <v>19876</v>
      </c>
      <c r="F237" s="133">
        <f t="shared" si="8"/>
        <v>-193151</v>
      </c>
    </row>
    <row r="238" spans="1:6" x14ac:dyDescent="0.25">
      <c r="A238" s="34"/>
      <c r="B238" s="34"/>
      <c r="C238" s="34" t="s">
        <v>31</v>
      </c>
      <c r="D238" s="8">
        <v>12300</v>
      </c>
      <c r="E238" s="8"/>
      <c r="F238" s="133">
        <f t="shared" si="8"/>
        <v>-205451</v>
      </c>
    </row>
    <row r="239" spans="1:6" x14ac:dyDescent="0.25">
      <c r="A239" s="34"/>
      <c r="B239" s="34"/>
      <c r="C239" s="34" t="s">
        <v>4602</v>
      </c>
      <c r="D239" s="8">
        <v>5500</v>
      </c>
      <c r="E239" s="8"/>
      <c r="F239" s="133">
        <f t="shared" si="8"/>
        <v>-210951</v>
      </c>
    </row>
    <row r="240" spans="1:6" x14ac:dyDescent="0.25">
      <c r="A240" s="34"/>
      <c r="B240" s="34"/>
      <c r="C240" s="34" t="s">
        <v>4608</v>
      </c>
      <c r="D240" s="8">
        <v>5000</v>
      </c>
      <c r="E240" s="8"/>
      <c r="F240" s="133">
        <f t="shared" si="8"/>
        <v>-215951</v>
      </c>
    </row>
    <row r="241" spans="1:6" x14ac:dyDescent="0.25">
      <c r="A241" s="34"/>
      <c r="B241" s="34"/>
      <c r="C241" s="34" t="s">
        <v>4609</v>
      </c>
      <c r="D241" s="8">
        <v>500</v>
      </c>
      <c r="E241" s="8"/>
      <c r="F241" s="133">
        <f t="shared" si="8"/>
        <v>-216451</v>
      </c>
    </row>
    <row r="242" spans="1:6" x14ac:dyDescent="0.25">
      <c r="A242" s="34"/>
      <c r="B242" s="34"/>
      <c r="C242" s="34" t="s">
        <v>4619</v>
      </c>
      <c r="D242" s="8"/>
      <c r="E242" s="8">
        <v>400000</v>
      </c>
      <c r="F242" s="133">
        <f t="shared" si="8"/>
        <v>183549</v>
      </c>
    </row>
    <row r="243" spans="1:6" x14ac:dyDescent="0.25">
      <c r="A243" s="34"/>
      <c r="B243" s="34"/>
      <c r="C243" s="34" t="s">
        <v>4620</v>
      </c>
      <c r="D243" s="8">
        <v>15000</v>
      </c>
      <c r="E243" s="8"/>
      <c r="F243" s="133">
        <f t="shared" si="8"/>
        <v>168549</v>
      </c>
    </row>
    <row r="244" spans="1:6" x14ac:dyDescent="0.25">
      <c r="A244" s="34"/>
      <c r="B244" s="34"/>
      <c r="C244" s="34" t="s">
        <v>4642</v>
      </c>
      <c r="D244" s="8">
        <v>21580</v>
      </c>
      <c r="E244" s="8"/>
      <c r="F244" s="133">
        <f t="shared" si="8"/>
        <v>146969</v>
      </c>
    </row>
    <row r="245" spans="1:6" x14ac:dyDescent="0.25">
      <c r="A245" s="34"/>
      <c r="B245" s="34"/>
      <c r="C245" s="34" t="s">
        <v>3924</v>
      </c>
      <c r="D245" s="8">
        <v>1130</v>
      </c>
      <c r="E245" s="8"/>
      <c r="F245" s="133">
        <f t="shared" si="8"/>
        <v>145839</v>
      </c>
    </row>
    <row r="246" spans="1:6" x14ac:dyDescent="0.25">
      <c r="A246" s="34"/>
      <c r="B246" s="34"/>
      <c r="C246" s="34" t="s">
        <v>4653</v>
      </c>
      <c r="D246" s="8">
        <v>5000</v>
      </c>
      <c r="E246" s="8"/>
      <c r="F246" s="133">
        <f t="shared" si="8"/>
        <v>140839</v>
      </c>
    </row>
    <row r="247" spans="1:6" x14ac:dyDescent="0.25">
      <c r="A247" s="34"/>
      <c r="B247" s="34"/>
      <c r="C247" s="34" t="s">
        <v>4390</v>
      </c>
      <c r="D247" s="8">
        <f>8400+4000</f>
        <v>12400</v>
      </c>
      <c r="E247" s="8"/>
      <c r="F247" s="133">
        <f t="shared" si="8"/>
        <v>128439</v>
      </c>
    </row>
    <row r="248" spans="1:6" x14ac:dyDescent="0.25">
      <c r="A248" s="34"/>
      <c r="B248" s="34"/>
      <c r="C248" s="34" t="s">
        <v>4659</v>
      </c>
      <c r="D248" s="8">
        <v>15000</v>
      </c>
      <c r="E248" s="8"/>
      <c r="F248" s="133">
        <f t="shared" si="8"/>
        <v>113439</v>
      </c>
    </row>
    <row r="249" spans="1:6" x14ac:dyDescent="0.25">
      <c r="A249" s="129" t="s">
        <v>4664</v>
      </c>
      <c r="B249" s="34"/>
      <c r="C249" s="34" t="s">
        <v>4662</v>
      </c>
      <c r="D249" s="8">
        <v>156555</v>
      </c>
      <c r="E249" s="8"/>
      <c r="F249" s="133">
        <f t="shared" si="8"/>
        <v>-43116</v>
      </c>
    </row>
    <row r="250" spans="1:6" x14ac:dyDescent="0.25">
      <c r="A250" s="129" t="s">
        <v>4664</v>
      </c>
      <c r="B250" s="34"/>
      <c r="C250" s="34" t="s">
        <v>4663</v>
      </c>
      <c r="D250" s="8">
        <v>306843</v>
      </c>
      <c r="E250" s="8"/>
      <c r="F250" s="133">
        <f t="shared" si="8"/>
        <v>-349959</v>
      </c>
    </row>
    <row r="251" spans="1:6" x14ac:dyDescent="0.25">
      <c r="A251" s="129" t="s">
        <v>4664</v>
      </c>
      <c r="B251" s="34"/>
      <c r="C251" s="34" t="s">
        <v>4390</v>
      </c>
      <c r="D251" s="8">
        <v>3180</v>
      </c>
      <c r="E251" s="8"/>
      <c r="F251" s="133">
        <f t="shared" si="8"/>
        <v>-353139</v>
      </c>
    </row>
    <row r="252" spans="1:6" x14ac:dyDescent="0.25">
      <c r="A252" s="34"/>
      <c r="B252" s="34"/>
      <c r="C252" s="34" t="s">
        <v>4390</v>
      </c>
      <c r="D252" s="8">
        <v>24990</v>
      </c>
      <c r="E252" s="8"/>
      <c r="F252" s="133">
        <f t="shared" si="8"/>
        <v>-378129</v>
      </c>
    </row>
    <row r="253" spans="1:6" x14ac:dyDescent="0.25">
      <c r="A253" s="34"/>
      <c r="B253" s="34"/>
      <c r="C253" s="34" t="s">
        <v>4700</v>
      </c>
      <c r="D253" s="8">
        <v>67635</v>
      </c>
      <c r="E253" s="8"/>
      <c r="F253" s="133">
        <f t="shared" si="8"/>
        <v>-445764</v>
      </c>
    </row>
    <row r="254" spans="1:6" x14ac:dyDescent="0.25">
      <c r="A254" s="34"/>
      <c r="B254" s="34"/>
      <c r="C254" s="34" t="s">
        <v>4414</v>
      </c>
      <c r="D254" s="8">
        <v>18457</v>
      </c>
      <c r="E254" s="8"/>
      <c r="F254" s="133">
        <f t="shared" si="8"/>
        <v>-464221</v>
      </c>
    </row>
    <row r="255" spans="1:6" x14ac:dyDescent="0.25">
      <c r="A255" s="34"/>
      <c r="B255" s="34"/>
      <c r="C255" s="34" t="s">
        <v>4708</v>
      </c>
      <c r="D255" s="8">
        <v>20000</v>
      </c>
      <c r="E255" s="8"/>
      <c r="F255" s="133">
        <f t="shared" si="8"/>
        <v>-484221</v>
      </c>
    </row>
    <row r="256" spans="1:6" x14ac:dyDescent="0.25">
      <c r="A256" s="34"/>
      <c r="B256" s="34"/>
      <c r="C256" s="34" t="s">
        <v>4709</v>
      </c>
      <c r="D256" s="8">
        <v>20000</v>
      </c>
      <c r="E256" s="8"/>
      <c r="F256" s="133">
        <f t="shared" si="8"/>
        <v>-504221</v>
      </c>
    </row>
    <row r="257" spans="1:6" x14ac:dyDescent="0.25">
      <c r="A257" s="34"/>
      <c r="B257" s="34"/>
      <c r="C257" s="34" t="s">
        <v>4711</v>
      </c>
      <c r="D257" s="8">
        <v>50000</v>
      </c>
      <c r="E257" s="8"/>
      <c r="F257" s="133">
        <f t="shared" si="8"/>
        <v>-554221</v>
      </c>
    </row>
    <row r="258" spans="1:6" x14ac:dyDescent="0.25">
      <c r="A258" s="34"/>
      <c r="B258" s="34"/>
      <c r="C258" s="34" t="s">
        <v>4712</v>
      </c>
      <c r="D258" s="8">
        <v>418000</v>
      </c>
      <c r="E258" s="8"/>
      <c r="F258" s="133">
        <f t="shared" si="8"/>
        <v>-972221</v>
      </c>
    </row>
    <row r="259" spans="1:6" x14ac:dyDescent="0.25">
      <c r="A259" s="34"/>
      <c r="B259" s="34"/>
      <c r="C259" s="34" t="s">
        <v>4710</v>
      </c>
      <c r="D259" s="8"/>
      <c r="E259" s="8">
        <v>400000</v>
      </c>
      <c r="F259" s="133">
        <f t="shared" si="8"/>
        <v>-572221</v>
      </c>
    </row>
    <row r="260" spans="1:6" ht="45" x14ac:dyDescent="0.25">
      <c r="A260" s="34"/>
      <c r="B260" s="34"/>
      <c r="C260" s="70" t="s">
        <v>4713</v>
      </c>
      <c r="D260" s="8"/>
      <c r="E260" s="8">
        <v>202000</v>
      </c>
      <c r="F260" s="133">
        <f t="shared" si="8"/>
        <v>-370221</v>
      </c>
    </row>
    <row r="261" spans="1:6" x14ac:dyDescent="0.25">
      <c r="A261" s="34"/>
      <c r="B261" s="34"/>
      <c r="C261" s="34" t="s">
        <v>4566</v>
      </c>
      <c r="D261" s="8">
        <v>100000</v>
      </c>
      <c r="E261" s="8"/>
      <c r="F261" s="133">
        <f t="shared" ref="F261:F276" si="9">F260-D261+E261</f>
        <v>-470221</v>
      </c>
    </row>
    <row r="262" spans="1:6" x14ac:dyDescent="0.25">
      <c r="A262" s="34"/>
      <c r="B262" s="34"/>
      <c r="C262" s="34" t="s">
        <v>4722</v>
      </c>
      <c r="D262" s="8">
        <v>180000</v>
      </c>
      <c r="E262" s="8"/>
      <c r="F262" s="133">
        <f t="shared" si="9"/>
        <v>-650221</v>
      </c>
    </row>
    <row r="263" spans="1:6" x14ac:dyDescent="0.25">
      <c r="A263" s="34"/>
      <c r="B263" s="34"/>
      <c r="C263" s="34" t="s">
        <v>4723</v>
      </c>
      <c r="D263" s="8">
        <v>500000</v>
      </c>
      <c r="E263" s="8"/>
      <c r="F263" s="133">
        <f t="shared" si="9"/>
        <v>-1150221</v>
      </c>
    </row>
    <row r="264" spans="1:6" x14ac:dyDescent="0.25">
      <c r="A264" s="34"/>
      <c r="B264" s="34"/>
      <c r="C264" s="34" t="s">
        <v>4723</v>
      </c>
      <c r="D264" s="8">
        <v>200000</v>
      </c>
      <c r="E264" s="8"/>
      <c r="F264" s="133">
        <f t="shared" si="9"/>
        <v>-1350221</v>
      </c>
    </row>
    <row r="265" spans="1:6" x14ac:dyDescent="0.25">
      <c r="A265" s="34"/>
      <c r="B265" s="34"/>
      <c r="C265" s="34" t="s">
        <v>4724</v>
      </c>
      <c r="D265" s="8"/>
      <c r="E265" s="8">
        <v>324584</v>
      </c>
      <c r="F265" s="133">
        <f t="shared" si="9"/>
        <v>-1025637</v>
      </c>
    </row>
    <row r="266" spans="1:6" x14ac:dyDescent="0.25">
      <c r="A266" s="34"/>
      <c r="B266" s="34"/>
      <c r="C266" s="34" t="s">
        <v>3924</v>
      </c>
      <c r="D266" s="8">
        <f>6800+3000</f>
        <v>9800</v>
      </c>
      <c r="E266" s="8"/>
      <c r="F266" s="133">
        <f t="shared" si="9"/>
        <v>-1035437</v>
      </c>
    </row>
    <row r="267" spans="1:6" x14ac:dyDescent="0.25">
      <c r="A267" s="34"/>
      <c r="B267" s="34"/>
      <c r="C267" s="34" t="s">
        <v>4746</v>
      </c>
      <c r="D267" s="8"/>
      <c r="E267" s="8">
        <v>35500</v>
      </c>
      <c r="F267" s="133">
        <f t="shared" si="9"/>
        <v>-999937</v>
      </c>
    </row>
    <row r="268" spans="1:6" x14ac:dyDescent="0.25">
      <c r="A268" s="34"/>
      <c r="B268" s="34"/>
      <c r="C268" s="34" t="s">
        <v>4745</v>
      </c>
      <c r="D268" s="8"/>
      <c r="E268" s="8">
        <v>29050</v>
      </c>
      <c r="F268" s="133">
        <f t="shared" si="9"/>
        <v>-970887</v>
      </c>
    </row>
    <row r="269" spans="1:6" x14ac:dyDescent="0.25">
      <c r="A269" s="34"/>
      <c r="B269" s="34"/>
      <c r="C269" s="34" t="s">
        <v>1627</v>
      </c>
      <c r="D269" s="8">
        <v>12500</v>
      </c>
      <c r="E269" s="8"/>
      <c r="F269" s="133">
        <f t="shared" si="9"/>
        <v>-983387</v>
      </c>
    </row>
    <row r="270" spans="1:6" x14ac:dyDescent="0.25">
      <c r="A270" s="34"/>
      <c r="B270" s="34"/>
      <c r="C270" s="34" t="s">
        <v>3924</v>
      </c>
      <c r="D270" s="8">
        <v>7370</v>
      </c>
      <c r="E270" s="8"/>
      <c r="F270" s="133">
        <f t="shared" si="9"/>
        <v>-990757</v>
      </c>
    </row>
    <row r="271" spans="1:6" x14ac:dyDescent="0.25">
      <c r="A271" s="34"/>
      <c r="B271" s="34"/>
      <c r="C271" s="34" t="s">
        <v>3924</v>
      </c>
      <c r="D271" s="8">
        <v>4500</v>
      </c>
      <c r="E271" s="8"/>
      <c r="F271" s="133">
        <f t="shared" si="9"/>
        <v>-995257</v>
      </c>
    </row>
    <row r="272" spans="1:6" x14ac:dyDescent="0.25">
      <c r="A272" s="34"/>
      <c r="B272" s="34"/>
      <c r="C272" s="34" t="s">
        <v>31</v>
      </c>
      <c r="D272" s="8">
        <v>4500</v>
      </c>
      <c r="E272" s="8"/>
      <c r="F272" s="133">
        <f t="shared" si="9"/>
        <v>-999757</v>
      </c>
    </row>
    <row r="273" spans="1:6" x14ac:dyDescent="0.25">
      <c r="A273" s="34"/>
      <c r="B273" s="34"/>
      <c r="C273" s="34" t="s">
        <v>4785</v>
      </c>
      <c r="D273" s="8">
        <v>115000</v>
      </c>
      <c r="E273" s="8"/>
      <c r="F273" s="133">
        <f t="shared" si="9"/>
        <v>-1114757</v>
      </c>
    </row>
    <row r="274" spans="1:6" x14ac:dyDescent="0.25">
      <c r="A274" s="34"/>
      <c r="B274" s="34"/>
      <c r="C274" s="34" t="s">
        <v>4390</v>
      </c>
      <c r="D274" s="8">
        <v>8700</v>
      </c>
      <c r="E274" s="8"/>
      <c r="F274" s="133">
        <f t="shared" si="9"/>
        <v>-1123457</v>
      </c>
    </row>
    <row r="275" spans="1:6" x14ac:dyDescent="0.25">
      <c r="A275" s="34"/>
      <c r="B275" s="34"/>
      <c r="C275" s="34" t="s">
        <v>4390</v>
      </c>
      <c r="D275" s="8">
        <v>3000</v>
      </c>
      <c r="E275" s="8"/>
      <c r="F275" s="133">
        <f t="shared" si="9"/>
        <v>-1126457</v>
      </c>
    </row>
    <row r="276" spans="1:6" x14ac:dyDescent="0.25">
      <c r="A276" s="34"/>
      <c r="B276" s="34"/>
      <c r="C276" s="34" t="s">
        <v>4390</v>
      </c>
      <c r="D276" s="8">
        <v>7500</v>
      </c>
      <c r="E276" s="8"/>
      <c r="F276" s="133">
        <f t="shared" si="9"/>
        <v>-1133957</v>
      </c>
    </row>
    <row r="277" spans="1:6" x14ac:dyDescent="0.25">
      <c r="A277" s="34"/>
      <c r="B277" s="34"/>
      <c r="C277" s="34" t="s">
        <v>4786</v>
      </c>
      <c r="D277" s="8"/>
      <c r="E277" s="8">
        <f>562500*2</f>
        <v>1125000</v>
      </c>
      <c r="F277" s="133"/>
    </row>
    <row r="278" spans="1:6" x14ac:dyDescent="0.25">
      <c r="A278" s="34"/>
      <c r="B278" s="34"/>
      <c r="C278" s="34" t="s">
        <v>3924</v>
      </c>
      <c r="D278" s="8">
        <v>9435</v>
      </c>
      <c r="E278" s="8"/>
      <c r="F278" s="133">
        <f t="shared" ref="F278:F309" si="10">F277-D278+E278</f>
        <v>-9435</v>
      </c>
    </row>
    <row r="279" spans="1:6" x14ac:dyDescent="0.25">
      <c r="A279" s="34"/>
      <c r="B279" s="34"/>
      <c r="C279" s="34" t="s">
        <v>3924</v>
      </c>
      <c r="D279" s="8">
        <v>13180</v>
      </c>
      <c r="E279" s="8"/>
      <c r="F279" s="133">
        <f t="shared" si="10"/>
        <v>-22615</v>
      </c>
    </row>
    <row r="280" spans="1:6" x14ac:dyDescent="0.25">
      <c r="A280" s="34"/>
      <c r="B280" s="34"/>
      <c r="C280" s="34" t="s">
        <v>3924</v>
      </c>
      <c r="D280" s="8">
        <v>24272</v>
      </c>
      <c r="E280" s="8"/>
      <c r="F280" s="133">
        <f t="shared" si="10"/>
        <v>-46887</v>
      </c>
    </row>
    <row r="281" spans="1:6" x14ac:dyDescent="0.25">
      <c r="A281" s="34"/>
      <c r="B281" s="34"/>
      <c r="C281" s="34" t="s">
        <v>4589</v>
      </c>
      <c r="D281" s="8">
        <v>60000</v>
      </c>
      <c r="E281" s="8"/>
      <c r="F281" s="133">
        <f t="shared" si="10"/>
        <v>-106887</v>
      </c>
    </row>
    <row r="282" spans="1:6" x14ac:dyDescent="0.25">
      <c r="A282" s="34"/>
      <c r="B282" s="34"/>
      <c r="C282" s="34" t="s">
        <v>4590</v>
      </c>
      <c r="D282" s="8">
        <v>10000</v>
      </c>
      <c r="E282" s="8"/>
      <c r="F282" s="133">
        <f t="shared" si="10"/>
        <v>-116887</v>
      </c>
    </row>
    <row r="283" spans="1:6" x14ac:dyDescent="0.25">
      <c r="A283" s="34"/>
      <c r="B283" s="34"/>
      <c r="C283" s="34" t="s">
        <v>4839</v>
      </c>
      <c r="D283" s="8">
        <v>6700</v>
      </c>
      <c r="E283" s="8"/>
      <c r="F283" s="133">
        <f t="shared" si="10"/>
        <v>-123587</v>
      </c>
    </row>
    <row r="284" spans="1:6" x14ac:dyDescent="0.25">
      <c r="A284" s="34"/>
      <c r="B284" s="34"/>
      <c r="C284" s="34" t="s">
        <v>4840</v>
      </c>
      <c r="D284" s="8">
        <v>20150</v>
      </c>
      <c r="E284" s="8"/>
      <c r="F284" s="133">
        <f t="shared" si="10"/>
        <v>-143737</v>
      </c>
    </row>
    <row r="285" spans="1:6" x14ac:dyDescent="0.25">
      <c r="A285" s="34"/>
      <c r="B285" s="34"/>
      <c r="C285" s="34" t="s">
        <v>4841</v>
      </c>
      <c r="D285" s="8">
        <v>15000</v>
      </c>
      <c r="E285" s="8"/>
      <c r="F285" s="133">
        <f t="shared" si="10"/>
        <v>-158737</v>
      </c>
    </row>
    <row r="286" spans="1:6" ht="45" x14ac:dyDescent="0.25">
      <c r="A286" s="34"/>
      <c r="B286" s="34"/>
      <c r="C286" s="70" t="s">
        <v>4844</v>
      </c>
      <c r="D286" s="8">
        <v>1000000</v>
      </c>
      <c r="E286" s="8"/>
      <c r="F286" s="133">
        <f t="shared" si="10"/>
        <v>-1158737</v>
      </c>
    </row>
    <row r="287" spans="1:6" x14ac:dyDescent="0.25">
      <c r="A287" s="34"/>
      <c r="B287" s="34"/>
      <c r="C287" s="34" t="s">
        <v>31</v>
      </c>
      <c r="D287" s="8">
        <v>6400</v>
      </c>
      <c r="E287" s="8"/>
      <c r="F287" s="133">
        <f t="shared" si="10"/>
        <v>-1165137</v>
      </c>
    </row>
    <row r="288" spans="1:6" x14ac:dyDescent="0.25">
      <c r="A288" s="34"/>
      <c r="B288" s="34"/>
      <c r="C288" s="34" t="s">
        <v>4868</v>
      </c>
      <c r="D288" s="8">
        <v>25000</v>
      </c>
      <c r="E288" s="8"/>
      <c r="F288" s="133">
        <f t="shared" si="10"/>
        <v>-1190137</v>
      </c>
    </row>
    <row r="289" spans="1:6" x14ac:dyDescent="0.25">
      <c r="A289" s="34"/>
      <c r="B289" s="34"/>
      <c r="C289" s="34" t="s">
        <v>4942</v>
      </c>
      <c r="D289" s="8"/>
      <c r="E289" s="8">
        <v>850000</v>
      </c>
      <c r="F289" s="133">
        <f t="shared" si="10"/>
        <v>-340137</v>
      </c>
    </row>
    <row r="290" spans="1:6" x14ac:dyDescent="0.25">
      <c r="A290" s="34"/>
      <c r="B290" s="34"/>
      <c r="C290" s="34" t="s">
        <v>4874</v>
      </c>
      <c r="D290" s="8"/>
      <c r="E290" s="8">
        <v>250000</v>
      </c>
      <c r="F290" s="133">
        <f t="shared" si="10"/>
        <v>-90137</v>
      </c>
    </row>
    <row r="291" spans="1:6" x14ac:dyDescent="0.25">
      <c r="A291" s="34"/>
      <c r="B291" s="34"/>
      <c r="C291" s="34" t="s">
        <v>4890</v>
      </c>
      <c r="D291" s="8">
        <v>4050</v>
      </c>
      <c r="E291" s="8"/>
      <c r="F291" s="133">
        <f t="shared" si="10"/>
        <v>-94187</v>
      </c>
    </row>
    <row r="292" spans="1:6" x14ac:dyDescent="0.25">
      <c r="A292" s="34"/>
      <c r="B292" s="34"/>
      <c r="C292" s="34" t="s">
        <v>4891</v>
      </c>
      <c r="D292" s="8">
        <v>40000</v>
      </c>
      <c r="E292" s="8"/>
      <c r="F292" s="133">
        <f t="shared" si="10"/>
        <v>-134187</v>
      </c>
    </row>
    <row r="293" spans="1:6" x14ac:dyDescent="0.25">
      <c r="A293" s="34"/>
      <c r="B293" s="34"/>
      <c r="C293" s="34" t="s">
        <v>4893</v>
      </c>
      <c r="D293" s="8">
        <v>25000</v>
      </c>
      <c r="E293" s="8"/>
      <c r="F293" s="133">
        <f t="shared" si="10"/>
        <v>-159187</v>
      </c>
    </row>
    <row r="294" spans="1:6" x14ac:dyDescent="0.25">
      <c r="A294" s="34"/>
      <c r="B294" s="34"/>
      <c r="C294" s="34" t="s">
        <v>4911</v>
      </c>
      <c r="D294" s="8">
        <v>20000</v>
      </c>
      <c r="E294" s="8"/>
      <c r="F294" s="133">
        <f t="shared" si="10"/>
        <v>-179187</v>
      </c>
    </row>
    <row r="295" spans="1:6" x14ac:dyDescent="0.25">
      <c r="A295" s="34"/>
      <c r="B295" s="34"/>
      <c r="C295" s="34" t="s">
        <v>4921</v>
      </c>
      <c r="D295" s="8">
        <v>50000</v>
      </c>
      <c r="E295" s="8"/>
      <c r="F295" s="133">
        <f t="shared" si="10"/>
        <v>-229187</v>
      </c>
    </row>
    <row r="296" spans="1:6" x14ac:dyDescent="0.25">
      <c r="A296" s="34"/>
      <c r="B296" s="34"/>
      <c r="C296" s="34" t="s">
        <v>4931</v>
      </c>
      <c r="D296" s="8">
        <v>28900</v>
      </c>
      <c r="E296" s="8"/>
      <c r="F296" s="133">
        <f t="shared" si="10"/>
        <v>-258087</v>
      </c>
    </row>
    <row r="297" spans="1:6" x14ac:dyDescent="0.25">
      <c r="A297" s="34"/>
      <c r="B297" s="34"/>
      <c r="C297" s="34" t="s">
        <v>4944</v>
      </c>
      <c r="D297" s="8">
        <v>21000</v>
      </c>
      <c r="E297" s="8"/>
      <c r="F297" s="133">
        <f t="shared" si="10"/>
        <v>-279087</v>
      </c>
    </row>
    <row r="298" spans="1:6" x14ac:dyDescent="0.25">
      <c r="A298" s="34"/>
      <c r="B298" s="34"/>
      <c r="C298" s="34" t="s">
        <v>4949</v>
      </c>
      <c r="D298" s="8">
        <v>66345</v>
      </c>
      <c r="E298" s="8"/>
      <c r="F298" s="133">
        <f t="shared" si="10"/>
        <v>-345432</v>
      </c>
    </row>
    <row r="299" spans="1:6" x14ac:dyDescent="0.25">
      <c r="A299" s="34"/>
      <c r="B299" s="34"/>
      <c r="C299" s="34" t="s">
        <v>4966</v>
      </c>
      <c r="D299" s="8">
        <v>11290</v>
      </c>
      <c r="E299" s="8"/>
      <c r="F299" s="133">
        <f t="shared" si="10"/>
        <v>-356722</v>
      </c>
    </row>
    <row r="300" spans="1:6" x14ac:dyDescent="0.25">
      <c r="A300" s="34"/>
      <c r="B300" s="34"/>
      <c r="C300" s="34" t="s">
        <v>4968</v>
      </c>
      <c r="D300" s="8"/>
      <c r="E300" s="8">
        <v>100000</v>
      </c>
      <c r="F300" s="133">
        <f t="shared" si="10"/>
        <v>-256722</v>
      </c>
    </row>
    <row r="301" spans="1:6" x14ac:dyDescent="0.25">
      <c r="A301" s="34"/>
      <c r="B301" s="34"/>
      <c r="C301" s="34" t="s">
        <v>5003</v>
      </c>
      <c r="D301" s="8">
        <v>2000</v>
      </c>
      <c r="E301" s="8"/>
      <c r="F301" s="133">
        <f t="shared" si="10"/>
        <v>-258722</v>
      </c>
    </row>
    <row r="302" spans="1:6" x14ac:dyDescent="0.25">
      <c r="A302" s="34"/>
      <c r="B302" s="34"/>
      <c r="C302" s="34" t="s">
        <v>5008</v>
      </c>
      <c r="D302" s="8">
        <v>59000</v>
      </c>
      <c r="E302" s="8"/>
      <c r="F302" s="133">
        <f t="shared" si="10"/>
        <v>-317722</v>
      </c>
    </row>
    <row r="303" spans="1:6" x14ac:dyDescent="0.25">
      <c r="A303" s="34"/>
      <c r="B303" s="34"/>
      <c r="C303" s="34" t="s">
        <v>5017</v>
      </c>
      <c r="D303" s="8">
        <v>10598</v>
      </c>
      <c r="E303" s="8"/>
      <c r="F303" s="133">
        <f t="shared" si="10"/>
        <v>-328320</v>
      </c>
    </row>
    <row r="304" spans="1:6" x14ac:dyDescent="0.25">
      <c r="A304" s="34"/>
      <c r="B304" s="34"/>
      <c r="C304" s="34" t="s">
        <v>3924</v>
      </c>
      <c r="D304" s="8">
        <v>8140</v>
      </c>
      <c r="E304" s="8"/>
      <c r="F304" s="133">
        <f t="shared" si="10"/>
        <v>-336460</v>
      </c>
    </row>
    <row r="305" spans="1:6" x14ac:dyDescent="0.25">
      <c r="A305" s="34"/>
      <c r="B305" s="34"/>
      <c r="C305" s="34" t="s">
        <v>3924</v>
      </c>
      <c r="D305" s="8">
        <v>7550</v>
      </c>
      <c r="E305" s="8"/>
      <c r="F305" s="133">
        <f t="shared" si="10"/>
        <v>-344010</v>
      </c>
    </row>
    <row r="306" spans="1:6" x14ac:dyDescent="0.25">
      <c r="A306" s="34"/>
      <c r="B306" s="34"/>
      <c r="C306" s="34" t="s">
        <v>4364</v>
      </c>
      <c r="D306" s="8"/>
      <c r="E306" s="8">
        <v>25000</v>
      </c>
      <c r="F306" s="133">
        <f t="shared" si="10"/>
        <v>-319010</v>
      </c>
    </row>
    <row r="307" spans="1:6" x14ac:dyDescent="0.25">
      <c r="A307" s="124">
        <v>43539</v>
      </c>
      <c r="B307" s="34"/>
      <c r="C307" s="34" t="s">
        <v>5098</v>
      </c>
      <c r="D307" s="8"/>
      <c r="E307" s="8">
        <v>70000</v>
      </c>
      <c r="F307" s="133">
        <f t="shared" si="10"/>
        <v>-249010</v>
      </c>
    </row>
    <row r="308" spans="1:6" x14ac:dyDescent="0.25">
      <c r="A308" s="34"/>
      <c r="B308" s="34"/>
      <c r="C308" s="34" t="s">
        <v>5018</v>
      </c>
      <c r="D308" s="8"/>
      <c r="E308" s="8">
        <v>600000</v>
      </c>
      <c r="F308" s="133">
        <f t="shared" si="10"/>
        <v>350990</v>
      </c>
    </row>
    <row r="309" spans="1:6" x14ac:dyDescent="0.25">
      <c r="A309" s="34"/>
      <c r="B309" s="34"/>
      <c r="C309" s="34" t="s">
        <v>5018</v>
      </c>
      <c r="D309" s="8"/>
      <c r="E309" s="8">
        <v>600000</v>
      </c>
      <c r="F309" s="133">
        <f t="shared" si="10"/>
        <v>950990</v>
      </c>
    </row>
    <row r="310" spans="1:6" x14ac:dyDescent="0.25">
      <c r="A310" s="34"/>
      <c r="B310" s="34"/>
      <c r="C310" s="34" t="s">
        <v>5018</v>
      </c>
      <c r="D310" s="8"/>
      <c r="E310" s="8">
        <v>780694</v>
      </c>
      <c r="F310" s="133">
        <f t="shared" ref="F310:F341" si="11">F309-D310+E310</f>
        <v>1731684</v>
      </c>
    </row>
    <row r="311" spans="1:6" ht="28.15" customHeight="1" x14ac:dyDescent="0.25">
      <c r="A311" s="34"/>
      <c r="B311" s="34"/>
      <c r="C311" s="110" t="s">
        <v>5063</v>
      </c>
      <c r="D311" s="8"/>
      <c r="E311" s="8">
        <v>500000</v>
      </c>
      <c r="F311" s="133">
        <f t="shared" si="11"/>
        <v>2231684</v>
      </c>
    </row>
    <row r="312" spans="1:6" x14ac:dyDescent="0.25">
      <c r="A312" s="124">
        <v>43549</v>
      </c>
      <c r="B312" s="34"/>
      <c r="C312" s="34" t="s">
        <v>5044</v>
      </c>
      <c r="D312" s="8">
        <v>17000</v>
      </c>
      <c r="E312" s="8"/>
      <c r="F312" s="133">
        <f t="shared" si="11"/>
        <v>2214684</v>
      </c>
    </row>
    <row r="313" spans="1:6" x14ac:dyDescent="0.25">
      <c r="A313" s="124">
        <v>43549</v>
      </c>
      <c r="B313" s="34"/>
      <c r="C313" s="34" t="s">
        <v>5045</v>
      </c>
      <c r="D313" s="8">
        <v>45000</v>
      </c>
      <c r="E313" s="8"/>
      <c r="F313" s="133">
        <f t="shared" si="11"/>
        <v>2169684</v>
      </c>
    </row>
    <row r="314" spans="1:6" x14ac:dyDescent="0.25">
      <c r="A314" s="124">
        <v>43549</v>
      </c>
      <c r="B314" s="34"/>
      <c r="C314" s="34" t="s">
        <v>5046</v>
      </c>
      <c r="D314" s="8">
        <v>50000</v>
      </c>
      <c r="E314" s="8"/>
      <c r="F314" s="133">
        <f t="shared" si="11"/>
        <v>2119684</v>
      </c>
    </row>
    <row r="315" spans="1:6" x14ac:dyDescent="0.25">
      <c r="A315" s="124">
        <v>43549</v>
      </c>
      <c r="B315" s="34"/>
      <c r="C315" s="34" t="s">
        <v>5047</v>
      </c>
      <c r="D315" s="8">
        <v>200000</v>
      </c>
      <c r="E315" s="8"/>
      <c r="F315" s="133">
        <f t="shared" si="11"/>
        <v>1919684</v>
      </c>
    </row>
    <row r="316" spans="1:6" x14ac:dyDescent="0.25">
      <c r="A316" s="124">
        <v>43551</v>
      </c>
      <c r="B316" s="34"/>
      <c r="C316" s="34" t="s">
        <v>5060</v>
      </c>
      <c r="D316" s="8">
        <v>200000</v>
      </c>
      <c r="E316" s="8"/>
      <c r="F316" s="133">
        <f t="shared" si="11"/>
        <v>1719684</v>
      </c>
    </row>
    <row r="317" spans="1:6" x14ac:dyDescent="0.25">
      <c r="A317" s="124">
        <v>43553</v>
      </c>
      <c r="B317" s="34"/>
      <c r="C317" s="34" t="s">
        <v>5067</v>
      </c>
      <c r="D317" s="8">
        <v>7500</v>
      </c>
      <c r="E317" s="8"/>
      <c r="F317" s="133">
        <f t="shared" si="11"/>
        <v>1712184</v>
      </c>
    </row>
    <row r="318" spans="1:6" x14ac:dyDescent="0.25">
      <c r="A318" s="124">
        <v>43556</v>
      </c>
      <c r="B318" s="34"/>
      <c r="C318" s="34" t="s">
        <v>5075</v>
      </c>
      <c r="D318" s="8">
        <v>32400</v>
      </c>
      <c r="E318" s="8"/>
      <c r="F318" s="133">
        <f t="shared" si="11"/>
        <v>1679784</v>
      </c>
    </row>
    <row r="319" spans="1:6" x14ac:dyDescent="0.25">
      <c r="A319" s="124">
        <v>43556</v>
      </c>
      <c r="B319" s="34"/>
      <c r="C319" s="34" t="s">
        <v>5076</v>
      </c>
      <c r="D319" s="8">
        <v>21820</v>
      </c>
      <c r="E319" s="8"/>
      <c r="F319" s="133">
        <f t="shared" si="11"/>
        <v>1657964</v>
      </c>
    </row>
    <row r="320" spans="1:6" x14ac:dyDescent="0.25">
      <c r="A320" s="124">
        <v>43556</v>
      </c>
      <c r="B320" s="34"/>
      <c r="C320" s="34" t="s">
        <v>5077</v>
      </c>
      <c r="D320" s="8">
        <v>62000</v>
      </c>
      <c r="E320" s="8"/>
      <c r="F320" s="133">
        <f t="shared" si="11"/>
        <v>1595964</v>
      </c>
    </row>
    <row r="321" spans="1:6" x14ac:dyDescent="0.25">
      <c r="A321" s="124">
        <v>43563</v>
      </c>
      <c r="B321" s="34"/>
      <c r="C321" s="34" t="s">
        <v>5094</v>
      </c>
      <c r="D321" s="8">
        <v>465000</v>
      </c>
      <c r="E321" s="8"/>
      <c r="F321" s="133">
        <f t="shared" si="11"/>
        <v>1130964</v>
      </c>
    </row>
    <row r="322" spans="1:6" x14ac:dyDescent="0.25">
      <c r="A322" s="124">
        <v>43563</v>
      </c>
      <c r="B322" s="34"/>
      <c r="C322" s="34" t="s">
        <v>5094</v>
      </c>
      <c r="D322" s="8">
        <v>400000</v>
      </c>
      <c r="E322" s="8"/>
      <c r="F322" s="133">
        <f t="shared" si="11"/>
        <v>730964</v>
      </c>
    </row>
    <row r="323" spans="1:6" x14ac:dyDescent="0.25">
      <c r="A323" s="124">
        <v>43563</v>
      </c>
      <c r="B323" s="34"/>
      <c r="C323" s="34" t="s">
        <v>5094</v>
      </c>
      <c r="D323" s="8">
        <v>285000</v>
      </c>
      <c r="E323" s="8"/>
      <c r="F323" s="133">
        <f t="shared" si="11"/>
        <v>445964</v>
      </c>
    </row>
    <row r="324" spans="1:6" x14ac:dyDescent="0.25">
      <c r="A324" s="124">
        <v>43563</v>
      </c>
      <c r="B324" s="34"/>
      <c r="C324" s="34" t="s">
        <v>5094</v>
      </c>
      <c r="D324" s="8">
        <v>120000</v>
      </c>
      <c r="E324" s="8"/>
      <c r="F324" s="133">
        <f t="shared" si="11"/>
        <v>325964</v>
      </c>
    </row>
    <row r="325" spans="1:6" x14ac:dyDescent="0.25">
      <c r="A325" s="124">
        <v>43563</v>
      </c>
      <c r="B325" s="34"/>
      <c r="C325" s="34" t="s">
        <v>5097</v>
      </c>
      <c r="D325" s="8">
        <v>45000</v>
      </c>
      <c r="E325" s="8"/>
      <c r="F325" s="133">
        <f t="shared" si="11"/>
        <v>280964</v>
      </c>
    </row>
    <row r="326" spans="1:6" x14ac:dyDescent="0.25">
      <c r="A326" s="124">
        <v>43570</v>
      </c>
      <c r="B326" s="34"/>
      <c r="C326" s="34" t="s">
        <v>5127</v>
      </c>
      <c r="D326" s="8">
        <v>5000</v>
      </c>
      <c r="E326" s="8"/>
      <c r="F326" s="133">
        <f t="shared" si="11"/>
        <v>275964</v>
      </c>
    </row>
    <row r="327" spans="1:6" x14ac:dyDescent="0.25">
      <c r="A327" s="124">
        <v>43570</v>
      </c>
      <c r="B327" s="34"/>
      <c r="C327" s="34" t="s">
        <v>5107</v>
      </c>
      <c r="D327" s="8">
        <v>5000</v>
      </c>
      <c r="E327" s="8"/>
      <c r="F327" s="133">
        <f t="shared" si="11"/>
        <v>270964</v>
      </c>
    </row>
    <row r="328" spans="1:6" ht="45" x14ac:dyDescent="0.25">
      <c r="A328" s="124">
        <v>43570</v>
      </c>
      <c r="B328" s="34"/>
      <c r="C328" s="70" t="s">
        <v>5108</v>
      </c>
      <c r="D328" s="8">
        <v>70000</v>
      </c>
      <c r="E328" s="8"/>
      <c r="F328" s="133">
        <f t="shared" si="11"/>
        <v>200964</v>
      </c>
    </row>
    <row r="329" spans="1:6" x14ac:dyDescent="0.25">
      <c r="A329" s="124">
        <v>43570</v>
      </c>
      <c r="B329" s="34"/>
      <c r="C329" s="34" t="s">
        <v>5109</v>
      </c>
      <c r="D329" s="8">
        <v>52000</v>
      </c>
      <c r="E329" s="8"/>
      <c r="F329" s="133">
        <f t="shared" si="11"/>
        <v>148964</v>
      </c>
    </row>
    <row r="330" spans="1:6" x14ac:dyDescent="0.25">
      <c r="A330" s="124">
        <v>43572</v>
      </c>
      <c r="B330" s="34"/>
      <c r="C330" s="34" t="s">
        <v>5115</v>
      </c>
      <c r="D330" s="8">
        <v>9170</v>
      </c>
      <c r="E330" s="8"/>
      <c r="F330" s="133">
        <f t="shared" si="11"/>
        <v>139794</v>
      </c>
    </row>
    <row r="331" spans="1:6" x14ac:dyDescent="0.25">
      <c r="A331" s="124">
        <v>43572</v>
      </c>
      <c r="B331" s="34"/>
      <c r="C331" s="34" t="s">
        <v>5117</v>
      </c>
      <c r="D331" s="8"/>
      <c r="E331" s="8">
        <v>500000</v>
      </c>
      <c r="F331" s="133">
        <f t="shared" si="11"/>
        <v>639794</v>
      </c>
    </row>
    <row r="332" spans="1:6" x14ac:dyDescent="0.25">
      <c r="A332" s="124">
        <v>43572</v>
      </c>
      <c r="B332" s="34"/>
      <c r="C332" s="34" t="s">
        <v>5118</v>
      </c>
      <c r="D332" s="8"/>
      <c r="E332" s="8">
        <v>500000</v>
      </c>
      <c r="F332" s="133">
        <f t="shared" si="11"/>
        <v>1139794</v>
      </c>
    </row>
    <row r="333" spans="1:6" x14ac:dyDescent="0.25">
      <c r="A333" s="124">
        <v>43573</v>
      </c>
      <c r="B333" s="34"/>
      <c r="C333" s="34" t="s">
        <v>4911</v>
      </c>
      <c r="D333" s="8">
        <v>100000</v>
      </c>
      <c r="E333" s="8"/>
      <c r="F333" s="133">
        <f t="shared" si="11"/>
        <v>1039794</v>
      </c>
    </row>
    <row r="334" spans="1:6" x14ac:dyDescent="0.25">
      <c r="A334" s="124">
        <v>43573</v>
      </c>
      <c r="B334" s="34"/>
      <c r="C334" s="34" t="s">
        <v>5134</v>
      </c>
      <c r="D334" s="8">
        <v>85000</v>
      </c>
      <c r="E334" s="8"/>
      <c r="F334" s="133">
        <f t="shared" si="11"/>
        <v>954794</v>
      </c>
    </row>
    <row r="335" spans="1:6" x14ac:dyDescent="0.25">
      <c r="A335" s="124">
        <v>43574</v>
      </c>
      <c r="B335" s="34"/>
      <c r="C335" s="34" t="s">
        <v>5138</v>
      </c>
      <c r="D335" s="8">
        <v>100000</v>
      </c>
      <c r="E335" s="8"/>
      <c r="F335" s="133">
        <f t="shared" si="11"/>
        <v>854794</v>
      </c>
    </row>
    <row r="336" spans="1:6" x14ac:dyDescent="0.25">
      <c r="A336" s="124">
        <v>43574</v>
      </c>
      <c r="B336" s="34"/>
      <c r="C336" s="34" t="s">
        <v>5147</v>
      </c>
      <c r="D336" s="8">
        <v>8000</v>
      </c>
      <c r="E336" s="8"/>
      <c r="F336" s="133">
        <f t="shared" si="11"/>
        <v>846794</v>
      </c>
    </row>
    <row r="337" spans="1:6" x14ac:dyDescent="0.25">
      <c r="A337" s="124">
        <v>43574</v>
      </c>
      <c r="B337" s="34"/>
      <c r="C337" s="34" t="s">
        <v>5148</v>
      </c>
      <c r="D337" s="8">
        <v>10000</v>
      </c>
      <c r="E337" s="8"/>
      <c r="F337" s="133">
        <f t="shared" si="11"/>
        <v>836794</v>
      </c>
    </row>
    <row r="338" spans="1:6" x14ac:dyDescent="0.25">
      <c r="A338" s="124">
        <v>43574</v>
      </c>
      <c r="B338" s="34"/>
      <c r="C338" s="34" t="s">
        <v>5156</v>
      </c>
      <c r="D338" s="8">
        <v>3000</v>
      </c>
      <c r="E338" s="8"/>
      <c r="F338" s="133">
        <f t="shared" si="11"/>
        <v>833794</v>
      </c>
    </row>
    <row r="339" spans="1:6" x14ac:dyDescent="0.25">
      <c r="A339" s="124">
        <v>43577</v>
      </c>
      <c r="B339" s="34"/>
      <c r="C339" s="34" t="s">
        <v>5144</v>
      </c>
      <c r="D339" s="8"/>
      <c r="E339" s="8">
        <v>567540</v>
      </c>
      <c r="F339" s="133">
        <f t="shared" si="11"/>
        <v>1401334</v>
      </c>
    </row>
    <row r="340" spans="1:6" x14ac:dyDescent="0.25">
      <c r="A340" s="124">
        <v>43578</v>
      </c>
      <c r="B340" s="34"/>
      <c r="C340" s="34" t="s">
        <v>5160</v>
      </c>
      <c r="D340" s="8"/>
      <c r="E340" s="8">
        <v>35000</v>
      </c>
      <c r="F340" s="133">
        <f t="shared" si="11"/>
        <v>1436334</v>
      </c>
    </row>
    <row r="341" spans="1:6" x14ac:dyDescent="0.25">
      <c r="A341" s="124">
        <v>43578</v>
      </c>
      <c r="B341" s="34"/>
      <c r="C341" s="34" t="s">
        <v>5161</v>
      </c>
      <c r="D341" s="8"/>
      <c r="E341" s="8">
        <f>44410+150</f>
        <v>44560</v>
      </c>
      <c r="F341" s="133">
        <f t="shared" si="11"/>
        <v>1480894</v>
      </c>
    </row>
    <row r="342" spans="1:6" x14ac:dyDescent="0.25">
      <c r="A342" s="124">
        <v>43578</v>
      </c>
      <c r="B342" s="34"/>
      <c r="C342" s="34" t="s">
        <v>5162</v>
      </c>
      <c r="D342" s="8"/>
      <c r="E342" s="8">
        <v>16580</v>
      </c>
      <c r="F342" s="133">
        <f t="shared" ref="F342:F373" si="12">F341-D342+E342</f>
        <v>1497474</v>
      </c>
    </row>
    <row r="343" spans="1:6" x14ac:dyDescent="0.25">
      <c r="A343" s="124">
        <v>43578</v>
      </c>
      <c r="B343" s="34"/>
      <c r="C343" s="34" t="s">
        <v>5167</v>
      </c>
      <c r="D343" s="8"/>
      <c r="E343" s="8">
        <v>500000</v>
      </c>
      <c r="F343" s="133">
        <f t="shared" si="12"/>
        <v>1997474</v>
      </c>
    </row>
    <row r="344" spans="1:6" x14ac:dyDescent="0.25">
      <c r="A344" s="124">
        <v>43578</v>
      </c>
      <c r="B344" s="34"/>
      <c r="C344" s="34" t="s">
        <v>5168</v>
      </c>
      <c r="D344" s="8"/>
      <c r="E344" s="8">
        <v>500000</v>
      </c>
      <c r="F344" s="133">
        <f t="shared" si="12"/>
        <v>2497474</v>
      </c>
    </row>
    <row r="345" spans="1:6" x14ac:dyDescent="0.25">
      <c r="A345" s="124">
        <v>43578</v>
      </c>
      <c r="B345" s="34"/>
      <c r="C345" s="34" t="s">
        <v>5047</v>
      </c>
      <c r="D345" s="8">
        <v>30000</v>
      </c>
      <c r="E345" s="8"/>
      <c r="F345" s="133">
        <f t="shared" si="12"/>
        <v>2467474</v>
      </c>
    </row>
    <row r="346" spans="1:6" x14ac:dyDescent="0.25">
      <c r="A346" s="124">
        <v>43580</v>
      </c>
      <c r="B346" s="34"/>
      <c r="C346" s="34" t="s">
        <v>5185</v>
      </c>
      <c r="D346" s="8"/>
      <c r="E346" s="8">
        <v>500000</v>
      </c>
      <c r="F346" s="133">
        <f t="shared" si="12"/>
        <v>2967474</v>
      </c>
    </row>
    <row r="347" spans="1:6" x14ac:dyDescent="0.25">
      <c r="A347" s="124">
        <v>43580</v>
      </c>
      <c r="B347" s="34"/>
      <c r="C347" s="34" t="s">
        <v>5186</v>
      </c>
      <c r="D347" s="8"/>
      <c r="E347" s="8">
        <v>500000</v>
      </c>
      <c r="F347" s="133">
        <f t="shared" si="12"/>
        <v>3467474</v>
      </c>
    </row>
    <row r="348" spans="1:6" x14ac:dyDescent="0.25">
      <c r="A348" s="124">
        <v>43580</v>
      </c>
      <c r="B348" s="34"/>
      <c r="C348" s="34" t="s">
        <v>5187</v>
      </c>
      <c r="D348" s="8">
        <v>20000</v>
      </c>
      <c r="E348" s="8"/>
      <c r="F348" s="133">
        <f t="shared" si="12"/>
        <v>3447474</v>
      </c>
    </row>
    <row r="349" spans="1:6" x14ac:dyDescent="0.25">
      <c r="A349" s="124">
        <v>43580</v>
      </c>
      <c r="B349" s="34"/>
      <c r="C349" s="34" t="s">
        <v>5188</v>
      </c>
      <c r="D349" s="8">
        <v>18000</v>
      </c>
      <c r="E349" s="8"/>
      <c r="F349" s="133">
        <f t="shared" si="12"/>
        <v>3429474</v>
      </c>
    </row>
    <row r="350" spans="1:6" x14ac:dyDescent="0.25">
      <c r="A350" s="124">
        <v>43580</v>
      </c>
      <c r="B350" s="34"/>
      <c r="C350" s="34" t="s">
        <v>5189</v>
      </c>
      <c r="D350" s="8">
        <v>18000</v>
      </c>
      <c r="E350" s="8"/>
      <c r="F350" s="133">
        <f t="shared" si="12"/>
        <v>3411474</v>
      </c>
    </row>
    <row r="351" spans="1:6" x14ac:dyDescent="0.25">
      <c r="A351" s="124">
        <v>43580</v>
      </c>
      <c r="B351" s="34"/>
      <c r="C351" s="34" t="s">
        <v>79</v>
      </c>
      <c r="D351" s="8">
        <v>2000</v>
      </c>
      <c r="E351" s="8"/>
      <c r="F351" s="133">
        <f t="shared" si="12"/>
        <v>3409474</v>
      </c>
    </row>
    <row r="352" spans="1:6" x14ac:dyDescent="0.25">
      <c r="A352" s="124">
        <v>43581</v>
      </c>
      <c r="B352" s="34"/>
      <c r="C352" s="34" t="s">
        <v>5187</v>
      </c>
      <c r="D352" s="8">
        <v>25000</v>
      </c>
      <c r="E352" s="8"/>
      <c r="F352" s="133">
        <f t="shared" si="12"/>
        <v>3384474</v>
      </c>
    </row>
    <row r="353" spans="1:6" x14ac:dyDescent="0.25">
      <c r="A353" s="124">
        <v>43584</v>
      </c>
      <c r="B353" s="34"/>
      <c r="C353" s="52" t="s">
        <v>5193</v>
      </c>
      <c r="D353" s="8">
        <v>23000</v>
      </c>
      <c r="E353" s="8"/>
      <c r="F353" s="133">
        <f t="shared" si="12"/>
        <v>3361474</v>
      </c>
    </row>
    <row r="354" spans="1:6" x14ac:dyDescent="0.25">
      <c r="A354" s="124">
        <v>43584</v>
      </c>
      <c r="B354" s="34"/>
      <c r="C354" s="52" t="s">
        <v>5194</v>
      </c>
      <c r="D354" s="8">
        <v>5000</v>
      </c>
      <c r="E354" s="8"/>
      <c r="F354" s="133">
        <f t="shared" si="12"/>
        <v>3356474</v>
      </c>
    </row>
    <row r="355" spans="1:6" x14ac:dyDescent="0.25">
      <c r="A355" s="124">
        <v>43584</v>
      </c>
      <c r="B355" s="34"/>
      <c r="C355" s="52" t="s">
        <v>5187</v>
      </c>
      <c r="D355" s="8">
        <v>40000</v>
      </c>
      <c r="E355" s="8"/>
      <c r="F355" s="133">
        <f t="shared" si="12"/>
        <v>3316474</v>
      </c>
    </row>
    <row r="356" spans="1:6" x14ac:dyDescent="0.25">
      <c r="A356" s="124">
        <v>43584</v>
      </c>
      <c r="B356" s="34"/>
      <c r="C356" s="34" t="s">
        <v>5202</v>
      </c>
      <c r="D356" s="8">
        <v>310000</v>
      </c>
      <c r="E356" s="8"/>
      <c r="F356" s="133">
        <f t="shared" si="12"/>
        <v>3006474</v>
      </c>
    </row>
    <row r="357" spans="1:6" x14ac:dyDescent="0.25">
      <c r="A357" s="124">
        <v>43584</v>
      </c>
      <c r="B357" s="34"/>
      <c r="C357" s="34" t="s">
        <v>5203</v>
      </c>
      <c r="D357" s="8">
        <v>2000</v>
      </c>
      <c r="E357" s="8"/>
      <c r="F357" s="133">
        <f t="shared" si="12"/>
        <v>3004474</v>
      </c>
    </row>
    <row r="358" spans="1:6" x14ac:dyDescent="0.25">
      <c r="A358" s="124">
        <v>43585</v>
      </c>
      <c r="B358" s="34"/>
      <c r="C358" s="34" t="s">
        <v>5206</v>
      </c>
      <c r="D358" s="8">
        <v>75000</v>
      </c>
      <c r="E358" s="8"/>
      <c r="F358" s="133">
        <f t="shared" si="12"/>
        <v>2929474</v>
      </c>
    </row>
    <row r="359" spans="1:6" x14ac:dyDescent="0.25">
      <c r="A359" s="124">
        <v>43589</v>
      </c>
      <c r="B359" s="34"/>
      <c r="C359" s="34" t="s">
        <v>5220</v>
      </c>
      <c r="D359" s="8">
        <v>100000</v>
      </c>
      <c r="E359" s="8"/>
      <c r="F359" s="133">
        <f t="shared" si="12"/>
        <v>2829474</v>
      </c>
    </row>
    <row r="360" spans="1:6" x14ac:dyDescent="0.25">
      <c r="A360" s="124">
        <v>43590</v>
      </c>
      <c r="B360" s="34"/>
      <c r="C360" s="52" t="s">
        <v>5231</v>
      </c>
      <c r="D360" s="8">
        <v>12000</v>
      </c>
      <c r="E360" s="8"/>
      <c r="F360" s="133">
        <f t="shared" si="12"/>
        <v>2817474</v>
      </c>
    </row>
    <row r="361" spans="1:6" x14ac:dyDescent="0.25">
      <c r="A361" s="124">
        <v>43590</v>
      </c>
      <c r="B361" s="34"/>
      <c r="C361" s="52" t="s">
        <v>5232</v>
      </c>
      <c r="D361" s="8">
        <v>500000</v>
      </c>
      <c r="E361" s="8"/>
      <c r="F361" s="133">
        <f t="shared" si="12"/>
        <v>2317474</v>
      </c>
    </row>
    <row r="362" spans="1:6" x14ac:dyDescent="0.25">
      <c r="A362" s="124">
        <v>43590</v>
      </c>
      <c r="B362" s="34"/>
      <c r="C362" s="52" t="s">
        <v>5236</v>
      </c>
      <c r="D362" s="8">
        <v>29468</v>
      </c>
      <c r="E362" s="8"/>
      <c r="F362" s="133">
        <f t="shared" si="12"/>
        <v>2288006</v>
      </c>
    </row>
    <row r="363" spans="1:6" x14ac:dyDescent="0.25">
      <c r="A363" s="124">
        <v>43592</v>
      </c>
      <c r="B363" s="34"/>
      <c r="C363" s="52" t="s">
        <v>5237</v>
      </c>
      <c r="D363" s="8">
        <v>55000</v>
      </c>
      <c r="E363" s="8"/>
      <c r="F363" s="133">
        <f t="shared" si="12"/>
        <v>2233006</v>
      </c>
    </row>
    <row r="364" spans="1:6" x14ac:dyDescent="0.25">
      <c r="A364" s="124">
        <v>43593</v>
      </c>
      <c r="B364" s="34"/>
      <c r="C364" s="34" t="s">
        <v>3924</v>
      </c>
      <c r="D364" s="8">
        <v>8400</v>
      </c>
      <c r="E364" s="8"/>
      <c r="F364" s="133">
        <f t="shared" si="12"/>
        <v>2224606</v>
      </c>
    </row>
    <row r="365" spans="1:6" x14ac:dyDescent="0.25">
      <c r="A365" s="124">
        <v>43596</v>
      </c>
      <c r="B365" s="34"/>
      <c r="C365" s="34" t="s">
        <v>3924</v>
      </c>
      <c r="D365" s="8">
        <v>5655</v>
      </c>
      <c r="E365" s="8"/>
      <c r="F365" s="133">
        <f t="shared" si="12"/>
        <v>2218951</v>
      </c>
    </row>
    <row r="366" spans="1:6" x14ac:dyDescent="0.25">
      <c r="A366" s="124">
        <v>43596</v>
      </c>
      <c r="B366" s="34"/>
      <c r="C366" s="34" t="s">
        <v>5220</v>
      </c>
      <c r="D366" s="8">
        <v>100000</v>
      </c>
      <c r="E366" s="8"/>
      <c r="F366" s="133">
        <f t="shared" si="12"/>
        <v>2118951</v>
      </c>
    </row>
    <row r="367" spans="1:6" x14ac:dyDescent="0.25">
      <c r="A367" s="124">
        <v>43601</v>
      </c>
      <c r="B367" s="34"/>
      <c r="C367" s="34" t="s">
        <v>5284</v>
      </c>
      <c r="D367" s="8">
        <v>14000</v>
      </c>
      <c r="E367" s="8"/>
      <c r="F367" s="133">
        <f t="shared" si="12"/>
        <v>2104951</v>
      </c>
    </row>
    <row r="368" spans="1:6" x14ac:dyDescent="0.25">
      <c r="A368" s="124">
        <v>43601</v>
      </c>
      <c r="B368" s="34"/>
      <c r="C368" s="52" t="s">
        <v>5301</v>
      </c>
      <c r="D368" s="8">
        <v>100000</v>
      </c>
      <c r="E368" s="8"/>
      <c r="F368" s="133">
        <f t="shared" si="12"/>
        <v>2004951</v>
      </c>
    </row>
    <row r="369" spans="1:6" x14ac:dyDescent="0.25">
      <c r="A369" s="124">
        <v>43605</v>
      </c>
      <c r="B369" s="34">
        <v>0</v>
      </c>
      <c r="C369" s="34" t="s">
        <v>5296</v>
      </c>
      <c r="D369" s="8">
        <v>10000</v>
      </c>
      <c r="E369" s="8"/>
      <c r="F369" s="133">
        <f t="shared" si="12"/>
        <v>1994951</v>
      </c>
    </row>
    <row r="370" spans="1:6" x14ac:dyDescent="0.25">
      <c r="A370" s="124">
        <v>43605</v>
      </c>
      <c r="B370" s="34"/>
      <c r="C370" s="34" t="s">
        <v>5300</v>
      </c>
      <c r="D370" s="8">
        <v>50000</v>
      </c>
      <c r="E370" s="8"/>
      <c r="F370" s="133">
        <f t="shared" si="12"/>
        <v>1944951</v>
      </c>
    </row>
    <row r="371" spans="1:6" x14ac:dyDescent="0.25">
      <c r="A371" s="124">
        <v>43606</v>
      </c>
      <c r="B371" s="34"/>
      <c r="C371" s="34" t="s">
        <v>5303</v>
      </c>
      <c r="D371" s="8">
        <v>100000</v>
      </c>
      <c r="E371" s="8"/>
      <c r="F371" s="133">
        <f t="shared" si="12"/>
        <v>1844951</v>
      </c>
    </row>
    <row r="372" spans="1:6" x14ac:dyDescent="0.25">
      <c r="A372" s="124">
        <v>43607</v>
      </c>
      <c r="B372" s="34"/>
      <c r="C372" s="34" t="s">
        <v>5311</v>
      </c>
      <c r="D372" s="8">
        <v>73000</v>
      </c>
      <c r="E372" s="8"/>
      <c r="F372" s="133">
        <f t="shared" si="12"/>
        <v>1771951</v>
      </c>
    </row>
    <row r="373" spans="1:6" x14ac:dyDescent="0.25">
      <c r="A373" s="124">
        <v>43607</v>
      </c>
      <c r="B373" s="34"/>
      <c r="C373" s="34" t="s">
        <v>5312</v>
      </c>
      <c r="D373" s="8">
        <v>8700</v>
      </c>
      <c r="E373" s="8"/>
      <c r="F373" s="133">
        <f t="shared" si="12"/>
        <v>1763251</v>
      </c>
    </row>
    <row r="374" spans="1:6" x14ac:dyDescent="0.25">
      <c r="A374" s="124">
        <v>43607</v>
      </c>
      <c r="B374" s="34"/>
      <c r="C374" s="34" t="s">
        <v>5312</v>
      </c>
      <c r="D374" s="8">
        <v>5000</v>
      </c>
      <c r="E374" s="8"/>
      <c r="F374" s="133">
        <f t="shared" ref="F374:F405" si="13">F373-D374+E374</f>
        <v>1758251</v>
      </c>
    </row>
    <row r="375" spans="1:6" x14ac:dyDescent="0.25">
      <c r="A375" s="124">
        <v>43607</v>
      </c>
      <c r="B375" s="34"/>
      <c r="C375" s="34" t="s">
        <v>5313</v>
      </c>
      <c r="D375" s="8">
        <v>100000</v>
      </c>
      <c r="E375" s="8"/>
      <c r="F375" s="133">
        <f t="shared" si="13"/>
        <v>1658251</v>
      </c>
    </row>
    <row r="376" spans="1:6" x14ac:dyDescent="0.25">
      <c r="A376" s="124">
        <v>43607</v>
      </c>
      <c r="B376" s="34"/>
      <c r="C376" s="52" t="s">
        <v>5315</v>
      </c>
      <c r="D376" s="8">
        <v>200000</v>
      </c>
      <c r="E376" s="8"/>
      <c r="F376" s="133">
        <f t="shared" si="13"/>
        <v>1458251</v>
      </c>
    </row>
    <row r="377" spans="1:6" x14ac:dyDescent="0.25">
      <c r="A377" s="124">
        <v>43610</v>
      </c>
      <c r="B377" s="34"/>
      <c r="C377" s="52" t="s">
        <v>5322</v>
      </c>
      <c r="D377" s="8">
        <v>100000</v>
      </c>
      <c r="E377" s="8"/>
      <c r="F377" s="133">
        <f t="shared" si="13"/>
        <v>1358251</v>
      </c>
    </row>
    <row r="378" spans="1:6" x14ac:dyDescent="0.25">
      <c r="A378" s="124">
        <v>43610</v>
      </c>
      <c r="B378" s="34"/>
      <c r="C378" s="52" t="s">
        <v>5244</v>
      </c>
      <c r="D378" s="8">
        <v>15000</v>
      </c>
      <c r="E378" s="8"/>
      <c r="F378" s="133">
        <f t="shared" si="13"/>
        <v>1343251</v>
      </c>
    </row>
    <row r="379" spans="1:6" x14ac:dyDescent="0.25">
      <c r="A379" s="124">
        <v>43612</v>
      </c>
      <c r="B379" s="34"/>
      <c r="C379" s="52" t="s">
        <v>5231</v>
      </c>
      <c r="D379" s="8">
        <v>10000</v>
      </c>
      <c r="E379" s="8"/>
      <c r="F379" s="133">
        <f t="shared" si="13"/>
        <v>1333251</v>
      </c>
    </row>
    <row r="380" spans="1:6" x14ac:dyDescent="0.25">
      <c r="A380" s="124">
        <v>43612</v>
      </c>
      <c r="B380" s="34"/>
      <c r="C380" s="52" t="s">
        <v>5047</v>
      </c>
      <c r="D380" s="8">
        <v>100000</v>
      </c>
      <c r="E380" s="8"/>
      <c r="F380" s="133">
        <f t="shared" si="13"/>
        <v>1233251</v>
      </c>
    </row>
    <row r="381" spans="1:6" x14ac:dyDescent="0.25">
      <c r="A381" s="124">
        <v>43613</v>
      </c>
      <c r="B381" s="34"/>
      <c r="C381" s="52" t="s">
        <v>5047</v>
      </c>
      <c r="D381" s="8">
        <v>100000</v>
      </c>
      <c r="E381" s="8"/>
      <c r="F381" s="133">
        <f t="shared" si="13"/>
        <v>1133251</v>
      </c>
    </row>
    <row r="382" spans="1:6" x14ac:dyDescent="0.25">
      <c r="A382" s="124">
        <v>43615</v>
      </c>
      <c r="B382" s="34"/>
      <c r="C382" s="52" t="s">
        <v>5341</v>
      </c>
      <c r="D382" s="8">
        <v>13500</v>
      </c>
      <c r="E382" s="8"/>
      <c r="F382" s="133">
        <f t="shared" si="13"/>
        <v>1119751</v>
      </c>
    </row>
    <row r="383" spans="1:6" x14ac:dyDescent="0.25">
      <c r="A383" s="124">
        <v>43615</v>
      </c>
      <c r="B383" s="34"/>
      <c r="C383" s="52" t="s">
        <v>31</v>
      </c>
      <c r="D383" s="8">
        <v>3500</v>
      </c>
      <c r="E383" s="8"/>
      <c r="F383" s="133">
        <f t="shared" si="13"/>
        <v>1116251</v>
      </c>
    </row>
    <row r="384" spans="1:6" x14ac:dyDescent="0.25">
      <c r="A384" s="124">
        <v>43615</v>
      </c>
      <c r="B384" s="34"/>
      <c r="C384" s="52" t="s">
        <v>5350</v>
      </c>
      <c r="D384" s="8">
        <v>155000</v>
      </c>
      <c r="E384" s="8"/>
      <c r="F384" s="133">
        <f t="shared" si="13"/>
        <v>961251</v>
      </c>
    </row>
    <row r="385" spans="1:6" x14ac:dyDescent="0.25">
      <c r="A385" s="124">
        <v>43615</v>
      </c>
      <c r="B385" s="34"/>
      <c r="C385" s="52" t="s">
        <v>5138</v>
      </c>
      <c r="D385" s="8">
        <v>100000</v>
      </c>
      <c r="E385" s="8"/>
      <c r="F385" s="133">
        <f t="shared" si="13"/>
        <v>861251</v>
      </c>
    </row>
    <row r="386" spans="1:6" x14ac:dyDescent="0.25">
      <c r="A386" s="124">
        <v>43615</v>
      </c>
      <c r="B386" s="34"/>
      <c r="C386" s="52" t="s">
        <v>5343</v>
      </c>
      <c r="D386" s="8">
        <v>10000</v>
      </c>
      <c r="E386" s="8"/>
      <c r="F386" s="133">
        <f t="shared" si="13"/>
        <v>851251</v>
      </c>
    </row>
    <row r="387" spans="1:6" x14ac:dyDescent="0.25">
      <c r="A387" s="124">
        <v>43617</v>
      </c>
      <c r="B387" s="34"/>
      <c r="C387" s="52" t="s">
        <v>5350</v>
      </c>
      <c r="D387" s="8">
        <v>1600000</v>
      </c>
      <c r="E387" s="8"/>
      <c r="F387" s="133">
        <f t="shared" si="13"/>
        <v>-748749</v>
      </c>
    </row>
    <row r="388" spans="1:6" x14ac:dyDescent="0.25">
      <c r="A388" s="124">
        <v>43619</v>
      </c>
      <c r="B388" s="34"/>
      <c r="C388" s="52" t="s">
        <v>5353</v>
      </c>
      <c r="D388" s="8">
        <v>61000</v>
      </c>
      <c r="E388" s="8"/>
      <c r="F388" s="133">
        <f t="shared" si="13"/>
        <v>-809749</v>
      </c>
    </row>
    <row r="389" spans="1:6" x14ac:dyDescent="0.25">
      <c r="A389" s="124">
        <v>43619</v>
      </c>
      <c r="B389" s="34"/>
      <c r="C389" s="34" t="s">
        <v>5232</v>
      </c>
      <c r="D389" s="8">
        <v>150000</v>
      </c>
      <c r="E389" s="8"/>
      <c r="F389" s="133">
        <f t="shared" si="13"/>
        <v>-959749</v>
      </c>
    </row>
    <row r="390" spans="1:6" x14ac:dyDescent="0.25">
      <c r="A390" s="124">
        <v>43619</v>
      </c>
      <c r="B390" s="34"/>
      <c r="C390" s="34" t="s">
        <v>5355</v>
      </c>
      <c r="D390" s="8">
        <v>50000</v>
      </c>
      <c r="E390" s="8"/>
      <c r="F390" s="133">
        <f t="shared" si="13"/>
        <v>-1009749</v>
      </c>
    </row>
    <row r="391" spans="1:6" x14ac:dyDescent="0.25">
      <c r="A391" s="124">
        <v>43619</v>
      </c>
      <c r="B391" s="34"/>
      <c r="C391" s="34" t="s">
        <v>5356</v>
      </c>
      <c r="D391" s="8">
        <v>65000</v>
      </c>
      <c r="E391" s="8"/>
      <c r="F391" s="133">
        <f t="shared" si="13"/>
        <v>-1074749</v>
      </c>
    </row>
    <row r="392" spans="1:6" x14ac:dyDescent="0.25">
      <c r="A392" s="124">
        <v>43633</v>
      </c>
      <c r="B392" s="34"/>
      <c r="C392" s="34" t="s">
        <v>5375</v>
      </c>
      <c r="D392" s="8">
        <v>27000</v>
      </c>
      <c r="E392" s="8"/>
      <c r="F392" s="133">
        <f t="shared" si="13"/>
        <v>-1101749</v>
      </c>
    </row>
    <row r="393" spans="1:6" ht="45" x14ac:dyDescent="0.25">
      <c r="A393" s="124">
        <v>43633</v>
      </c>
      <c r="B393" s="34"/>
      <c r="C393" s="70" t="s">
        <v>5428</v>
      </c>
      <c r="D393" s="8"/>
      <c r="E393" s="8">
        <v>1200000</v>
      </c>
      <c r="F393" s="133">
        <f t="shared" si="13"/>
        <v>98251</v>
      </c>
    </row>
    <row r="394" spans="1:6" ht="45" x14ac:dyDescent="0.25">
      <c r="A394" s="124">
        <v>43633</v>
      </c>
      <c r="B394" s="34"/>
      <c r="C394" s="70" t="s">
        <v>5428</v>
      </c>
      <c r="D394" s="8"/>
      <c r="E394" s="8">
        <v>1465500</v>
      </c>
      <c r="F394" s="133">
        <f t="shared" si="13"/>
        <v>1563751</v>
      </c>
    </row>
    <row r="395" spans="1:6" x14ac:dyDescent="0.25">
      <c r="A395" s="124">
        <v>43636</v>
      </c>
      <c r="B395" s="34"/>
      <c r="C395" s="52" t="s">
        <v>5387</v>
      </c>
      <c r="D395" s="8">
        <v>250000</v>
      </c>
      <c r="E395" s="8"/>
      <c r="F395" s="133">
        <f t="shared" si="13"/>
        <v>1313751</v>
      </c>
    </row>
    <row r="396" spans="1:6" x14ac:dyDescent="0.25">
      <c r="A396" s="124">
        <v>43636</v>
      </c>
      <c r="B396" s="34"/>
      <c r="C396" s="52" t="s">
        <v>1627</v>
      </c>
      <c r="D396" s="8">
        <v>12000</v>
      </c>
      <c r="E396" s="8"/>
      <c r="F396" s="133">
        <f t="shared" si="13"/>
        <v>1301751</v>
      </c>
    </row>
    <row r="397" spans="1:6" x14ac:dyDescent="0.25">
      <c r="A397" s="124">
        <v>43641</v>
      </c>
      <c r="B397" s="34"/>
      <c r="C397" s="52" t="s">
        <v>5400</v>
      </c>
      <c r="D397" s="8">
        <v>88000</v>
      </c>
      <c r="E397" s="8"/>
      <c r="F397" s="133">
        <f t="shared" si="13"/>
        <v>1213751</v>
      </c>
    </row>
    <row r="398" spans="1:6" x14ac:dyDescent="0.25">
      <c r="A398" s="124">
        <v>43644</v>
      </c>
      <c r="B398" s="34"/>
      <c r="C398" s="52" t="s">
        <v>5412</v>
      </c>
      <c r="D398" s="8">
        <f>4800+5000+1700</f>
        <v>11500</v>
      </c>
      <c r="E398" s="8"/>
      <c r="F398" s="133">
        <f t="shared" si="13"/>
        <v>1202251</v>
      </c>
    </row>
    <row r="399" spans="1:6" ht="30" x14ac:dyDescent="0.25">
      <c r="A399" s="124">
        <v>43644</v>
      </c>
      <c r="B399" s="34"/>
      <c r="C399" s="70" t="s">
        <v>5413</v>
      </c>
      <c r="D399" s="8">
        <f>500000-318268</f>
        <v>181732</v>
      </c>
      <c r="E399" s="8"/>
      <c r="F399" s="133">
        <f t="shared" si="13"/>
        <v>1020519</v>
      </c>
    </row>
    <row r="400" spans="1:6" ht="60" x14ac:dyDescent="0.25">
      <c r="A400" s="124">
        <v>43644</v>
      </c>
      <c r="B400" s="34"/>
      <c r="C400" s="70" t="s">
        <v>5414</v>
      </c>
      <c r="D400" s="91">
        <v>100000</v>
      </c>
      <c r="E400" s="8"/>
      <c r="F400" s="133">
        <f t="shared" si="13"/>
        <v>920519</v>
      </c>
    </row>
    <row r="401" spans="1:6" x14ac:dyDescent="0.25">
      <c r="A401" s="124">
        <v>43618</v>
      </c>
      <c r="B401" s="34"/>
      <c r="C401" s="34" t="s">
        <v>5426</v>
      </c>
      <c r="D401" s="8">
        <v>2450</v>
      </c>
      <c r="E401" s="8"/>
      <c r="F401" s="133">
        <f t="shared" si="13"/>
        <v>918069</v>
      </c>
    </row>
    <row r="402" spans="1:6" ht="26.25" x14ac:dyDescent="0.25">
      <c r="A402" s="124">
        <v>43618</v>
      </c>
      <c r="B402" s="34"/>
      <c r="C402" s="145" t="s">
        <v>5429</v>
      </c>
      <c r="D402" s="8"/>
      <c r="E402" s="8">
        <v>1333250</v>
      </c>
      <c r="F402" s="133">
        <f t="shared" si="13"/>
        <v>2251319</v>
      </c>
    </row>
    <row r="403" spans="1:6" x14ac:dyDescent="0.25">
      <c r="A403" s="124">
        <v>43618</v>
      </c>
      <c r="B403" s="34"/>
      <c r="C403" s="34" t="s">
        <v>5430</v>
      </c>
      <c r="D403" s="8">
        <v>500000</v>
      </c>
      <c r="E403" s="8"/>
      <c r="F403" s="133">
        <f t="shared" si="13"/>
        <v>1751319</v>
      </c>
    </row>
    <row r="404" spans="1:6" x14ac:dyDescent="0.25">
      <c r="A404" s="124">
        <v>43619</v>
      </c>
      <c r="B404" s="34"/>
      <c r="C404" s="34" t="s">
        <v>5430</v>
      </c>
      <c r="D404" s="8">
        <v>500000</v>
      </c>
      <c r="E404" s="8"/>
      <c r="F404" s="133">
        <f t="shared" si="13"/>
        <v>1251319</v>
      </c>
    </row>
    <row r="405" spans="1:6" x14ac:dyDescent="0.25">
      <c r="A405" s="124">
        <v>43619</v>
      </c>
      <c r="B405" s="34"/>
      <c r="C405" s="34" t="s">
        <v>5430</v>
      </c>
      <c r="D405" s="8">
        <v>250000</v>
      </c>
      <c r="E405" s="8"/>
      <c r="F405" s="133">
        <f t="shared" si="13"/>
        <v>1001319</v>
      </c>
    </row>
    <row r="406" spans="1:6" x14ac:dyDescent="0.25">
      <c r="A406" s="124">
        <v>43619</v>
      </c>
      <c r="C406" s="34" t="s">
        <v>5430</v>
      </c>
      <c r="D406" s="10">
        <v>62000</v>
      </c>
      <c r="F406" s="133">
        <f t="shared" ref="F406:F437" si="14">F405-D406+E406</f>
        <v>939319</v>
      </c>
    </row>
    <row r="407" spans="1:6" x14ac:dyDescent="0.25">
      <c r="A407" s="124">
        <v>43619</v>
      </c>
      <c r="C407" s="48" t="s">
        <v>5231</v>
      </c>
      <c r="D407" s="10">
        <v>20000</v>
      </c>
      <c r="F407" s="133">
        <f t="shared" si="14"/>
        <v>919319</v>
      </c>
    </row>
    <row r="408" spans="1:6" ht="45" x14ac:dyDescent="0.25">
      <c r="A408" s="124">
        <v>43626</v>
      </c>
      <c r="C408" s="146" t="s">
        <v>5471</v>
      </c>
      <c r="D408" s="10">
        <v>300000</v>
      </c>
      <c r="F408" s="133">
        <f t="shared" si="14"/>
        <v>619319</v>
      </c>
    </row>
    <row r="409" spans="1:6" x14ac:dyDescent="0.25">
      <c r="A409" s="151">
        <v>43626</v>
      </c>
      <c r="C409" s="48" t="s">
        <v>5472</v>
      </c>
      <c r="D409" s="10">
        <v>2000</v>
      </c>
      <c r="F409" s="152">
        <f t="shared" si="14"/>
        <v>617319</v>
      </c>
    </row>
    <row r="410" spans="1:6" ht="30" x14ac:dyDescent="0.25">
      <c r="A410" s="124">
        <v>43626</v>
      </c>
      <c r="B410" s="34"/>
      <c r="C410" s="72" t="s">
        <v>5473</v>
      </c>
      <c r="D410" s="8">
        <v>617319</v>
      </c>
      <c r="E410" s="8"/>
      <c r="F410" s="133">
        <f t="shared" si="14"/>
        <v>0</v>
      </c>
    </row>
    <row r="411" spans="1:6" x14ac:dyDescent="0.25">
      <c r="A411" s="124">
        <v>43636</v>
      </c>
      <c r="B411" s="34"/>
      <c r="C411" s="52" t="s">
        <v>5505</v>
      </c>
      <c r="D411" s="8">
        <v>17000</v>
      </c>
      <c r="E411" s="8"/>
      <c r="F411" s="133">
        <f t="shared" si="14"/>
        <v>-17000</v>
      </c>
    </row>
    <row r="412" spans="1:6" x14ac:dyDescent="0.25">
      <c r="A412" s="124">
        <v>43636</v>
      </c>
      <c r="B412" s="34"/>
      <c r="C412" s="52" t="s">
        <v>5505</v>
      </c>
      <c r="D412" s="8">
        <v>17500</v>
      </c>
      <c r="E412" s="8"/>
      <c r="F412" s="133">
        <f t="shared" si="14"/>
        <v>-34500</v>
      </c>
    </row>
    <row r="413" spans="1:6" x14ac:dyDescent="0.25">
      <c r="A413" s="124">
        <v>43636</v>
      </c>
      <c r="B413" s="34"/>
      <c r="C413" s="34" t="s">
        <v>5506</v>
      </c>
      <c r="D413" s="8">
        <v>14575</v>
      </c>
      <c r="E413" s="8"/>
      <c r="F413" s="133">
        <f t="shared" si="14"/>
        <v>-49075</v>
      </c>
    </row>
    <row r="414" spans="1:6" x14ac:dyDescent="0.25">
      <c r="A414" s="124">
        <v>43636</v>
      </c>
      <c r="B414" s="34"/>
      <c r="C414" s="34" t="s">
        <v>858</v>
      </c>
      <c r="D414" s="8">
        <v>50000</v>
      </c>
      <c r="E414" s="8"/>
      <c r="F414" s="133">
        <f t="shared" si="14"/>
        <v>-99075</v>
      </c>
    </row>
    <row r="415" spans="1:6" x14ac:dyDescent="0.25">
      <c r="A415" s="124">
        <v>43639</v>
      </c>
      <c r="B415" s="34"/>
      <c r="C415" s="34" t="s">
        <v>5519</v>
      </c>
      <c r="D415" s="8">
        <v>75000</v>
      </c>
      <c r="E415" s="8"/>
      <c r="F415" s="133">
        <f t="shared" si="14"/>
        <v>-174075</v>
      </c>
    </row>
    <row r="416" spans="1:6" x14ac:dyDescent="0.25">
      <c r="A416" s="124">
        <v>43639</v>
      </c>
      <c r="B416" s="34"/>
      <c r="C416" s="52" t="s">
        <v>5526</v>
      </c>
      <c r="D416" s="8">
        <v>2000</v>
      </c>
      <c r="E416" s="8"/>
      <c r="F416" s="133">
        <f t="shared" si="14"/>
        <v>-176075</v>
      </c>
    </row>
    <row r="417" spans="1:6" x14ac:dyDescent="0.25">
      <c r="A417" s="124">
        <v>43639</v>
      </c>
      <c r="B417" s="34"/>
      <c r="C417" s="52" t="s">
        <v>4911</v>
      </c>
      <c r="D417" s="8">
        <v>5000</v>
      </c>
      <c r="E417" s="8"/>
      <c r="F417" s="133">
        <f t="shared" si="14"/>
        <v>-181075</v>
      </c>
    </row>
    <row r="418" spans="1:6" x14ac:dyDescent="0.25">
      <c r="A418" s="124">
        <v>43639</v>
      </c>
      <c r="B418" s="34"/>
      <c r="C418" s="52" t="s">
        <v>4911</v>
      </c>
      <c r="D418" s="8">
        <v>2000</v>
      </c>
      <c r="E418" s="8"/>
      <c r="F418" s="133">
        <f t="shared" si="14"/>
        <v>-183075</v>
      </c>
    </row>
    <row r="419" spans="1:6" x14ac:dyDescent="0.25">
      <c r="A419" s="124">
        <v>43685</v>
      </c>
      <c r="B419" s="34"/>
      <c r="C419" s="52" t="s">
        <v>5579</v>
      </c>
      <c r="D419" s="8">
        <v>15000</v>
      </c>
      <c r="E419" s="8"/>
      <c r="F419" s="133">
        <f t="shared" si="14"/>
        <v>-198075</v>
      </c>
    </row>
    <row r="420" spans="1:6" x14ac:dyDescent="0.25">
      <c r="A420" s="124">
        <v>43686</v>
      </c>
      <c r="B420" s="34"/>
      <c r="C420" s="52" t="s">
        <v>5582</v>
      </c>
      <c r="D420" s="8">
        <v>6500</v>
      </c>
      <c r="E420" s="8"/>
      <c r="F420" s="133">
        <f t="shared" si="14"/>
        <v>-204575</v>
      </c>
    </row>
    <row r="421" spans="1:6" x14ac:dyDescent="0.25">
      <c r="A421" s="124">
        <v>43686</v>
      </c>
      <c r="B421" s="34"/>
      <c r="C421" s="52" t="s">
        <v>5583</v>
      </c>
      <c r="D421" s="8">
        <v>4750</v>
      </c>
      <c r="E421" s="8"/>
      <c r="F421" s="133">
        <f t="shared" si="14"/>
        <v>-209325</v>
      </c>
    </row>
    <row r="422" spans="1:6" x14ac:dyDescent="0.25">
      <c r="A422" s="124">
        <v>43694</v>
      </c>
      <c r="B422" s="34"/>
      <c r="C422" s="34" t="s">
        <v>4607</v>
      </c>
      <c r="D422" s="8">
        <v>10000</v>
      </c>
      <c r="E422" s="8"/>
      <c r="F422" s="133">
        <f t="shared" si="14"/>
        <v>-219325</v>
      </c>
    </row>
    <row r="423" spans="1:6" x14ac:dyDescent="0.25">
      <c r="A423" s="124">
        <v>43699</v>
      </c>
      <c r="B423" s="34"/>
      <c r="C423" s="34" t="s">
        <v>3924</v>
      </c>
      <c r="D423" s="8">
        <v>5790</v>
      </c>
      <c r="E423" s="8"/>
      <c r="F423" s="133">
        <f t="shared" si="14"/>
        <v>-225115</v>
      </c>
    </row>
    <row r="424" spans="1:6" x14ac:dyDescent="0.25">
      <c r="A424" s="124">
        <v>43699</v>
      </c>
      <c r="B424" s="34"/>
      <c r="C424" s="34" t="s">
        <v>31</v>
      </c>
      <c r="D424" s="8">
        <v>3000</v>
      </c>
      <c r="E424" s="8"/>
      <c r="F424" s="133">
        <f t="shared" si="14"/>
        <v>-228115</v>
      </c>
    </row>
    <row r="425" spans="1:6" x14ac:dyDescent="0.25">
      <c r="A425" s="124">
        <v>43699</v>
      </c>
      <c r="B425" s="34"/>
      <c r="C425" s="34" t="s">
        <v>4390</v>
      </c>
      <c r="D425" s="8">
        <v>23500</v>
      </c>
      <c r="E425" s="8"/>
      <c r="F425" s="133">
        <f t="shared" si="14"/>
        <v>-251615</v>
      </c>
    </row>
    <row r="426" spans="1:6" x14ac:dyDescent="0.25">
      <c r="A426" s="124">
        <v>43710</v>
      </c>
      <c r="B426" s="34"/>
      <c r="C426" s="34" t="s">
        <v>5648</v>
      </c>
      <c r="D426" s="8">
        <v>55000</v>
      </c>
      <c r="E426" s="8"/>
      <c r="F426" s="133">
        <f t="shared" si="14"/>
        <v>-306615</v>
      </c>
    </row>
    <row r="427" spans="1:6" x14ac:dyDescent="0.25">
      <c r="A427" s="124">
        <v>43711</v>
      </c>
      <c r="B427" s="34"/>
      <c r="C427" s="34" t="s">
        <v>5657</v>
      </c>
      <c r="D427" s="8">
        <v>230000</v>
      </c>
      <c r="E427" s="8"/>
      <c r="F427" s="133">
        <f t="shared" si="14"/>
        <v>-536615</v>
      </c>
    </row>
    <row r="428" spans="1:6" x14ac:dyDescent="0.25">
      <c r="A428" s="124">
        <v>43712</v>
      </c>
      <c r="B428" s="34"/>
      <c r="C428" s="34" t="s">
        <v>5661</v>
      </c>
      <c r="D428" s="8">
        <v>10000</v>
      </c>
      <c r="E428" s="8"/>
      <c r="F428" s="133">
        <f t="shared" si="14"/>
        <v>-546615</v>
      </c>
    </row>
    <row r="429" spans="1:6" x14ac:dyDescent="0.25">
      <c r="A429" s="124">
        <v>43713</v>
      </c>
      <c r="B429" s="34"/>
      <c r="C429" s="34" t="s">
        <v>79</v>
      </c>
      <c r="D429" s="8">
        <v>3000</v>
      </c>
      <c r="E429" s="8"/>
      <c r="F429" s="133">
        <f t="shared" si="14"/>
        <v>-549615</v>
      </c>
    </row>
    <row r="430" spans="1:6" ht="45" x14ac:dyDescent="0.25">
      <c r="A430" s="124">
        <v>43713</v>
      </c>
      <c r="B430" s="34"/>
      <c r="C430" s="70" t="s">
        <v>5668</v>
      </c>
      <c r="D430" s="8"/>
      <c r="E430" s="8">
        <v>100000</v>
      </c>
      <c r="F430" s="133">
        <f t="shared" si="14"/>
        <v>-449615</v>
      </c>
    </row>
    <row r="431" spans="1:6" x14ac:dyDescent="0.25">
      <c r="A431" s="124">
        <v>43720</v>
      </c>
      <c r="B431" s="34"/>
      <c r="C431" s="34" t="s">
        <v>5648</v>
      </c>
      <c r="D431" s="8">
        <v>10000</v>
      </c>
      <c r="E431" s="8"/>
      <c r="F431" s="133">
        <f t="shared" si="14"/>
        <v>-459615</v>
      </c>
    </row>
    <row r="432" spans="1:6" x14ac:dyDescent="0.25">
      <c r="A432" s="124">
        <v>43720</v>
      </c>
      <c r="B432" s="34"/>
      <c r="C432" s="34" t="s">
        <v>32</v>
      </c>
      <c r="D432" s="8"/>
      <c r="E432" s="8">
        <v>5000</v>
      </c>
      <c r="F432" s="133">
        <f t="shared" si="14"/>
        <v>-454615</v>
      </c>
    </row>
    <row r="433" spans="1:6" x14ac:dyDescent="0.25">
      <c r="A433" s="124">
        <v>43726</v>
      </c>
      <c r="B433" s="34"/>
      <c r="C433" s="34" t="s">
        <v>5724</v>
      </c>
      <c r="D433" s="8">
        <v>22180</v>
      </c>
      <c r="E433" s="8"/>
      <c r="F433" s="133">
        <f t="shared" si="14"/>
        <v>-476795</v>
      </c>
    </row>
    <row r="434" spans="1:6" x14ac:dyDescent="0.25">
      <c r="A434" s="124">
        <v>43726</v>
      </c>
      <c r="B434" s="34"/>
      <c r="C434" s="52" t="s">
        <v>5725</v>
      </c>
      <c r="D434" s="8">
        <v>1000</v>
      </c>
      <c r="E434" s="8"/>
      <c r="F434" s="133">
        <f t="shared" si="14"/>
        <v>-477795</v>
      </c>
    </row>
    <row r="435" spans="1:6" x14ac:dyDescent="0.25">
      <c r="A435" s="124">
        <v>43727</v>
      </c>
      <c r="B435" s="34"/>
      <c r="C435" s="52" t="s">
        <v>5732</v>
      </c>
      <c r="D435" s="8">
        <v>7440</v>
      </c>
      <c r="E435" s="8"/>
      <c r="F435" s="133">
        <f t="shared" si="14"/>
        <v>-485235</v>
      </c>
    </row>
    <row r="436" spans="1:6" x14ac:dyDescent="0.25">
      <c r="A436" s="124">
        <v>43731</v>
      </c>
      <c r="B436" s="34"/>
      <c r="C436" s="52" t="s">
        <v>5742</v>
      </c>
      <c r="D436" s="8">
        <v>25000</v>
      </c>
      <c r="E436" s="8"/>
      <c r="F436" s="133">
        <f t="shared" si="14"/>
        <v>-510235</v>
      </c>
    </row>
    <row r="437" spans="1:6" x14ac:dyDescent="0.25">
      <c r="A437" s="124">
        <v>43738</v>
      </c>
      <c r="B437" s="34"/>
      <c r="C437" s="52" t="s">
        <v>2016</v>
      </c>
      <c r="D437" s="8">
        <v>2000</v>
      </c>
      <c r="E437" s="8"/>
      <c r="F437" s="133">
        <f t="shared" si="14"/>
        <v>-512235</v>
      </c>
    </row>
    <row r="438" spans="1:6" x14ac:dyDescent="0.25">
      <c r="A438" s="124">
        <v>43466</v>
      </c>
      <c r="B438" s="34"/>
      <c r="C438" s="34" t="s">
        <v>5763</v>
      </c>
      <c r="D438" s="8">
        <v>14940</v>
      </c>
      <c r="E438" s="8"/>
      <c r="F438" s="133">
        <f t="shared" ref="F438:F451" si="15">F437-D438+E438</f>
        <v>-527175</v>
      </c>
    </row>
    <row r="439" spans="1:6" x14ac:dyDescent="0.25">
      <c r="A439" s="124">
        <v>43467</v>
      </c>
      <c r="B439" s="34"/>
      <c r="C439" s="34" t="s">
        <v>5770</v>
      </c>
      <c r="D439" s="8">
        <v>7500</v>
      </c>
      <c r="E439" s="8"/>
      <c r="F439" s="133">
        <f t="shared" si="15"/>
        <v>-534675</v>
      </c>
    </row>
    <row r="440" spans="1:6" x14ac:dyDescent="0.25">
      <c r="A440" s="124">
        <v>43468</v>
      </c>
      <c r="B440" s="34"/>
      <c r="C440" s="34" t="s">
        <v>5775</v>
      </c>
      <c r="D440" s="8">
        <v>20000</v>
      </c>
      <c r="E440" s="8"/>
      <c r="F440" s="133">
        <f t="shared" si="15"/>
        <v>-554675</v>
      </c>
    </row>
    <row r="441" spans="1:6" x14ac:dyDescent="0.25">
      <c r="A441" s="124">
        <v>43470</v>
      </c>
      <c r="B441" s="34"/>
      <c r="C441" s="34" t="s">
        <v>5797</v>
      </c>
      <c r="D441" s="8">
        <v>15000</v>
      </c>
      <c r="E441" s="8"/>
      <c r="F441" s="133">
        <f t="shared" si="15"/>
        <v>-569675</v>
      </c>
    </row>
    <row r="442" spans="1:6" x14ac:dyDescent="0.25">
      <c r="A442" s="124">
        <v>43472</v>
      </c>
      <c r="B442" s="34"/>
      <c r="C442" s="34" t="s">
        <v>5796</v>
      </c>
      <c r="D442" s="8"/>
      <c r="E442" s="8">
        <v>569675</v>
      </c>
      <c r="F442" s="133">
        <f t="shared" si="15"/>
        <v>0</v>
      </c>
    </row>
    <row r="443" spans="1:6" ht="30" x14ac:dyDescent="0.25">
      <c r="A443" s="124">
        <v>43472</v>
      </c>
      <c r="B443" s="34"/>
      <c r="C443" s="70" t="s">
        <v>5798</v>
      </c>
      <c r="D443" s="8">
        <v>150000</v>
      </c>
      <c r="E443" s="8"/>
      <c r="F443" s="133">
        <f t="shared" si="15"/>
        <v>-150000</v>
      </c>
    </row>
    <row r="444" spans="1:6" x14ac:dyDescent="0.25">
      <c r="A444" s="124">
        <v>43472</v>
      </c>
      <c r="B444" s="34"/>
      <c r="C444" s="34" t="s">
        <v>5870</v>
      </c>
      <c r="D444" s="8"/>
      <c r="E444" s="8">
        <v>3000</v>
      </c>
      <c r="F444" s="133">
        <f t="shared" si="15"/>
        <v>-147000</v>
      </c>
    </row>
    <row r="445" spans="1:6" x14ac:dyDescent="0.25">
      <c r="A445" s="124">
        <v>43496</v>
      </c>
      <c r="B445" s="34"/>
      <c r="C445" s="52" t="s">
        <v>5904</v>
      </c>
      <c r="D445" s="8">
        <f>10310+1700+2048+4858</f>
        <v>18916</v>
      </c>
      <c r="E445" s="8"/>
      <c r="F445" s="133">
        <f t="shared" si="15"/>
        <v>-165916</v>
      </c>
    </row>
    <row r="446" spans="1:6" x14ac:dyDescent="0.25">
      <c r="A446" s="124">
        <v>43496</v>
      </c>
      <c r="B446" s="34"/>
      <c r="C446" s="52" t="s">
        <v>5905</v>
      </c>
      <c r="D446" s="8">
        <v>250000</v>
      </c>
      <c r="E446" s="8"/>
      <c r="F446" s="133">
        <f t="shared" si="15"/>
        <v>-415916</v>
      </c>
    </row>
    <row r="447" spans="1:6" ht="30" x14ac:dyDescent="0.25">
      <c r="A447" s="124">
        <v>43496</v>
      </c>
      <c r="B447" s="34"/>
      <c r="C447" s="72" t="s">
        <v>5906</v>
      </c>
      <c r="D447" s="8"/>
      <c r="E447" s="8">
        <v>328128</v>
      </c>
      <c r="F447" s="133">
        <f t="shared" si="15"/>
        <v>-87788</v>
      </c>
    </row>
    <row r="448" spans="1:6" x14ac:dyDescent="0.25">
      <c r="A448" s="124">
        <v>43777</v>
      </c>
      <c r="B448" s="34"/>
      <c r="C448" s="34" t="s">
        <v>5935</v>
      </c>
      <c r="D448" s="8">
        <v>100000</v>
      </c>
      <c r="E448" s="8"/>
      <c r="F448" s="133">
        <f t="shared" si="15"/>
        <v>-187788</v>
      </c>
    </row>
    <row r="449" spans="1:6" x14ac:dyDescent="0.25">
      <c r="A449" s="124">
        <v>43777</v>
      </c>
      <c r="B449" s="34"/>
      <c r="C449" s="34" t="s">
        <v>5936</v>
      </c>
      <c r="D449" s="8">
        <v>100000</v>
      </c>
      <c r="E449" s="8"/>
      <c r="F449" s="133">
        <f t="shared" si="15"/>
        <v>-287788</v>
      </c>
    </row>
    <row r="450" spans="1:6" x14ac:dyDescent="0.25">
      <c r="A450" s="124">
        <v>43777</v>
      </c>
      <c r="B450" s="34"/>
      <c r="C450" s="34" t="s">
        <v>5937</v>
      </c>
      <c r="D450" s="8">
        <v>20000</v>
      </c>
      <c r="E450" s="8"/>
      <c r="F450" s="133">
        <f t="shared" si="15"/>
        <v>-307788</v>
      </c>
    </row>
    <row r="451" spans="1:6" x14ac:dyDescent="0.25">
      <c r="A451" s="124">
        <v>43781</v>
      </c>
      <c r="B451" s="34"/>
      <c r="C451" s="34" t="s">
        <v>5947</v>
      </c>
      <c r="D451" s="8"/>
      <c r="E451" s="8">
        <v>8700</v>
      </c>
      <c r="F451" s="133">
        <f t="shared" si="15"/>
        <v>-299088</v>
      </c>
    </row>
    <row r="452" spans="1:6" ht="30" x14ac:dyDescent="0.25">
      <c r="A452" s="124">
        <v>43781</v>
      </c>
      <c r="B452" s="34"/>
      <c r="C452" s="70" t="s">
        <v>5950</v>
      </c>
      <c r="D452" s="8"/>
      <c r="E452" s="91">
        <v>300000</v>
      </c>
      <c r="F452" s="133">
        <v>0</v>
      </c>
    </row>
    <row r="453" spans="1:6" x14ac:dyDescent="0.25">
      <c r="A453" s="124">
        <v>43892</v>
      </c>
      <c r="B453" s="34"/>
      <c r="C453" s="34" t="s">
        <v>6265</v>
      </c>
      <c r="D453" s="8">
        <v>10000</v>
      </c>
      <c r="E453" s="8"/>
      <c r="F453" s="133">
        <f t="shared" ref="F453:F484" si="16">F452-D453+E453</f>
        <v>-10000</v>
      </c>
    </row>
    <row r="454" spans="1:6" x14ac:dyDescent="0.25">
      <c r="A454" s="124">
        <v>43892</v>
      </c>
      <c r="B454" s="34"/>
      <c r="C454" s="34" t="s">
        <v>6343</v>
      </c>
      <c r="D454" s="8"/>
      <c r="E454" s="8">
        <v>1075000</v>
      </c>
      <c r="F454" s="133">
        <f t="shared" si="16"/>
        <v>1065000</v>
      </c>
    </row>
    <row r="455" spans="1:6" x14ac:dyDescent="0.25">
      <c r="A455" s="124">
        <v>43909</v>
      </c>
      <c r="B455" s="34"/>
      <c r="C455" s="34" t="s">
        <v>4590</v>
      </c>
      <c r="D455" s="8">
        <v>85000</v>
      </c>
      <c r="E455" s="8"/>
      <c r="F455" s="133">
        <f t="shared" si="16"/>
        <v>980000</v>
      </c>
    </row>
    <row r="456" spans="1:6" x14ac:dyDescent="0.25">
      <c r="A456" s="124">
        <v>43909</v>
      </c>
      <c r="C456" s="48" t="s">
        <v>6349</v>
      </c>
      <c r="D456" s="10">
        <v>10000</v>
      </c>
      <c r="F456" s="133">
        <f t="shared" si="16"/>
        <v>970000</v>
      </c>
    </row>
    <row r="457" spans="1:6" x14ac:dyDescent="0.25">
      <c r="A457" s="124">
        <v>43909</v>
      </c>
      <c r="C457" s="48" t="s">
        <v>6350</v>
      </c>
      <c r="D457" s="10">
        <v>5000</v>
      </c>
      <c r="F457" s="133">
        <f t="shared" si="16"/>
        <v>965000</v>
      </c>
    </row>
    <row r="458" spans="1:6" x14ac:dyDescent="0.25">
      <c r="A458" s="124">
        <v>43922</v>
      </c>
      <c r="C458" s="48" t="s">
        <v>6351</v>
      </c>
      <c r="D458" s="10">
        <v>15000</v>
      </c>
      <c r="F458" s="133">
        <f t="shared" si="16"/>
        <v>950000</v>
      </c>
    </row>
    <row r="459" spans="1:6" x14ac:dyDescent="0.25">
      <c r="A459" s="124">
        <v>43925</v>
      </c>
      <c r="C459" s="48" t="s">
        <v>6352</v>
      </c>
      <c r="D459" s="10">
        <v>50000</v>
      </c>
      <c r="F459" s="133">
        <f t="shared" si="16"/>
        <v>900000</v>
      </c>
    </row>
    <row r="460" spans="1:6" x14ac:dyDescent="0.25">
      <c r="A460" s="124">
        <v>43930</v>
      </c>
      <c r="C460" s="48" t="s">
        <v>6357</v>
      </c>
      <c r="D460" s="10">
        <v>200000</v>
      </c>
      <c r="F460" s="133">
        <f t="shared" si="16"/>
        <v>700000</v>
      </c>
    </row>
    <row r="461" spans="1:6" x14ac:dyDescent="0.25">
      <c r="A461" s="124">
        <v>43934</v>
      </c>
      <c r="C461" s="48" t="s">
        <v>6357</v>
      </c>
      <c r="D461" s="10">
        <v>200000</v>
      </c>
      <c r="F461" s="133">
        <f t="shared" si="16"/>
        <v>500000</v>
      </c>
    </row>
    <row r="462" spans="1:6" x14ac:dyDescent="0.25">
      <c r="A462" s="124">
        <v>43935</v>
      </c>
      <c r="C462" s="48" t="s">
        <v>6357</v>
      </c>
      <c r="D462" s="10">
        <v>100000</v>
      </c>
      <c r="F462" s="133">
        <f t="shared" si="16"/>
        <v>400000</v>
      </c>
    </row>
    <row r="463" spans="1:6" x14ac:dyDescent="0.25">
      <c r="A463" s="124">
        <v>43939</v>
      </c>
      <c r="C463" s="48" t="s">
        <v>6357</v>
      </c>
      <c r="D463" s="10">
        <v>450000</v>
      </c>
      <c r="F463" s="133">
        <f t="shared" si="16"/>
        <v>-50000</v>
      </c>
    </row>
    <row r="464" spans="1:6" x14ac:dyDescent="0.25">
      <c r="A464" s="124">
        <v>43939</v>
      </c>
      <c r="C464" s="48" t="s">
        <v>6368</v>
      </c>
      <c r="E464" s="10">
        <v>4600000</v>
      </c>
      <c r="F464" s="133">
        <f t="shared" si="16"/>
        <v>4550000</v>
      </c>
    </row>
    <row r="465" spans="1:10" x14ac:dyDescent="0.25">
      <c r="A465" s="124">
        <v>43939</v>
      </c>
      <c r="C465" s="48" t="s">
        <v>6381</v>
      </c>
      <c r="E465" s="10">
        <v>850000</v>
      </c>
      <c r="F465" s="133">
        <f t="shared" si="16"/>
        <v>5400000</v>
      </c>
    </row>
    <row r="466" spans="1:10" x14ac:dyDescent="0.25">
      <c r="A466" s="124">
        <v>43939</v>
      </c>
      <c r="C466" s="48" t="s">
        <v>6381</v>
      </c>
      <c r="E466" s="10">
        <v>650000</v>
      </c>
      <c r="F466" s="133">
        <f t="shared" si="16"/>
        <v>6050000</v>
      </c>
    </row>
    <row r="467" spans="1:10" x14ac:dyDescent="0.25">
      <c r="A467" s="124">
        <v>43939</v>
      </c>
      <c r="C467" s="48" t="s">
        <v>6381</v>
      </c>
      <c r="E467" s="10">
        <v>750000</v>
      </c>
      <c r="F467" s="133">
        <f t="shared" si="16"/>
        <v>6800000</v>
      </c>
    </row>
    <row r="468" spans="1:10" x14ac:dyDescent="0.25">
      <c r="A468" s="151">
        <v>43939</v>
      </c>
      <c r="C468" s="48" t="s">
        <v>6381</v>
      </c>
      <c r="E468" s="10">
        <v>700000</v>
      </c>
      <c r="F468" s="152">
        <f t="shared" si="16"/>
        <v>7500000</v>
      </c>
    </row>
    <row r="469" spans="1:10" x14ac:dyDescent="0.25">
      <c r="A469" s="124">
        <v>43939</v>
      </c>
      <c r="B469" s="34"/>
      <c r="C469" s="52" t="s">
        <v>6381</v>
      </c>
      <c r="D469" s="8"/>
      <c r="E469" s="8">
        <v>800000</v>
      </c>
      <c r="F469" s="133">
        <f t="shared" si="16"/>
        <v>8300000</v>
      </c>
    </row>
    <row r="470" spans="1:10" x14ac:dyDescent="0.25">
      <c r="A470" s="124">
        <v>43939</v>
      </c>
      <c r="B470" s="34"/>
      <c r="C470" s="52" t="s">
        <v>6381</v>
      </c>
      <c r="D470" s="8"/>
      <c r="E470" s="8">
        <v>750000</v>
      </c>
      <c r="F470" s="133">
        <f t="shared" si="16"/>
        <v>9050000</v>
      </c>
    </row>
    <row r="471" spans="1:10" x14ac:dyDescent="0.25">
      <c r="A471" s="124">
        <v>43939</v>
      </c>
      <c r="B471" s="34"/>
      <c r="C471" s="52" t="s">
        <v>6381</v>
      </c>
      <c r="D471" s="8"/>
      <c r="E471" s="8">
        <v>600000</v>
      </c>
      <c r="F471" s="133">
        <f t="shared" si="16"/>
        <v>9650000</v>
      </c>
    </row>
    <row r="472" spans="1:10" x14ac:dyDescent="0.25">
      <c r="A472" s="124">
        <v>43939</v>
      </c>
      <c r="B472" s="34"/>
      <c r="C472" s="52" t="s">
        <v>6381</v>
      </c>
      <c r="D472" s="8"/>
      <c r="E472" s="8">
        <v>900000</v>
      </c>
      <c r="F472" s="133">
        <f t="shared" si="16"/>
        <v>10550000</v>
      </c>
    </row>
    <row r="473" spans="1:10" x14ac:dyDescent="0.25">
      <c r="A473" s="124">
        <v>43939</v>
      </c>
      <c r="B473" s="34"/>
      <c r="C473" s="52" t="s">
        <v>6383</v>
      </c>
      <c r="D473" s="8">
        <v>200000</v>
      </c>
      <c r="E473" s="8"/>
      <c r="F473" s="133">
        <f t="shared" si="16"/>
        <v>10350000</v>
      </c>
    </row>
    <row r="474" spans="1:10" x14ac:dyDescent="0.25">
      <c r="A474" s="124">
        <v>43941</v>
      </c>
      <c r="B474" s="34"/>
      <c r="C474" s="52" t="s">
        <v>6382</v>
      </c>
      <c r="D474" s="8">
        <v>850000</v>
      </c>
      <c r="E474" s="8"/>
      <c r="F474" s="133">
        <f t="shared" si="16"/>
        <v>9500000</v>
      </c>
    </row>
    <row r="475" spans="1:10" x14ac:dyDescent="0.25">
      <c r="A475" s="124">
        <v>43941</v>
      </c>
      <c r="B475" s="34"/>
      <c r="C475" s="52" t="s">
        <v>6382</v>
      </c>
      <c r="D475" s="8">
        <v>750000</v>
      </c>
      <c r="E475" s="8"/>
      <c r="F475" s="133">
        <f t="shared" si="16"/>
        <v>8750000</v>
      </c>
    </row>
    <row r="476" spans="1:10" x14ac:dyDescent="0.25">
      <c r="A476" s="124">
        <v>43939</v>
      </c>
      <c r="B476" s="34"/>
      <c r="C476" s="52" t="s">
        <v>6369</v>
      </c>
      <c r="D476" s="8">
        <v>20000</v>
      </c>
      <c r="E476" s="8"/>
      <c r="F476" s="133">
        <f t="shared" si="16"/>
        <v>8730000</v>
      </c>
      <c r="J476" s="47"/>
    </row>
    <row r="477" spans="1:10" x14ac:dyDescent="0.25">
      <c r="A477" s="124">
        <v>43942</v>
      </c>
      <c r="B477" s="34"/>
      <c r="C477" s="52" t="s">
        <v>6376</v>
      </c>
      <c r="D477" s="8">
        <v>70000</v>
      </c>
      <c r="E477" s="8"/>
      <c r="F477" s="133">
        <f t="shared" si="16"/>
        <v>8660000</v>
      </c>
    </row>
    <row r="478" spans="1:10" x14ac:dyDescent="0.25">
      <c r="A478" s="124">
        <v>43942</v>
      </c>
      <c r="B478" s="34"/>
      <c r="C478" s="52" t="s">
        <v>6377</v>
      </c>
      <c r="D478" s="8">
        <v>110000</v>
      </c>
      <c r="E478" s="8"/>
      <c r="F478" s="133">
        <f t="shared" si="16"/>
        <v>8550000</v>
      </c>
    </row>
    <row r="479" spans="1:10" x14ac:dyDescent="0.25">
      <c r="A479" s="124">
        <v>43944</v>
      </c>
      <c r="B479" s="34"/>
      <c r="C479" s="52" t="s">
        <v>6378</v>
      </c>
      <c r="D479" s="8">
        <v>150000</v>
      </c>
      <c r="E479" s="8"/>
      <c r="F479" s="133">
        <f t="shared" si="16"/>
        <v>8400000</v>
      </c>
    </row>
    <row r="480" spans="1:10" x14ac:dyDescent="0.25">
      <c r="A480" s="124">
        <v>43944</v>
      </c>
      <c r="B480" s="34"/>
      <c r="C480" s="52" t="s">
        <v>6379</v>
      </c>
      <c r="D480" s="8">
        <v>50000</v>
      </c>
      <c r="E480" s="8"/>
      <c r="F480" s="133">
        <f t="shared" si="16"/>
        <v>8350000</v>
      </c>
    </row>
    <row r="481" spans="1:6" x14ac:dyDescent="0.25">
      <c r="A481" s="124">
        <v>43950</v>
      </c>
      <c r="B481" s="34"/>
      <c r="C481" s="52" t="s">
        <v>6379</v>
      </c>
      <c r="D481" s="8">
        <v>60000</v>
      </c>
      <c r="E481" s="8"/>
      <c r="F481" s="133">
        <f t="shared" si="16"/>
        <v>8290000</v>
      </c>
    </row>
    <row r="482" spans="1:6" x14ac:dyDescent="0.25">
      <c r="A482" s="124">
        <v>43953</v>
      </c>
      <c r="B482" s="34"/>
      <c r="C482" s="52" t="s">
        <v>6400</v>
      </c>
      <c r="D482" s="8"/>
      <c r="E482" s="8">
        <v>800000</v>
      </c>
      <c r="F482" s="133">
        <f t="shared" si="16"/>
        <v>9090000</v>
      </c>
    </row>
    <row r="483" spans="1:6" x14ac:dyDescent="0.25">
      <c r="A483" s="124">
        <v>43955</v>
      </c>
      <c r="B483" s="34"/>
      <c r="C483" s="52" t="s">
        <v>5109</v>
      </c>
      <c r="D483" s="8">
        <v>50000</v>
      </c>
      <c r="E483" s="8"/>
      <c r="F483" s="133">
        <f t="shared" si="16"/>
        <v>9040000</v>
      </c>
    </row>
    <row r="484" spans="1:6" x14ac:dyDescent="0.25">
      <c r="A484" s="124">
        <v>43956</v>
      </c>
      <c r="B484" s="34"/>
      <c r="C484" s="52" t="s">
        <v>5109</v>
      </c>
      <c r="D484" s="8">
        <v>100000</v>
      </c>
      <c r="E484" s="8"/>
      <c r="F484" s="133">
        <f t="shared" si="16"/>
        <v>8940000</v>
      </c>
    </row>
    <row r="485" spans="1:6" ht="45" x14ac:dyDescent="0.25">
      <c r="A485" s="124">
        <v>43959</v>
      </c>
      <c r="B485" s="34"/>
      <c r="C485" s="72" t="s">
        <v>6411</v>
      </c>
      <c r="D485" s="8">
        <v>1000000</v>
      </c>
      <c r="E485" s="8"/>
      <c r="F485" s="133">
        <f t="shared" ref="F485:F516" si="17">F484-D485+E485</f>
        <v>7940000</v>
      </c>
    </row>
    <row r="486" spans="1:6" x14ac:dyDescent="0.25">
      <c r="A486" s="124">
        <v>43962</v>
      </c>
      <c r="B486" s="34"/>
      <c r="C486" s="52" t="s">
        <v>6413</v>
      </c>
      <c r="D486" s="8">
        <v>1000000</v>
      </c>
      <c r="E486" s="8"/>
      <c r="F486" s="133">
        <f t="shared" si="17"/>
        <v>6940000</v>
      </c>
    </row>
    <row r="487" spans="1:6" x14ac:dyDescent="0.25">
      <c r="A487" s="124">
        <v>43962</v>
      </c>
      <c r="B487" s="34"/>
      <c r="C487" s="52" t="s">
        <v>6414</v>
      </c>
      <c r="D487" s="8">
        <v>20000</v>
      </c>
      <c r="E487" s="8"/>
      <c r="F487" s="133">
        <f t="shared" si="17"/>
        <v>6920000</v>
      </c>
    </row>
    <row r="488" spans="1:6" x14ac:dyDescent="0.25">
      <c r="A488" s="124">
        <v>43962</v>
      </c>
      <c r="B488" s="34"/>
      <c r="C488" s="52" t="s">
        <v>6415</v>
      </c>
      <c r="D488" s="8">
        <v>58000</v>
      </c>
      <c r="E488" s="8"/>
      <c r="F488" s="133">
        <f t="shared" si="17"/>
        <v>6862000</v>
      </c>
    </row>
    <row r="489" spans="1:6" x14ac:dyDescent="0.25">
      <c r="A489" s="124">
        <v>43962</v>
      </c>
      <c r="B489" s="34"/>
      <c r="C489" s="52" t="s">
        <v>6416</v>
      </c>
      <c r="D489" s="8">
        <v>20000</v>
      </c>
      <c r="E489" s="8"/>
      <c r="F489" s="133">
        <f t="shared" si="17"/>
        <v>6842000</v>
      </c>
    </row>
    <row r="490" spans="1:6" x14ac:dyDescent="0.25">
      <c r="A490" s="124">
        <v>43962</v>
      </c>
      <c r="B490" s="34"/>
      <c r="C490" s="52" t="s">
        <v>6419</v>
      </c>
      <c r="D490" s="8">
        <v>200000</v>
      </c>
      <c r="E490" s="8"/>
      <c r="F490" s="133">
        <f t="shared" si="17"/>
        <v>6642000</v>
      </c>
    </row>
    <row r="491" spans="1:6" x14ac:dyDescent="0.25">
      <c r="A491" s="124">
        <v>43962</v>
      </c>
      <c r="B491" s="34"/>
      <c r="C491" s="52" t="s">
        <v>6418</v>
      </c>
      <c r="D491" s="8">
        <v>23000</v>
      </c>
      <c r="E491" s="8"/>
      <c r="F491" s="133">
        <f t="shared" si="17"/>
        <v>6619000</v>
      </c>
    </row>
    <row r="492" spans="1:6" ht="45" x14ac:dyDescent="0.25">
      <c r="A492" s="124">
        <v>43965</v>
      </c>
      <c r="B492" s="34"/>
      <c r="C492" s="72" t="s">
        <v>6435</v>
      </c>
      <c r="D492" s="8">
        <v>200000</v>
      </c>
      <c r="E492" s="8"/>
      <c r="F492" s="133">
        <f t="shared" si="17"/>
        <v>6419000</v>
      </c>
    </row>
    <row r="493" spans="1:6" x14ac:dyDescent="0.25">
      <c r="A493" s="124">
        <v>43965</v>
      </c>
      <c r="B493" s="34"/>
      <c r="C493" s="52" t="s">
        <v>6436</v>
      </c>
      <c r="D493" s="8">
        <v>50000</v>
      </c>
      <c r="E493" s="8"/>
      <c r="F493" s="133">
        <f t="shared" si="17"/>
        <v>6369000</v>
      </c>
    </row>
    <row r="494" spans="1:6" x14ac:dyDescent="0.25">
      <c r="A494" s="124">
        <v>43970</v>
      </c>
      <c r="B494" s="34"/>
      <c r="C494" s="52" t="s">
        <v>6436</v>
      </c>
      <c r="D494" s="8">
        <v>400000</v>
      </c>
      <c r="E494" s="8"/>
      <c r="F494" s="133">
        <f t="shared" si="17"/>
        <v>5969000</v>
      </c>
    </row>
    <row r="495" spans="1:6" x14ac:dyDescent="0.25">
      <c r="A495" s="124">
        <v>43971</v>
      </c>
      <c r="B495" s="34"/>
      <c r="C495" s="52" t="s">
        <v>6436</v>
      </c>
      <c r="D495" s="8">
        <v>150000</v>
      </c>
      <c r="E495" s="8"/>
      <c r="F495" s="133">
        <f t="shared" si="17"/>
        <v>5819000</v>
      </c>
    </row>
    <row r="496" spans="1:6" x14ac:dyDescent="0.25">
      <c r="A496" s="124">
        <v>43974</v>
      </c>
      <c r="B496" s="34"/>
      <c r="C496" s="52" t="s">
        <v>6473</v>
      </c>
      <c r="D496" s="8">
        <v>30000</v>
      </c>
      <c r="E496" s="8"/>
      <c r="F496" s="133">
        <f t="shared" si="17"/>
        <v>5789000</v>
      </c>
    </row>
    <row r="497" spans="1:6" x14ac:dyDescent="0.25">
      <c r="A497" s="124">
        <v>43974</v>
      </c>
      <c r="B497" s="34"/>
      <c r="C497" s="52" t="s">
        <v>6474</v>
      </c>
      <c r="D497" s="8">
        <v>30000</v>
      </c>
      <c r="E497" s="8"/>
      <c r="F497" s="133">
        <f t="shared" si="17"/>
        <v>5759000</v>
      </c>
    </row>
    <row r="498" spans="1:6" ht="45" x14ac:dyDescent="0.25">
      <c r="A498" s="124">
        <v>43979</v>
      </c>
      <c r="B498" s="34"/>
      <c r="C498" s="72" t="s">
        <v>6475</v>
      </c>
      <c r="D498" s="8">
        <v>100000</v>
      </c>
      <c r="E498" s="8"/>
      <c r="F498" s="133">
        <f t="shared" si="17"/>
        <v>5659000</v>
      </c>
    </row>
    <row r="499" spans="1:6" x14ac:dyDescent="0.25">
      <c r="A499" s="124">
        <v>43983</v>
      </c>
      <c r="B499" s="34"/>
      <c r="C499" s="52" t="s">
        <v>6491</v>
      </c>
      <c r="D499" s="8">
        <v>100000</v>
      </c>
      <c r="E499" s="8"/>
      <c r="F499" s="133">
        <f t="shared" si="17"/>
        <v>5559000</v>
      </c>
    </row>
    <row r="500" spans="1:6" x14ac:dyDescent="0.25">
      <c r="A500" s="124">
        <v>43985</v>
      </c>
      <c r="B500" s="34"/>
      <c r="C500" s="52" t="s">
        <v>6436</v>
      </c>
      <c r="D500" s="8">
        <v>100000</v>
      </c>
      <c r="E500" s="8"/>
      <c r="F500" s="133">
        <f t="shared" si="17"/>
        <v>5459000</v>
      </c>
    </row>
    <row r="501" spans="1:6" ht="45" x14ac:dyDescent="0.25">
      <c r="A501" s="124">
        <v>43985</v>
      </c>
      <c r="B501" s="34"/>
      <c r="C501" s="70" t="s">
        <v>6504</v>
      </c>
      <c r="D501" s="8"/>
      <c r="E501" s="8">
        <v>451366</v>
      </c>
      <c r="F501" s="133">
        <f t="shared" si="17"/>
        <v>5910366</v>
      </c>
    </row>
    <row r="502" spans="1:6" ht="30" x14ac:dyDescent="0.25">
      <c r="A502" s="124">
        <v>43985</v>
      </c>
      <c r="B502" s="34"/>
      <c r="C502" s="70" t="s">
        <v>6498</v>
      </c>
      <c r="D502" s="8"/>
      <c r="E502" s="8">
        <v>500000</v>
      </c>
      <c r="F502" s="133">
        <f t="shared" si="17"/>
        <v>6410366</v>
      </c>
    </row>
    <row r="503" spans="1:6" ht="30" x14ac:dyDescent="0.25">
      <c r="A503" s="124">
        <v>43985</v>
      </c>
      <c r="B503" s="34"/>
      <c r="C503" s="70" t="s">
        <v>6498</v>
      </c>
      <c r="D503" s="8"/>
      <c r="E503" s="8">
        <v>500000</v>
      </c>
      <c r="F503" s="133">
        <f t="shared" si="17"/>
        <v>6910366</v>
      </c>
    </row>
    <row r="504" spans="1:6" x14ac:dyDescent="0.25">
      <c r="A504" s="124">
        <v>43987</v>
      </c>
      <c r="B504" s="34"/>
      <c r="C504" s="72" t="s">
        <v>6505</v>
      </c>
      <c r="D504" s="8">
        <v>100000</v>
      </c>
      <c r="E504" s="8"/>
      <c r="F504" s="133">
        <f t="shared" si="17"/>
        <v>6810366</v>
      </c>
    </row>
    <row r="505" spans="1:6" ht="30" x14ac:dyDescent="0.25">
      <c r="A505" s="124">
        <v>43991</v>
      </c>
      <c r="B505" s="34"/>
      <c r="C505" s="72" t="s">
        <v>6519</v>
      </c>
      <c r="D505" s="8">
        <v>50000</v>
      </c>
      <c r="E505" s="8"/>
      <c r="F505" s="133">
        <f t="shared" si="17"/>
        <v>6760366</v>
      </c>
    </row>
    <row r="506" spans="1:6" x14ac:dyDescent="0.25">
      <c r="A506" s="124">
        <v>43991</v>
      </c>
      <c r="B506" s="34"/>
      <c r="C506" s="72" t="s">
        <v>6521</v>
      </c>
      <c r="D506" s="8">
        <v>385000</v>
      </c>
      <c r="E506" s="8"/>
      <c r="F506" s="133">
        <f t="shared" si="17"/>
        <v>6375366</v>
      </c>
    </row>
    <row r="507" spans="1:6" x14ac:dyDescent="0.25">
      <c r="A507" s="124">
        <v>43993</v>
      </c>
      <c r="B507" s="34"/>
      <c r="C507" s="72" t="s">
        <v>6533</v>
      </c>
      <c r="D507" s="8">
        <v>200000</v>
      </c>
      <c r="E507" s="8"/>
      <c r="F507" s="133">
        <f t="shared" si="17"/>
        <v>6175366</v>
      </c>
    </row>
    <row r="508" spans="1:6" ht="30" x14ac:dyDescent="0.25">
      <c r="A508" s="124">
        <v>43993</v>
      </c>
      <c r="B508" s="34"/>
      <c r="C508" s="72" t="s">
        <v>6534</v>
      </c>
      <c r="D508" s="8">
        <v>60000</v>
      </c>
      <c r="E508" s="8"/>
      <c r="F508" s="133">
        <f t="shared" si="17"/>
        <v>6115366</v>
      </c>
    </row>
    <row r="509" spans="1:6" x14ac:dyDescent="0.25">
      <c r="A509" s="124">
        <v>43993</v>
      </c>
      <c r="B509" s="34"/>
      <c r="C509" s="72" t="s">
        <v>6535</v>
      </c>
      <c r="D509" s="8">
        <v>300000</v>
      </c>
      <c r="E509" s="8"/>
      <c r="F509" s="133">
        <f t="shared" si="17"/>
        <v>5815366</v>
      </c>
    </row>
    <row r="510" spans="1:6" x14ac:dyDescent="0.25">
      <c r="A510" s="124">
        <v>43993</v>
      </c>
      <c r="B510" s="34"/>
      <c r="C510" s="34" t="s">
        <v>6536</v>
      </c>
      <c r="D510" s="8"/>
      <c r="E510" s="8">
        <v>64810</v>
      </c>
      <c r="F510" s="133">
        <f t="shared" si="17"/>
        <v>5880176</v>
      </c>
    </row>
    <row r="511" spans="1:6" x14ac:dyDescent="0.25">
      <c r="A511" s="124">
        <v>43998</v>
      </c>
      <c r="B511" s="34"/>
      <c r="C511" s="34" t="s">
        <v>6565</v>
      </c>
      <c r="D511" s="8">
        <v>10000</v>
      </c>
      <c r="E511" s="8"/>
      <c r="F511" s="133">
        <f t="shared" si="17"/>
        <v>5870176</v>
      </c>
    </row>
    <row r="512" spans="1:6" x14ac:dyDescent="0.25">
      <c r="A512" s="124">
        <v>43998</v>
      </c>
      <c r="B512" s="34"/>
      <c r="C512" s="34" t="s">
        <v>6566</v>
      </c>
      <c r="D512" s="8">
        <v>13000</v>
      </c>
      <c r="E512" s="8"/>
      <c r="F512" s="133">
        <f t="shared" si="17"/>
        <v>5857176</v>
      </c>
    </row>
    <row r="513" spans="1:6" x14ac:dyDescent="0.25">
      <c r="A513" s="124">
        <v>44000</v>
      </c>
      <c r="B513" s="34"/>
      <c r="C513" s="72" t="s">
        <v>6533</v>
      </c>
      <c r="D513" s="8">
        <v>200000</v>
      </c>
      <c r="E513" s="8"/>
      <c r="F513" s="133">
        <f t="shared" si="17"/>
        <v>5657176</v>
      </c>
    </row>
    <row r="514" spans="1:6" x14ac:dyDescent="0.25">
      <c r="A514" s="124">
        <v>44000</v>
      </c>
      <c r="B514" s="34"/>
      <c r="C514" s="72" t="s">
        <v>6584</v>
      </c>
      <c r="D514" s="8">
        <v>10000</v>
      </c>
      <c r="E514" s="8"/>
      <c r="F514" s="133">
        <f t="shared" si="17"/>
        <v>5647176</v>
      </c>
    </row>
    <row r="515" spans="1:6" x14ac:dyDescent="0.25">
      <c r="A515" s="124">
        <v>44002</v>
      </c>
      <c r="B515" s="34"/>
      <c r="C515" s="52" t="s">
        <v>6585</v>
      </c>
      <c r="D515" s="8">
        <v>10000</v>
      </c>
      <c r="E515" s="8"/>
      <c r="F515" s="133">
        <f t="shared" si="17"/>
        <v>5637176</v>
      </c>
    </row>
    <row r="516" spans="1:6" x14ac:dyDescent="0.25">
      <c r="A516" s="124">
        <v>44006</v>
      </c>
      <c r="B516" s="34"/>
      <c r="C516" s="34" t="s">
        <v>6330</v>
      </c>
      <c r="D516" s="8">
        <v>100000</v>
      </c>
      <c r="E516" s="8"/>
      <c r="F516" s="133">
        <f t="shared" si="17"/>
        <v>5537176</v>
      </c>
    </row>
    <row r="517" spans="1:6" x14ac:dyDescent="0.25">
      <c r="A517" s="124">
        <v>44008</v>
      </c>
      <c r="B517" s="34"/>
      <c r="C517" s="34" t="s">
        <v>6605</v>
      </c>
      <c r="D517" s="8"/>
      <c r="E517" s="8">
        <v>500000</v>
      </c>
      <c r="F517" s="133">
        <f t="shared" ref="F517:F577" si="18">F516-D517+E517</f>
        <v>6037176</v>
      </c>
    </row>
    <row r="518" spans="1:6" x14ac:dyDescent="0.25">
      <c r="A518" s="124">
        <v>44008</v>
      </c>
      <c r="B518" s="34"/>
      <c r="C518" s="34" t="s">
        <v>6605</v>
      </c>
      <c r="D518" s="8"/>
      <c r="E518" s="8">
        <v>500000</v>
      </c>
      <c r="F518" s="133">
        <f t="shared" si="18"/>
        <v>6537176</v>
      </c>
    </row>
    <row r="519" spans="1:6" x14ac:dyDescent="0.25">
      <c r="A519" s="124">
        <v>44008</v>
      </c>
      <c r="B519" s="34"/>
      <c r="C519" s="72" t="s">
        <v>6533</v>
      </c>
      <c r="D519" s="8">
        <v>200000</v>
      </c>
      <c r="E519" s="8"/>
      <c r="F519" s="133">
        <f t="shared" si="18"/>
        <v>6337176</v>
      </c>
    </row>
    <row r="520" spans="1:6" x14ac:dyDescent="0.25">
      <c r="A520" s="124">
        <v>44009</v>
      </c>
      <c r="B520" s="34"/>
      <c r="C520" s="34" t="s">
        <v>6606</v>
      </c>
      <c r="D520" s="8">
        <v>16000</v>
      </c>
      <c r="E520" s="8"/>
      <c r="F520" s="133">
        <f t="shared" si="18"/>
        <v>6321176</v>
      </c>
    </row>
    <row r="521" spans="1:6" x14ac:dyDescent="0.25">
      <c r="A521" s="124">
        <v>44011</v>
      </c>
      <c r="B521" s="34"/>
      <c r="C521" s="34" t="s">
        <v>6610</v>
      </c>
      <c r="D521" s="8">
        <v>130000</v>
      </c>
      <c r="E521" s="8"/>
      <c r="F521" s="133">
        <f t="shared" si="18"/>
        <v>6191176</v>
      </c>
    </row>
    <row r="522" spans="1:6" x14ac:dyDescent="0.25">
      <c r="A522" s="124">
        <v>44011</v>
      </c>
      <c r="B522" s="34"/>
      <c r="C522" s="34" t="s">
        <v>6611</v>
      </c>
      <c r="D522" s="8">
        <v>40000</v>
      </c>
      <c r="E522" s="8"/>
      <c r="F522" s="133">
        <f t="shared" si="18"/>
        <v>6151176</v>
      </c>
    </row>
    <row r="523" spans="1:6" x14ac:dyDescent="0.25">
      <c r="A523" s="124">
        <v>44011</v>
      </c>
      <c r="B523" s="34"/>
      <c r="C523" s="72" t="s">
        <v>6612</v>
      </c>
      <c r="D523" s="8">
        <v>100000</v>
      </c>
      <c r="E523" s="8"/>
      <c r="F523" s="133">
        <f t="shared" si="18"/>
        <v>6051176</v>
      </c>
    </row>
    <row r="524" spans="1:6" x14ac:dyDescent="0.25">
      <c r="A524" s="124">
        <v>44015</v>
      </c>
      <c r="B524" s="34"/>
      <c r="C524" s="52" t="s">
        <v>6634</v>
      </c>
      <c r="D524" s="8">
        <v>35000</v>
      </c>
      <c r="E524" s="8"/>
      <c r="F524" s="133">
        <f t="shared" si="18"/>
        <v>6016176</v>
      </c>
    </row>
    <row r="525" spans="1:6" x14ac:dyDescent="0.25">
      <c r="A525" s="124">
        <v>44015</v>
      </c>
      <c r="B525" s="34"/>
      <c r="C525" s="52" t="s">
        <v>5150</v>
      </c>
      <c r="D525" s="8">
        <v>8000</v>
      </c>
      <c r="E525" s="8"/>
      <c r="F525" s="133">
        <f t="shared" si="18"/>
        <v>6008176</v>
      </c>
    </row>
    <row r="526" spans="1:6" x14ac:dyDescent="0.25">
      <c r="A526" s="124">
        <v>44015</v>
      </c>
      <c r="B526" s="34"/>
      <c r="C526" s="72" t="s">
        <v>6638</v>
      </c>
      <c r="D526" s="8">
        <v>95000</v>
      </c>
      <c r="E526" s="8"/>
      <c r="F526" s="133">
        <f t="shared" si="18"/>
        <v>5913176</v>
      </c>
    </row>
    <row r="527" spans="1:6" x14ac:dyDescent="0.25">
      <c r="A527" s="124">
        <v>44018</v>
      </c>
      <c r="B527" s="34"/>
      <c r="C527" s="34" t="s">
        <v>6605</v>
      </c>
      <c r="D527" s="8"/>
      <c r="E527" s="8">
        <v>700000</v>
      </c>
      <c r="F527" s="133">
        <f t="shared" si="18"/>
        <v>6613176</v>
      </c>
    </row>
    <row r="528" spans="1:6" x14ac:dyDescent="0.25">
      <c r="A528" s="124">
        <v>44018</v>
      </c>
      <c r="B528" s="34"/>
      <c r="C528" s="72" t="s">
        <v>6643</v>
      </c>
      <c r="D528" s="8">
        <v>200000</v>
      </c>
      <c r="E528" s="8"/>
      <c r="F528" s="133">
        <f t="shared" si="18"/>
        <v>6413176</v>
      </c>
    </row>
    <row r="529" spans="1:6" x14ac:dyDescent="0.25">
      <c r="A529" s="124">
        <v>44020</v>
      </c>
      <c r="B529" s="34"/>
      <c r="C529" s="72" t="s">
        <v>6644</v>
      </c>
      <c r="D529" s="8">
        <v>400000</v>
      </c>
      <c r="E529" s="8"/>
      <c r="F529" s="133">
        <f t="shared" si="18"/>
        <v>6013176</v>
      </c>
    </row>
    <row r="530" spans="1:6" x14ac:dyDescent="0.25">
      <c r="A530" s="124">
        <v>44021</v>
      </c>
      <c r="B530" s="34"/>
      <c r="C530" s="72" t="s">
        <v>6650</v>
      </c>
      <c r="D530" s="8">
        <v>37130</v>
      </c>
      <c r="E530" s="8"/>
      <c r="F530" s="133">
        <f t="shared" si="18"/>
        <v>5976046</v>
      </c>
    </row>
    <row r="531" spans="1:6" x14ac:dyDescent="0.25">
      <c r="A531" s="124">
        <v>44021</v>
      </c>
      <c r="B531" s="34"/>
      <c r="C531" s="72" t="s">
        <v>6651</v>
      </c>
      <c r="D531" s="8">
        <v>60000</v>
      </c>
      <c r="E531" s="8"/>
      <c r="F531" s="133">
        <f t="shared" si="18"/>
        <v>5916046</v>
      </c>
    </row>
    <row r="532" spans="1:6" ht="30" x14ac:dyDescent="0.25">
      <c r="A532" s="124">
        <v>44021</v>
      </c>
      <c r="B532" s="34"/>
      <c r="C532" s="72" t="s">
        <v>6652</v>
      </c>
      <c r="D532" s="8">
        <v>4500</v>
      </c>
      <c r="E532" s="8"/>
      <c r="F532" s="133">
        <f t="shared" si="18"/>
        <v>5911546</v>
      </c>
    </row>
    <row r="533" spans="1:6" x14ac:dyDescent="0.25">
      <c r="A533" s="124">
        <v>44022</v>
      </c>
      <c r="B533" s="34"/>
      <c r="C533" s="34" t="s">
        <v>5303</v>
      </c>
      <c r="D533" s="8">
        <v>45000</v>
      </c>
      <c r="E533" s="8"/>
      <c r="F533" s="133">
        <f t="shared" si="18"/>
        <v>5866546</v>
      </c>
    </row>
    <row r="534" spans="1:6" x14ac:dyDescent="0.25">
      <c r="A534" s="124">
        <v>44025</v>
      </c>
      <c r="B534" s="34"/>
      <c r="C534" s="72" t="s">
        <v>6670</v>
      </c>
      <c r="D534" s="8"/>
      <c r="E534" s="8">
        <v>1000000</v>
      </c>
      <c r="F534" s="133">
        <f t="shared" si="18"/>
        <v>6866546</v>
      </c>
    </row>
    <row r="535" spans="1:6" ht="30" x14ac:dyDescent="0.25">
      <c r="A535" s="124">
        <v>44026</v>
      </c>
      <c r="B535" s="34"/>
      <c r="C535" s="70" t="s">
        <v>6672</v>
      </c>
      <c r="D535" s="8">
        <v>200000</v>
      </c>
      <c r="E535" s="8"/>
      <c r="F535" s="133">
        <f t="shared" si="18"/>
        <v>6666546</v>
      </c>
    </row>
    <row r="536" spans="1:6" x14ac:dyDescent="0.25">
      <c r="A536" s="124">
        <v>44028</v>
      </c>
      <c r="B536" s="34"/>
      <c r="C536" s="72" t="s">
        <v>5303</v>
      </c>
      <c r="D536" s="8">
        <v>148000</v>
      </c>
      <c r="E536" s="8"/>
      <c r="F536" s="133">
        <f t="shared" si="18"/>
        <v>6518546</v>
      </c>
    </row>
    <row r="537" spans="1:6" ht="30" x14ac:dyDescent="0.25">
      <c r="A537" s="124">
        <v>44033</v>
      </c>
      <c r="B537" s="34"/>
      <c r="C537" s="70" t="s">
        <v>6672</v>
      </c>
      <c r="D537" s="8">
        <v>200000</v>
      </c>
      <c r="E537" s="8"/>
      <c r="F537" s="133">
        <f t="shared" si="18"/>
        <v>6318546</v>
      </c>
    </row>
    <row r="538" spans="1:6" ht="30" x14ac:dyDescent="0.25">
      <c r="A538" s="124">
        <v>44039</v>
      </c>
      <c r="B538" s="34"/>
      <c r="C538" s="70" t="s">
        <v>6672</v>
      </c>
      <c r="D538" s="8">
        <v>300000</v>
      </c>
      <c r="E538" s="8"/>
      <c r="F538" s="133">
        <f t="shared" si="18"/>
        <v>6018546</v>
      </c>
    </row>
    <row r="539" spans="1:6" x14ac:dyDescent="0.25">
      <c r="A539" s="124">
        <v>44039</v>
      </c>
      <c r="B539" s="34"/>
      <c r="C539" s="72" t="s">
        <v>6732</v>
      </c>
      <c r="D539" s="8"/>
      <c r="E539" s="8">
        <v>13500</v>
      </c>
      <c r="F539" s="133">
        <f t="shared" si="18"/>
        <v>6032046</v>
      </c>
    </row>
    <row r="540" spans="1:6" ht="30" x14ac:dyDescent="0.25">
      <c r="A540" s="124">
        <v>44042</v>
      </c>
      <c r="B540" s="34"/>
      <c r="C540" s="70" t="s">
        <v>6672</v>
      </c>
      <c r="D540" s="8">
        <v>300000</v>
      </c>
      <c r="E540" s="8"/>
      <c r="F540" s="133">
        <f t="shared" si="18"/>
        <v>5732046</v>
      </c>
    </row>
    <row r="541" spans="1:6" x14ac:dyDescent="0.25">
      <c r="A541" s="124">
        <v>44044</v>
      </c>
      <c r="B541" s="34"/>
      <c r="C541" s="72" t="s">
        <v>6330</v>
      </c>
      <c r="D541" s="8">
        <v>40000</v>
      </c>
      <c r="E541" s="8"/>
      <c r="F541" s="133">
        <f t="shared" si="18"/>
        <v>5692046</v>
      </c>
    </row>
    <row r="542" spans="1:6" x14ac:dyDescent="0.25">
      <c r="A542" s="124">
        <v>44047</v>
      </c>
      <c r="B542" s="34"/>
      <c r="C542" s="70" t="s">
        <v>6754</v>
      </c>
      <c r="D542" s="8">
        <v>70000</v>
      </c>
      <c r="E542" s="8"/>
      <c r="F542" s="133">
        <f t="shared" si="18"/>
        <v>5622046</v>
      </c>
    </row>
    <row r="543" spans="1:6" x14ac:dyDescent="0.25">
      <c r="A543" s="124">
        <v>44050</v>
      </c>
      <c r="B543" s="34"/>
      <c r="C543" s="72" t="s">
        <v>6763</v>
      </c>
      <c r="D543" s="8">
        <v>37668</v>
      </c>
      <c r="E543" s="8"/>
      <c r="F543" s="133">
        <f t="shared" si="18"/>
        <v>5584378</v>
      </c>
    </row>
    <row r="544" spans="1:6" ht="30" x14ac:dyDescent="0.25">
      <c r="A544" s="124">
        <v>44050</v>
      </c>
      <c r="B544" s="34"/>
      <c r="C544" s="72" t="s">
        <v>6764</v>
      </c>
      <c r="D544" s="8">
        <v>60000</v>
      </c>
      <c r="E544" s="8"/>
      <c r="F544" s="133">
        <f t="shared" si="18"/>
        <v>5524378</v>
      </c>
    </row>
    <row r="545" spans="1:6" x14ac:dyDescent="0.25">
      <c r="A545" s="124">
        <v>44050</v>
      </c>
      <c r="B545" s="34"/>
      <c r="C545" s="72" t="s">
        <v>6765</v>
      </c>
      <c r="D545" s="8">
        <v>10500</v>
      </c>
      <c r="E545" s="8"/>
      <c r="F545" s="133">
        <f t="shared" si="18"/>
        <v>5513878</v>
      </c>
    </row>
    <row r="546" spans="1:6" x14ac:dyDescent="0.25">
      <c r="A546" s="124">
        <v>44053</v>
      </c>
      <c r="B546" s="34"/>
      <c r="C546" s="72" t="s">
        <v>6766</v>
      </c>
      <c r="D546" s="8">
        <v>1000</v>
      </c>
      <c r="E546" s="8"/>
      <c r="F546" s="133">
        <f t="shared" si="18"/>
        <v>5512878</v>
      </c>
    </row>
    <row r="547" spans="1:6" x14ac:dyDescent="0.25">
      <c r="A547" s="124">
        <v>44053</v>
      </c>
      <c r="B547" s="34"/>
      <c r="C547" s="72" t="s">
        <v>6767</v>
      </c>
      <c r="D547" s="8">
        <v>13000</v>
      </c>
      <c r="E547" s="8"/>
      <c r="F547" s="133">
        <f t="shared" si="18"/>
        <v>5499878</v>
      </c>
    </row>
    <row r="548" spans="1:6" ht="30" x14ac:dyDescent="0.25">
      <c r="A548" s="124">
        <v>44054</v>
      </c>
      <c r="B548" s="34"/>
      <c r="C548" s="70" t="s">
        <v>6672</v>
      </c>
      <c r="D548" s="8">
        <v>400000</v>
      </c>
      <c r="E548" s="8"/>
      <c r="F548" s="133">
        <f t="shared" si="18"/>
        <v>5099878</v>
      </c>
    </row>
    <row r="549" spans="1:6" x14ac:dyDescent="0.25">
      <c r="A549" s="124">
        <v>44055</v>
      </c>
      <c r="B549" s="34"/>
      <c r="C549" s="72" t="s">
        <v>6776</v>
      </c>
      <c r="D549" s="8">
        <v>20000</v>
      </c>
      <c r="E549" s="8"/>
      <c r="F549" s="133">
        <f t="shared" si="18"/>
        <v>5079878</v>
      </c>
    </row>
    <row r="550" spans="1:6" ht="45" x14ac:dyDescent="0.25">
      <c r="A550" s="124">
        <v>44056</v>
      </c>
      <c r="B550" s="34"/>
      <c r="C550" s="72" t="s">
        <v>6783</v>
      </c>
      <c r="D550" s="8">
        <v>500000</v>
      </c>
      <c r="E550" s="8"/>
      <c r="F550" s="133">
        <f t="shared" si="18"/>
        <v>4579878</v>
      </c>
    </row>
    <row r="551" spans="1:6" ht="30" x14ac:dyDescent="0.25">
      <c r="A551" s="124">
        <v>44060</v>
      </c>
      <c r="B551" s="34"/>
      <c r="C551" s="72" t="s">
        <v>6790</v>
      </c>
      <c r="D551" s="8">
        <v>900000</v>
      </c>
      <c r="E551" s="8"/>
      <c r="F551" s="133">
        <f t="shared" si="18"/>
        <v>3679878</v>
      </c>
    </row>
    <row r="552" spans="1:6" ht="30" x14ac:dyDescent="0.25">
      <c r="A552" s="124">
        <v>44064</v>
      </c>
      <c r="B552" s="34"/>
      <c r="C552" s="70" t="s">
        <v>6672</v>
      </c>
      <c r="D552" s="8">
        <v>100000</v>
      </c>
      <c r="E552" s="8"/>
      <c r="F552" s="133">
        <f t="shared" si="18"/>
        <v>3579878</v>
      </c>
    </row>
    <row r="553" spans="1:6" x14ac:dyDescent="0.25">
      <c r="A553" s="124">
        <v>44074</v>
      </c>
      <c r="B553" s="34"/>
      <c r="C553" s="72" t="s">
        <v>5303</v>
      </c>
      <c r="D553" s="8">
        <v>500000</v>
      </c>
      <c r="E553" s="8"/>
      <c r="F553" s="133">
        <f t="shared" si="18"/>
        <v>3079878</v>
      </c>
    </row>
    <row r="554" spans="1:6" x14ac:dyDescent="0.25">
      <c r="A554" s="124">
        <v>44074</v>
      </c>
      <c r="B554" s="34"/>
      <c r="C554" s="72" t="s">
        <v>6815</v>
      </c>
      <c r="D554" s="8"/>
      <c r="E554" s="8">
        <v>25000</v>
      </c>
      <c r="F554" s="133">
        <f t="shared" si="18"/>
        <v>3104878</v>
      </c>
    </row>
    <row r="555" spans="1:6" x14ac:dyDescent="0.25">
      <c r="A555" s="124">
        <v>44078</v>
      </c>
      <c r="B555" s="34"/>
      <c r="C555" s="72" t="s">
        <v>6872</v>
      </c>
      <c r="D555" s="8"/>
      <c r="E555" s="8">
        <v>50000</v>
      </c>
      <c r="F555" s="133">
        <f t="shared" si="18"/>
        <v>3154878</v>
      </c>
    </row>
    <row r="556" spans="1:6" x14ac:dyDescent="0.25">
      <c r="A556" s="124">
        <v>44081</v>
      </c>
      <c r="B556" s="34"/>
      <c r="C556" s="72" t="s">
        <v>6873</v>
      </c>
      <c r="D556" s="8">
        <v>60000</v>
      </c>
      <c r="E556" s="8"/>
      <c r="F556" s="133">
        <f t="shared" si="18"/>
        <v>3094878</v>
      </c>
    </row>
    <row r="557" spans="1:6" ht="30" x14ac:dyDescent="0.25">
      <c r="A557" s="124">
        <v>44083</v>
      </c>
      <c r="B557" s="34"/>
      <c r="C557" s="72" t="s">
        <v>6874</v>
      </c>
      <c r="D557" s="8"/>
      <c r="E557" s="8">
        <v>100000</v>
      </c>
      <c r="F557" s="133">
        <f t="shared" si="18"/>
        <v>3194878</v>
      </c>
    </row>
    <row r="558" spans="1:6" ht="30" x14ac:dyDescent="0.25">
      <c r="A558" s="124">
        <v>44085</v>
      </c>
      <c r="B558" s="34"/>
      <c r="C558" s="72" t="s">
        <v>6891</v>
      </c>
      <c r="D558" s="8">
        <v>100000</v>
      </c>
      <c r="E558" s="8"/>
      <c r="F558" s="133">
        <f t="shared" si="18"/>
        <v>3094878</v>
      </c>
    </row>
    <row r="559" spans="1:6" x14ac:dyDescent="0.25">
      <c r="A559" s="124">
        <v>44085</v>
      </c>
      <c r="B559" s="34"/>
      <c r="C559" s="270" t="s">
        <v>6903</v>
      </c>
      <c r="D559" s="8"/>
      <c r="E559" s="8">
        <v>2000000</v>
      </c>
      <c r="F559" s="133">
        <f t="shared" si="18"/>
        <v>5094878</v>
      </c>
    </row>
    <row r="560" spans="1:6" x14ac:dyDescent="0.25">
      <c r="A560" s="124">
        <v>44095</v>
      </c>
      <c r="B560" s="34"/>
      <c r="C560" s="276" t="s">
        <v>6933</v>
      </c>
      <c r="D560" s="277">
        <v>100000</v>
      </c>
      <c r="E560" s="8"/>
      <c r="F560" s="133">
        <f t="shared" si="18"/>
        <v>4994878</v>
      </c>
    </row>
    <row r="561" spans="1:6" x14ac:dyDescent="0.25">
      <c r="A561" s="124">
        <v>44095</v>
      </c>
      <c r="B561" s="34"/>
      <c r="C561" s="34" t="s">
        <v>6934</v>
      </c>
      <c r="D561" s="8">
        <v>50000</v>
      </c>
      <c r="E561" s="8"/>
      <c r="F561" s="133">
        <f t="shared" si="18"/>
        <v>4944878</v>
      </c>
    </row>
    <row r="562" spans="1:6" x14ac:dyDescent="0.25">
      <c r="A562" s="124">
        <v>44095</v>
      </c>
      <c r="B562" s="34"/>
      <c r="C562" s="34" t="s">
        <v>6934</v>
      </c>
      <c r="D562" s="8">
        <v>25000</v>
      </c>
      <c r="E562" s="8"/>
      <c r="F562" s="133">
        <f t="shared" si="18"/>
        <v>4919878</v>
      </c>
    </row>
    <row r="563" spans="1:6" x14ac:dyDescent="0.25">
      <c r="A563" s="124">
        <v>44095</v>
      </c>
      <c r="B563" s="34"/>
      <c r="C563" s="34" t="s">
        <v>6934</v>
      </c>
      <c r="D563" s="8">
        <v>10000</v>
      </c>
      <c r="E563" s="8"/>
      <c r="F563" s="133">
        <f t="shared" si="18"/>
        <v>4909878</v>
      </c>
    </row>
    <row r="564" spans="1:6" x14ac:dyDescent="0.25">
      <c r="A564" s="124">
        <v>44095</v>
      </c>
      <c r="B564" s="34"/>
      <c r="C564" s="52" t="s">
        <v>6935</v>
      </c>
      <c r="D564" s="8">
        <v>30000</v>
      </c>
      <c r="E564" s="8"/>
      <c r="F564" s="133">
        <f t="shared" si="18"/>
        <v>4879878</v>
      </c>
    </row>
    <row r="565" spans="1:6" x14ac:dyDescent="0.25">
      <c r="A565" s="124">
        <v>44096</v>
      </c>
      <c r="B565" s="34"/>
      <c r="C565" s="52" t="s">
        <v>6941</v>
      </c>
      <c r="D565" s="8">
        <v>15000</v>
      </c>
      <c r="E565" s="8"/>
      <c r="F565" s="133">
        <f t="shared" si="18"/>
        <v>4864878</v>
      </c>
    </row>
    <row r="566" spans="1:6" x14ac:dyDescent="0.25">
      <c r="A566" s="124">
        <v>44096</v>
      </c>
      <c r="B566" s="34"/>
      <c r="C566" s="52" t="s">
        <v>5220</v>
      </c>
      <c r="D566" s="8">
        <v>150000</v>
      </c>
      <c r="E566" s="8"/>
      <c r="F566" s="133">
        <f t="shared" si="18"/>
        <v>4714878</v>
      </c>
    </row>
    <row r="567" spans="1:6" x14ac:dyDescent="0.25">
      <c r="A567" s="124">
        <v>44098</v>
      </c>
      <c r="B567" s="34"/>
      <c r="C567" s="138" t="s">
        <v>6953</v>
      </c>
      <c r="D567" s="139">
        <v>25000</v>
      </c>
      <c r="E567" s="8"/>
      <c r="F567" s="133">
        <f t="shared" si="18"/>
        <v>4689878</v>
      </c>
    </row>
    <row r="568" spans="1:6" x14ac:dyDescent="0.25">
      <c r="A568" s="124">
        <v>44098</v>
      </c>
      <c r="B568" s="34"/>
      <c r="C568" s="138" t="s">
        <v>6954</v>
      </c>
      <c r="D568" s="139">
        <v>5000</v>
      </c>
      <c r="E568" s="8"/>
      <c r="F568" s="133">
        <f t="shared" si="18"/>
        <v>4684878</v>
      </c>
    </row>
    <row r="569" spans="1:6" ht="30" x14ac:dyDescent="0.25">
      <c r="A569" s="124">
        <v>44098</v>
      </c>
      <c r="B569" s="34"/>
      <c r="C569" s="279" t="s">
        <v>6962</v>
      </c>
      <c r="D569" s="139">
        <v>5000</v>
      </c>
      <c r="E569" s="8"/>
      <c r="F569" s="133">
        <f t="shared" si="18"/>
        <v>4679878</v>
      </c>
    </row>
    <row r="570" spans="1:6" x14ac:dyDescent="0.25">
      <c r="A570" s="124">
        <v>44098</v>
      </c>
      <c r="B570" s="34"/>
      <c r="C570" s="52" t="s">
        <v>6955</v>
      </c>
      <c r="D570" s="8">
        <v>34750</v>
      </c>
      <c r="E570" s="8"/>
      <c r="F570" s="133">
        <f t="shared" si="18"/>
        <v>4645128</v>
      </c>
    </row>
    <row r="571" spans="1:6" x14ac:dyDescent="0.25">
      <c r="A571" s="124">
        <v>44099</v>
      </c>
      <c r="B571" s="34"/>
      <c r="C571" s="34" t="s">
        <v>6503</v>
      </c>
      <c r="D571" s="8">
        <v>100000</v>
      </c>
      <c r="E571" s="8"/>
      <c r="F571" s="133">
        <f t="shared" si="18"/>
        <v>4545128</v>
      </c>
    </row>
    <row r="572" spans="1:6" x14ac:dyDescent="0.25">
      <c r="A572" s="124">
        <v>44099</v>
      </c>
      <c r="B572" s="34"/>
      <c r="C572" s="34" t="s">
        <v>6965</v>
      </c>
      <c r="D572" s="8">
        <v>13200</v>
      </c>
      <c r="E572" s="8"/>
      <c r="F572" s="133">
        <f t="shared" si="18"/>
        <v>4531928</v>
      </c>
    </row>
    <row r="573" spans="1:6" x14ac:dyDescent="0.25">
      <c r="A573" s="124">
        <v>44099</v>
      </c>
      <c r="B573" s="34"/>
      <c r="C573" s="34" t="s">
        <v>6966</v>
      </c>
      <c r="D573" s="8">
        <v>20000</v>
      </c>
      <c r="E573" s="8"/>
      <c r="F573" s="133">
        <f t="shared" si="18"/>
        <v>4511928</v>
      </c>
    </row>
    <row r="574" spans="1:6" x14ac:dyDescent="0.25">
      <c r="A574" s="124">
        <v>44099</v>
      </c>
      <c r="B574" s="34"/>
      <c r="C574" s="34" t="s">
        <v>5870</v>
      </c>
      <c r="D574" s="8">
        <v>5000</v>
      </c>
      <c r="E574" s="8"/>
      <c r="F574" s="133">
        <f t="shared" si="18"/>
        <v>4506928</v>
      </c>
    </row>
    <row r="575" spans="1:6" x14ac:dyDescent="0.25">
      <c r="A575" s="124">
        <v>44099</v>
      </c>
      <c r="B575" s="34"/>
      <c r="C575" s="34" t="s">
        <v>6970</v>
      </c>
      <c r="D575" s="8">
        <v>25000</v>
      </c>
      <c r="E575" s="8"/>
      <c r="F575" s="133">
        <f t="shared" si="18"/>
        <v>4481928</v>
      </c>
    </row>
    <row r="576" spans="1:6" x14ac:dyDescent="0.25">
      <c r="A576" s="124">
        <v>44102</v>
      </c>
      <c r="B576" s="34"/>
      <c r="C576" s="34" t="s">
        <v>6978</v>
      </c>
      <c r="D576" s="8">
        <v>5660</v>
      </c>
      <c r="E576" s="8"/>
      <c r="F576" s="133">
        <f t="shared" si="18"/>
        <v>4476268</v>
      </c>
    </row>
    <row r="577" spans="1:6" x14ac:dyDescent="0.25">
      <c r="A577" s="124">
        <v>44102</v>
      </c>
      <c r="B577" s="34"/>
      <c r="C577" s="34" t="s">
        <v>6979</v>
      </c>
      <c r="D577" s="8"/>
      <c r="E577" s="8">
        <v>100000</v>
      </c>
      <c r="F577" s="133">
        <f t="shared" si="18"/>
        <v>4576268</v>
      </c>
    </row>
    <row r="578" spans="1:6" x14ac:dyDescent="0.25">
      <c r="A578" s="124">
        <v>44103</v>
      </c>
      <c r="B578" s="34"/>
      <c r="C578" s="52" t="s">
        <v>5220</v>
      </c>
      <c r="D578" s="8">
        <v>500000</v>
      </c>
      <c r="E578" s="8"/>
      <c r="F578" s="133">
        <f t="shared" ref="F578:F582" si="19">F577-D578+E578</f>
        <v>4076268</v>
      </c>
    </row>
    <row r="579" spans="1:6" x14ac:dyDescent="0.25">
      <c r="A579" s="124">
        <v>44103</v>
      </c>
      <c r="B579" s="34"/>
      <c r="C579" s="34" t="s">
        <v>6992</v>
      </c>
      <c r="D579" s="8"/>
      <c r="E579" s="8">
        <v>10000</v>
      </c>
      <c r="F579" s="133">
        <f t="shared" si="19"/>
        <v>4086268</v>
      </c>
    </row>
    <row r="580" spans="1:6" x14ac:dyDescent="0.25">
      <c r="A580" s="124">
        <v>44105</v>
      </c>
      <c r="B580" s="34"/>
      <c r="C580" s="34" t="s">
        <v>4911</v>
      </c>
      <c r="D580" s="8">
        <v>50000</v>
      </c>
      <c r="E580" s="8"/>
      <c r="F580" s="133">
        <f t="shared" si="19"/>
        <v>4036268</v>
      </c>
    </row>
    <row r="581" spans="1:6" x14ac:dyDescent="0.25">
      <c r="A581" s="124">
        <v>44106</v>
      </c>
      <c r="B581" s="34"/>
      <c r="C581" s="34" t="s">
        <v>7010</v>
      </c>
      <c r="D581" s="8">
        <v>10000</v>
      </c>
      <c r="E581" s="8"/>
      <c r="F581" s="133">
        <f t="shared" si="19"/>
        <v>4026268</v>
      </c>
    </row>
    <row r="582" spans="1:6" x14ac:dyDescent="0.25">
      <c r="A582" s="124">
        <v>44106</v>
      </c>
      <c r="B582" s="34"/>
      <c r="C582" s="34" t="s">
        <v>7011</v>
      </c>
      <c r="D582" s="8"/>
      <c r="E582" s="8">
        <v>1020</v>
      </c>
      <c r="F582" s="133">
        <f t="shared" si="19"/>
        <v>4027288</v>
      </c>
    </row>
    <row r="583" spans="1:6" x14ac:dyDescent="0.25">
      <c r="A583" s="124">
        <v>44110</v>
      </c>
      <c r="B583" s="34"/>
      <c r="C583" s="34" t="s">
        <v>4911</v>
      </c>
      <c r="D583" s="8">
        <v>400000</v>
      </c>
      <c r="E583" s="8"/>
      <c r="F583" s="133">
        <f t="shared" ref="F583:F586" si="20">F582-D583+E583</f>
        <v>3627288</v>
      </c>
    </row>
    <row r="584" spans="1:6" x14ac:dyDescent="0.25">
      <c r="A584" s="124">
        <v>44112</v>
      </c>
      <c r="B584" s="34"/>
      <c r="C584" s="34" t="s">
        <v>4911</v>
      </c>
      <c r="D584" s="8">
        <v>299000</v>
      </c>
      <c r="E584" s="8"/>
      <c r="F584" s="133">
        <f t="shared" si="20"/>
        <v>3328288</v>
      </c>
    </row>
    <row r="585" spans="1:6" x14ac:dyDescent="0.25">
      <c r="A585" s="124">
        <v>44112</v>
      </c>
      <c r="B585" s="34"/>
      <c r="C585" s="34" t="s">
        <v>4911</v>
      </c>
      <c r="D585" s="8">
        <v>500000</v>
      </c>
      <c r="E585" s="8"/>
      <c r="F585" s="133">
        <f t="shared" si="20"/>
        <v>2828288</v>
      </c>
    </row>
    <row r="586" spans="1:6" x14ac:dyDescent="0.25">
      <c r="A586" s="124">
        <v>44112</v>
      </c>
      <c r="B586" s="34"/>
      <c r="C586" s="52" t="s">
        <v>7040</v>
      </c>
      <c r="D586" s="8"/>
      <c r="E586" s="8">
        <v>680</v>
      </c>
      <c r="F586" s="133">
        <f t="shared" si="20"/>
        <v>2828968</v>
      </c>
    </row>
    <row r="587" spans="1:6" x14ac:dyDescent="0.25">
      <c r="A587" s="124">
        <v>44114</v>
      </c>
      <c r="B587" s="34"/>
      <c r="C587" s="34" t="s">
        <v>4911</v>
      </c>
      <c r="D587" s="8">
        <v>200000</v>
      </c>
      <c r="E587" s="8"/>
      <c r="F587" s="133">
        <f t="shared" ref="F587:F629" si="21">F586-D587+E587</f>
        <v>2628968</v>
      </c>
    </row>
    <row r="588" spans="1:6" x14ac:dyDescent="0.25">
      <c r="A588" s="124">
        <v>44116</v>
      </c>
      <c r="B588" s="34"/>
      <c r="C588" s="34" t="s">
        <v>295</v>
      </c>
      <c r="D588" s="8"/>
      <c r="E588" s="8">
        <v>20000</v>
      </c>
      <c r="F588" s="133">
        <f t="shared" si="21"/>
        <v>2648968</v>
      </c>
    </row>
    <row r="589" spans="1:6" x14ac:dyDescent="0.25">
      <c r="A589" s="124">
        <v>44116</v>
      </c>
      <c r="B589" s="34"/>
      <c r="C589" s="34" t="s">
        <v>7096</v>
      </c>
      <c r="D589" s="8">
        <v>60000</v>
      </c>
      <c r="E589" s="8"/>
      <c r="F589" s="133">
        <f t="shared" si="21"/>
        <v>2588968</v>
      </c>
    </row>
    <row r="590" spans="1:6" x14ac:dyDescent="0.25">
      <c r="A590" s="124">
        <v>44131</v>
      </c>
      <c r="B590" s="34"/>
      <c r="C590" s="34" t="s">
        <v>4911</v>
      </c>
      <c r="D590" s="8">
        <v>100000</v>
      </c>
      <c r="E590" s="8"/>
      <c r="F590" s="133">
        <f t="shared" si="21"/>
        <v>2488968</v>
      </c>
    </row>
    <row r="591" spans="1:6" x14ac:dyDescent="0.25">
      <c r="A591" s="124">
        <v>44137</v>
      </c>
      <c r="B591" s="34"/>
      <c r="C591" s="34" t="s">
        <v>4911</v>
      </c>
      <c r="D591" s="8">
        <v>100000</v>
      </c>
      <c r="E591" s="8"/>
      <c r="F591" s="133">
        <f t="shared" si="21"/>
        <v>2388968</v>
      </c>
    </row>
    <row r="592" spans="1:6" x14ac:dyDescent="0.25">
      <c r="A592" s="124">
        <v>44140</v>
      </c>
      <c r="B592" s="34"/>
      <c r="C592" s="52" t="s">
        <v>6503</v>
      </c>
      <c r="D592" s="8">
        <v>15000</v>
      </c>
      <c r="E592" s="8"/>
      <c r="F592" s="133">
        <f t="shared" si="21"/>
        <v>2373968</v>
      </c>
    </row>
    <row r="593" spans="1:6" x14ac:dyDescent="0.25">
      <c r="A593" s="124">
        <v>44140</v>
      </c>
      <c r="B593" s="34"/>
      <c r="C593" s="52" t="s">
        <v>7182</v>
      </c>
      <c r="D593" s="8">
        <v>60000</v>
      </c>
      <c r="E593" s="8"/>
      <c r="F593" s="133">
        <f t="shared" si="21"/>
        <v>2313968</v>
      </c>
    </row>
    <row r="594" spans="1:6" x14ac:dyDescent="0.25">
      <c r="A594" s="124">
        <v>44142</v>
      </c>
      <c r="B594" s="34"/>
      <c r="C594" s="52" t="s">
        <v>7187</v>
      </c>
      <c r="D594" s="8">
        <v>400000</v>
      </c>
      <c r="E594" s="8"/>
      <c r="F594" s="133">
        <f t="shared" si="21"/>
        <v>1913968</v>
      </c>
    </row>
    <row r="595" spans="1:6" x14ac:dyDescent="0.25">
      <c r="A595" s="124">
        <v>44145</v>
      </c>
      <c r="B595" s="34"/>
      <c r="C595" s="34" t="s">
        <v>7192</v>
      </c>
      <c r="D595" s="8">
        <v>30500</v>
      </c>
      <c r="E595" s="8"/>
      <c r="F595" s="133">
        <f t="shared" si="21"/>
        <v>1883468</v>
      </c>
    </row>
    <row r="596" spans="1:6" x14ac:dyDescent="0.25">
      <c r="A596" s="124">
        <v>44145</v>
      </c>
      <c r="B596" s="34"/>
      <c r="C596" s="34" t="s">
        <v>7193</v>
      </c>
      <c r="D596" s="8">
        <v>2000</v>
      </c>
      <c r="E596" s="8"/>
      <c r="F596" s="133">
        <f t="shared" si="21"/>
        <v>1881468</v>
      </c>
    </row>
    <row r="597" spans="1:6" x14ac:dyDescent="0.25">
      <c r="A597" s="124">
        <v>44145</v>
      </c>
      <c r="B597" s="34"/>
      <c r="C597" s="34" t="s">
        <v>7194</v>
      </c>
      <c r="D597" s="8">
        <v>20000</v>
      </c>
      <c r="E597" s="8"/>
      <c r="F597" s="133">
        <f t="shared" si="21"/>
        <v>1861468</v>
      </c>
    </row>
    <row r="598" spans="1:6" x14ac:dyDescent="0.25">
      <c r="A598" s="124">
        <v>44145</v>
      </c>
      <c r="B598" s="34"/>
      <c r="C598" s="52" t="s">
        <v>7195</v>
      </c>
      <c r="D598" s="8">
        <v>20000</v>
      </c>
      <c r="E598" s="8"/>
      <c r="F598" s="133">
        <f t="shared" si="21"/>
        <v>1841468</v>
      </c>
    </row>
    <row r="599" spans="1:6" x14ac:dyDescent="0.25">
      <c r="A599" s="124">
        <v>44145</v>
      </c>
      <c r="B599" s="34"/>
      <c r="C599" s="52" t="s">
        <v>7196</v>
      </c>
      <c r="D599" s="8">
        <v>16650</v>
      </c>
      <c r="E599" s="8"/>
      <c r="F599" s="133">
        <f t="shared" si="21"/>
        <v>1824818</v>
      </c>
    </row>
    <row r="600" spans="1:6" x14ac:dyDescent="0.25">
      <c r="A600" s="124">
        <v>44145</v>
      </c>
      <c r="B600" s="34"/>
      <c r="C600" s="52" t="s">
        <v>7197</v>
      </c>
      <c r="D600" s="8">
        <v>25000</v>
      </c>
      <c r="E600" s="8"/>
      <c r="F600" s="133">
        <f t="shared" si="21"/>
        <v>1799818</v>
      </c>
    </row>
    <row r="601" spans="1:6" x14ac:dyDescent="0.25">
      <c r="A601" s="124">
        <v>44145</v>
      </c>
      <c r="B601" s="34"/>
      <c r="C601" s="52" t="s">
        <v>7198</v>
      </c>
      <c r="D601" s="8">
        <v>20000</v>
      </c>
      <c r="E601" s="8"/>
      <c r="F601" s="133">
        <f t="shared" si="21"/>
        <v>1779818</v>
      </c>
    </row>
    <row r="602" spans="1:6" x14ac:dyDescent="0.25">
      <c r="A602" s="124">
        <v>44145</v>
      </c>
      <c r="B602" s="34"/>
      <c r="C602" s="52" t="s">
        <v>7199</v>
      </c>
      <c r="D602" s="8">
        <v>3000</v>
      </c>
      <c r="E602" s="8"/>
      <c r="F602" s="133">
        <f t="shared" si="21"/>
        <v>1776818</v>
      </c>
    </row>
    <row r="603" spans="1:6" x14ac:dyDescent="0.25">
      <c r="A603" s="124">
        <v>44152</v>
      </c>
      <c r="B603" s="34"/>
      <c r="C603" s="52" t="s">
        <v>7138</v>
      </c>
      <c r="D603" s="8">
        <v>3000</v>
      </c>
      <c r="E603" s="8"/>
      <c r="F603" s="133">
        <f t="shared" si="21"/>
        <v>1773818</v>
      </c>
    </row>
    <row r="604" spans="1:6" x14ac:dyDescent="0.25">
      <c r="A604" s="124">
        <v>44152</v>
      </c>
      <c r="B604" s="34"/>
      <c r="C604" s="52" t="s">
        <v>4911</v>
      </c>
      <c r="D604" s="8">
        <v>2500</v>
      </c>
      <c r="E604" s="8"/>
      <c r="F604" s="133">
        <f t="shared" si="21"/>
        <v>1771318</v>
      </c>
    </row>
    <row r="605" spans="1:6" x14ac:dyDescent="0.25">
      <c r="A605" s="124">
        <v>44152</v>
      </c>
      <c r="B605" s="34"/>
      <c r="C605" s="52" t="s">
        <v>4911</v>
      </c>
      <c r="D605" s="8">
        <v>80000</v>
      </c>
      <c r="E605" s="8"/>
      <c r="F605" s="133">
        <f t="shared" si="21"/>
        <v>1691318</v>
      </c>
    </row>
    <row r="606" spans="1:6" x14ac:dyDescent="0.25">
      <c r="A606" s="124">
        <v>44152</v>
      </c>
      <c r="B606" s="34"/>
      <c r="C606" s="52" t="s">
        <v>7203</v>
      </c>
      <c r="D606" s="8">
        <v>26000</v>
      </c>
      <c r="E606" s="8"/>
      <c r="F606" s="133">
        <f t="shared" si="21"/>
        <v>1665318</v>
      </c>
    </row>
    <row r="607" spans="1:6" x14ac:dyDescent="0.25">
      <c r="A607" s="124">
        <v>44152</v>
      </c>
      <c r="B607" s="34"/>
      <c r="C607" s="52" t="s">
        <v>7204</v>
      </c>
      <c r="D607" s="8">
        <v>16300</v>
      </c>
      <c r="E607" s="8"/>
      <c r="F607" s="133">
        <f t="shared" si="21"/>
        <v>1649018</v>
      </c>
    </row>
    <row r="608" spans="1:6" x14ac:dyDescent="0.25">
      <c r="A608" s="124">
        <v>44139</v>
      </c>
      <c r="B608" s="34"/>
      <c r="C608" s="52" t="s">
        <v>5870</v>
      </c>
      <c r="D608" s="8">
        <v>10000</v>
      </c>
      <c r="E608" s="8"/>
      <c r="F608" s="133">
        <f t="shared" si="21"/>
        <v>1639018</v>
      </c>
    </row>
    <row r="609" spans="1:10" x14ac:dyDescent="0.25">
      <c r="A609" s="124">
        <v>44156</v>
      </c>
      <c r="B609" s="34"/>
      <c r="C609" s="52" t="s">
        <v>4911</v>
      </c>
      <c r="D609" s="8">
        <v>150000</v>
      </c>
      <c r="E609" s="8"/>
      <c r="F609" s="133">
        <f t="shared" si="21"/>
        <v>1489018</v>
      </c>
    </row>
    <row r="610" spans="1:10" x14ac:dyDescent="0.25">
      <c r="A610" s="124">
        <v>44156</v>
      </c>
      <c r="B610" s="34"/>
      <c r="C610" s="34" t="s">
        <v>7230</v>
      </c>
      <c r="D610" s="8">
        <v>221480</v>
      </c>
      <c r="E610" s="8"/>
      <c r="F610" s="133">
        <f t="shared" si="21"/>
        <v>1267538</v>
      </c>
    </row>
    <row r="611" spans="1:10" x14ac:dyDescent="0.25">
      <c r="A611" s="124">
        <v>44156</v>
      </c>
      <c r="B611" s="34"/>
      <c r="C611" s="34" t="s">
        <v>7230</v>
      </c>
      <c r="D611" s="8">
        <v>155000</v>
      </c>
      <c r="E611" s="8"/>
      <c r="F611" s="133">
        <f t="shared" si="21"/>
        <v>1112538</v>
      </c>
    </row>
    <row r="612" spans="1:10" x14ac:dyDescent="0.25">
      <c r="A612" s="124">
        <v>44156</v>
      </c>
      <c r="B612" s="34"/>
      <c r="C612" s="34" t="s">
        <v>7230</v>
      </c>
      <c r="D612" s="8">
        <v>143450</v>
      </c>
      <c r="E612" s="8"/>
      <c r="F612" s="133">
        <f t="shared" si="21"/>
        <v>969088</v>
      </c>
    </row>
    <row r="613" spans="1:10" x14ac:dyDescent="0.25">
      <c r="A613" s="124">
        <v>44156</v>
      </c>
      <c r="B613" s="34"/>
      <c r="C613" s="34" t="s">
        <v>7230</v>
      </c>
      <c r="D613" s="8">
        <v>12750</v>
      </c>
      <c r="E613" s="8"/>
      <c r="F613" s="133">
        <f t="shared" si="21"/>
        <v>956338</v>
      </c>
    </row>
    <row r="614" spans="1:10" x14ac:dyDescent="0.25">
      <c r="A614" s="124">
        <v>44156</v>
      </c>
      <c r="B614" s="34"/>
      <c r="C614" s="34" t="s">
        <v>7230</v>
      </c>
      <c r="D614" s="8">
        <v>51150</v>
      </c>
      <c r="E614" s="8"/>
      <c r="F614" s="133">
        <f t="shared" si="21"/>
        <v>905188</v>
      </c>
    </row>
    <row r="615" spans="1:10" x14ac:dyDescent="0.25">
      <c r="A615" s="124">
        <v>44156</v>
      </c>
      <c r="B615" s="34"/>
      <c r="C615" s="52" t="s">
        <v>7231</v>
      </c>
      <c r="D615" s="8">
        <v>32470</v>
      </c>
      <c r="E615" s="8"/>
      <c r="F615" s="133">
        <f t="shared" si="21"/>
        <v>872718</v>
      </c>
    </row>
    <row r="616" spans="1:10" x14ac:dyDescent="0.25">
      <c r="A616" s="124">
        <v>44156</v>
      </c>
      <c r="B616" s="34"/>
      <c r="C616" s="52" t="s">
        <v>7232</v>
      </c>
      <c r="D616" s="8">
        <v>11900</v>
      </c>
      <c r="E616" s="8"/>
      <c r="F616" s="133">
        <f t="shared" si="21"/>
        <v>860818</v>
      </c>
    </row>
    <row r="617" spans="1:10" x14ac:dyDescent="0.25">
      <c r="A617" s="124">
        <v>44158</v>
      </c>
      <c r="B617" s="34"/>
      <c r="C617" s="52" t="s">
        <v>7237</v>
      </c>
      <c r="D617" s="8">
        <v>55000</v>
      </c>
      <c r="E617" s="8"/>
      <c r="F617" s="133">
        <f t="shared" si="21"/>
        <v>805818</v>
      </c>
    </row>
    <row r="618" spans="1:10" ht="30" x14ac:dyDescent="0.25">
      <c r="A618" s="124">
        <v>44165</v>
      </c>
      <c r="B618" s="34"/>
      <c r="C618" s="72" t="s">
        <v>7259</v>
      </c>
      <c r="D618" s="8"/>
      <c r="E618" s="91">
        <v>24000</v>
      </c>
      <c r="F618" s="133">
        <f t="shared" si="21"/>
        <v>829818</v>
      </c>
    </row>
    <row r="619" spans="1:10" ht="30" x14ac:dyDescent="0.25">
      <c r="A619" s="124">
        <v>44165</v>
      </c>
      <c r="B619" s="34"/>
      <c r="C619" s="70" t="s">
        <v>7265</v>
      </c>
      <c r="D619" s="8">
        <v>158030</v>
      </c>
      <c r="E619" s="8"/>
      <c r="F619" s="133">
        <f t="shared" si="21"/>
        <v>671788</v>
      </c>
    </row>
    <row r="620" spans="1:10" x14ac:dyDescent="0.25">
      <c r="A620" s="124">
        <v>44169</v>
      </c>
      <c r="B620" s="34"/>
      <c r="C620" s="34" t="s">
        <v>5220</v>
      </c>
      <c r="D620" s="8">
        <v>50000</v>
      </c>
      <c r="E620" s="8"/>
      <c r="F620" s="133">
        <f t="shared" si="21"/>
        <v>621788</v>
      </c>
    </row>
    <row r="621" spans="1:10" x14ac:dyDescent="0.25">
      <c r="A621" s="124">
        <v>44169</v>
      </c>
      <c r="B621" s="34"/>
      <c r="C621" s="34" t="s">
        <v>7281</v>
      </c>
      <c r="D621" s="8">
        <v>60000</v>
      </c>
      <c r="E621" s="8"/>
      <c r="F621" s="133">
        <f t="shared" si="21"/>
        <v>561788</v>
      </c>
    </row>
    <row r="622" spans="1:10" x14ac:dyDescent="0.25">
      <c r="A622" s="124">
        <v>44172</v>
      </c>
      <c r="B622" s="34"/>
      <c r="C622" s="34" t="s">
        <v>7292</v>
      </c>
      <c r="D622" s="8">
        <v>500000</v>
      </c>
      <c r="E622" s="8"/>
      <c r="F622" s="133">
        <f t="shared" si="21"/>
        <v>61788</v>
      </c>
    </row>
    <row r="623" spans="1:10" x14ac:dyDescent="0.25">
      <c r="A623" s="124">
        <v>44173</v>
      </c>
      <c r="B623" s="34"/>
      <c r="C623" s="34" t="s">
        <v>7300</v>
      </c>
      <c r="D623" s="8">
        <v>30000</v>
      </c>
      <c r="E623" s="8"/>
      <c r="F623" s="133">
        <f t="shared" si="21"/>
        <v>31788</v>
      </c>
    </row>
    <row r="624" spans="1:10" s="6" customFormat="1" x14ac:dyDescent="0.25">
      <c r="A624" s="204">
        <v>44174</v>
      </c>
      <c r="B624" s="162"/>
      <c r="C624" s="162" t="s">
        <v>7312</v>
      </c>
      <c r="D624" s="8">
        <v>20000</v>
      </c>
      <c r="E624" s="8"/>
      <c r="F624" s="133">
        <f t="shared" si="21"/>
        <v>11788</v>
      </c>
      <c r="H624" s="10"/>
      <c r="I624" s="10"/>
      <c r="J624" s="10"/>
    </row>
    <row r="625" spans="1:6" x14ac:dyDescent="0.25">
      <c r="A625" s="124">
        <v>44177</v>
      </c>
      <c r="B625" s="34"/>
      <c r="C625" s="34" t="s">
        <v>4911</v>
      </c>
      <c r="D625" s="8">
        <v>8000</v>
      </c>
      <c r="E625" s="8"/>
      <c r="F625" s="133">
        <f t="shared" si="21"/>
        <v>3788</v>
      </c>
    </row>
    <row r="626" spans="1:6" ht="30" x14ac:dyDescent="0.25">
      <c r="A626" s="124">
        <v>44179</v>
      </c>
      <c r="B626" s="34"/>
      <c r="C626" s="70" t="s">
        <v>7317</v>
      </c>
      <c r="D626" s="8"/>
      <c r="E626" s="8">
        <v>21000</v>
      </c>
      <c r="F626" s="133">
        <f t="shared" si="21"/>
        <v>24788</v>
      </c>
    </row>
    <row r="627" spans="1:6" x14ac:dyDescent="0.25">
      <c r="A627" s="124">
        <v>44179</v>
      </c>
      <c r="B627" s="34"/>
      <c r="C627" s="52" t="s">
        <v>7318</v>
      </c>
      <c r="D627" s="8">
        <v>5000</v>
      </c>
      <c r="E627" s="8"/>
      <c r="F627" s="133">
        <f t="shared" si="21"/>
        <v>19788</v>
      </c>
    </row>
    <row r="628" spans="1:6" x14ac:dyDescent="0.25">
      <c r="A628" s="124">
        <v>44179</v>
      </c>
      <c r="B628" s="34"/>
      <c r="C628" s="34" t="s">
        <v>4911</v>
      </c>
      <c r="D628" s="8">
        <v>14000</v>
      </c>
      <c r="E628" s="8"/>
      <c r="F628" s="133">
        <f t="shared" si="21"/>
        <v>5788</v>
      </c>
    </row>
    <row r="629" spans="1:6" x14ac:dyDescent="0.25">
      <c r="A629" s="124">
        <v>44179</v>
      </c>
      <c r="B629" s="34"/>
      <c r="C629" s="34" t="s">
        <v>7361</v>
      </c>
      <c r="D629" s="8">
        <v>5788</v>
      </c>
      <c r="E629" s="8"/>
      <c r="F629" s="133">
        <f t="shared" si="21"/>
        <v>0</v>
      </c>
    </row>
    <row r="630" spans="1:6" x14ac:dyDescent="0.25">
      <c r="A630" s="34"/>
      <c r="B630" s="34"/>
      <c r="C630" s="34"/>
      <c r="D630" s="8"/>
      <c r="E630" s="8"/>
      <c r="F630" s="34"/>
    </row>
  </sheetData>
  <mergeCells count="1">
    <mergeCell ref="B1:C1"/>
  </mergeCells>
  <pageMargins left="0.7" right="0.7" top="0.25" bottom="0.2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J997"/>
  <sheetViews>
    <sheetView topLeftCell="A34" zoomScale="120" zoomScaleNormal="120" workbookViewId="0">
      <selection activeCell="D39" sqref="D39:D575"/>
    </sheetView>
  </sheetViews>
  <sheetFormatPr defaultRowHeight="15" x14ac:dyDescent="0.25"/>
  <cols>
    <col min="1" max="1" width="8.85546875" style="5"/>
    <col min="2" max="2" width="44.28515625" customWidth="1"/>
    <col min="3" max="3" width="9.28515625" style="10" customWidth="1"/>
    <col min="4" max="4" width="9.5703125" style="10" customWidth="1"/>
    <col min="5" max="5" width="11.28515625" customWidth="1"/>
    <col min="6" max="6" width="10.140625" bestFit="1" customWidth="1"/>
    <col min="7" max="7" width="11.140625" style="10" bestFit="1" customWidth="1"/>
    <col min="8" max="8" width="12" bestFit="1" customWidth="1"/>
    <col min="9" max="9" width="10.140625" bestFit="1" customWidth="1"/>
  </cols>
  <sheetData>
    <row r="1" spans="2:7" x14ac:dyDescent="0.25">
      <c r="B1" s="5"/>
    </row>
    <row r="2" spans="2:7" x14ac:dyDescent="0.25">
      <c r="B2" s="5"/>
    </row>
    <row r="3" spans="2:7" x14ac:dyDescent="0.25">
      <c r="B3" s="5"/>
      <c r="C3" s="119"/>
    </row>
    <row r="4" spans="2:7" x14ac:dyDescent="0.25">
      <c r="B4" s="5"/>
      <c r="C4" s="119"/>
      <c r="F4" s="5"/>
    </row>
    <row r="5" spans="2:7" x14ac:dyDescent="0.25">
      <c r="B5" s="5"/>
    </row>
    <row r="6" spans="2:7" x14ac:dyDescent="0.25">
      <c r="B6" s="5"/>
      <c r="C6" s="119"/>
    </row>
    <row r="7" spans="2:7" x14ac:dyDescent="0.25">
      <c r="B7" s="5"/>
      <c r="C7" s="119"/>
    </row>
    <row r="8" spans="2:7" s="5" customFormat="1" x14ac:dyDescent="0.25">
      <c r="C8" s="119"/>
      <c r="D8" s="10"/>
      <c r="G8" s="10"/>
    </row>
    <row r="9" spans="2:7" x14ac:dyDescent="0.25">
      <c r="B9" s="5"/>
      <c r="C9" s="122"/>
    </row>
    <row r="10" spans="2:7" x14ac:dyDescent="0.25">
      <c r="B10" s="5"/>
      <c r="C10" s="122"/>
    </row>
    <row r="11" spans="2:7" x14ac:dyDescent="0.25">
      <c r="B11" s="5"/>
      <c r="C11" s="122"/>
    </row>
    <row r="12" spans="2:7" x14ac:dyDescent="0.25">
      <c r="B12" s="5"/>
      <c r="C12" s="122"/>
    </row>
    <row r="13" spans="2:7" x14ac:dyDescent="0.25">
      <c r="B13" s="5"/>
    </row>
    <row r="14" spans="2:7" x14ac:dyDescent="0.25">
      <c r="B14" s="5"/>
    </row>
    <row r="15" spans="2:7" x14ac:dyDescent="0.25">
      <c r="B15" s="5"/>
    </row>
    <row r="23" spans="3:7" x14ac:dyDescent="0.25">
      <c r="F23" s="10"/>
    </row>
    <row r="29" spans="3:7" s="5" customFormat="1" x14ac:dyDescent="0.25">
      <c r="C29" s="10"/>
      <c r="D29" s="10"/>
      <c r="G29" s="10"/>
    </row>
    <row r="30" spans="3:7" s="5" customFormat="1" x14ac:dyDescent="0.25">
      <c r="C30" s="10"/>
      <c r="D30" s="10"/>
      <c r="G30" s="10"/>
    </row>
    <row r="31" spans="3:7" s="5" customFormat="1" x14ac:dyDescent="0.25">
      <c r="C31" s="10"/>
      <c r="D31" s="10"/>
      <c r="G31" s="10"/>
    </row>
    <row r="37" spans="1:7" x14ac:dyDescent="0.25">
      <c r="F37" s="10"/>
    </row>
    <row r="38" spans="1:7" s="101" customFormat="1" ht="15.75" x14ac:dyDescent="0.25">
      <c r="A38" s="123"/>
      <c r="B38" s="123"/>
      <c r="C38" s="85"/>
      <c r="D38" s="85"/>
      <c r="E38" s="85">
        <v>80000</v>
      </c>
      <c r="G38" s="54"/>
    </row>
    <row r="39" spans="1:7" s="5" customFormat="1" x14ac:dyDescent="0.25">
      <c r="A39" s="34"/>
      <c r="B39" s="34" t="s">
        <v>4370</v>
      </c>
      <c r="C39" s="8">
        <v>10100</v>
      </c>
      <c r="D39" s="8"/>
      <c r="E39" s="113">
        <f t="shared" ref="E39:E85" si="0">E38+D39-C39</f>
        <v>69900</v>
      </c>
      <c r="G39" s="10"/>
    </row>
    <row r="40" spans="1:7" s="5" customFormat="1" x14ac:dyDescent="0.25">
      <c r="A40" s="34"/>
      <c r="B40" s="34" t="s">
        <v>4655</v>
      </c>
      <c r="C40" s="8">
        <v>23466</v>
      </c>
      <c r="D40" s="8"/>
      <c r="E40" s="113">
        <f t="shared" si="0"/>
        <v>46434</v>
      </c>
      <c r="G40" s="10"/>
    </row>
    <row r="41" spans="1:7" s="5" customFormat="1" x14ac:dyDescent="0.25">
      <c r="A41" s="34"/>
      <c r="B41" s="34" t="s">
        <v>4632</v>
      </c>
      <c r="C41" s="8">
        <v>7000</v>
      </c>
      <c r="D41" s="8"/>
      <c r="E41" s="113">
        <f t="shared" si="0"/>
        <v>39434</v>
      </c>
      <c r="G41" s="10"/>
    </row>
    <row r="42" spans="1:7" s="5" customFormat="1" x14ac:dyDescent="0.25">
      <c r="A42" s="34"/>
      <c r="B42" s="34" t="s">
        <v>5001</v>
      </c>
      <c r="C42" s="8">
        <v>25290</v>
      </c>
      <c r="D42" s="8"/>
      <c r="E42" s="113">
        <f t="shared" si="0"/>
        <v>14144</v>
      </c>
      <c r="G42" s="10"/>
    </row>
    <row r="43" spans="1:7" x14ac:dyDescent="0.25">
      <c r="A43" s="34"/>
      <c r="B43" s="34" t="s">
        <v>4705</v>
      </c>
      <c r="C43" s="8">
        <v>5000</v>
      </c>
      <c r="D43" s="8"/>
      <c r="E43" s="113">
        <f t="shared" si="0"/>
        <v>9144</v>
      </c>
    </row>
    <row r="44" spans="1:7" x14ac:dyDescent="0.25">
      <c r="A44" s="124">
        <v>43538</v>
      </c>
      <c r="B44" s="34" t="s">
        <v>89</v>
      </c>
      <c r="C44" s="8">
        <v>1000</v>
      </c>
      <c r="D44" s="8"/>
      <c r="E44" s="113">
        <f t="shared" si="0"/>
        <v>8144</v>
      </c>
    </row>
    <row r="45" spans="1:7" x14ac:dyDescent="0.25">
      <c r="A45" s="124">
        <v>43540</v>
      </c>
      <c r="B45" s="34" t="s">
        <v>89</v>
      </c>
      <c r="C45" s="8">
        <v>1300</v>
      </c>
      <c r="D45" s="8"/>
      <c r="E45" s="113">
        <f t="shared" si="0"/>
        <v>6844</v>
      </c>
    </row>
    <row r="46" spans="1:7" x14ac:dyDescent="0.25">
      <c r="A46" s="34"/>
      <c r="B46" s="34" t="s">
        <v>295</v>
      </c>
      <c r="C46" s="8"/>
      <c r="D46" s="8">
        <v>15000</v>
      </c>
      <c r="E46" s="113">
        <f t="shared" si="0"/>
        <v>21844</v>
      </c>
    </row>
    <row r="47" spans="1:7" x14ac:dyDescent="0.25">
      <c r="A47" s="34"/>
      <c r="B47" s="34" t="s">
        <v>5023</v>
      </c>
      <c r="C47" s="8">
        <v>8400</v>
      </c>
      <c r="D47" s="8"/>
      <c r="E47" s="113">
        <f t="shared" si="0"/>
        <v>13444</v>
      </c>
    </row>
    <row r="48" spans="1:7" x14ac:dyDescent="0.25">
      <c r="A48" s="34"/>
      <c r="B48" s="34" t="s">
        <v>4607</v>
      </c>
      <c r="C48" s="8">
        <v>3000</v>
      </c>
      <c r="D48" s="8"/>
      <c r="E48" s="113">
        <f t="shared" si="0"/>
        <v>10444</v>
      </c>
      <c r="F48" s="47"/>
    </row>
    <row r="49" spans="1:7" x14ac:dyDescent="0.25">
      <c r="A49" s="34"/>
      <c r="B49" s="34" t="s">
        <v>295</v>
      </c>
      <c r="C49" s="8"/>
      <c r="D49" s="8">
        <v>13000</v>
      </c>
      <c r="E49" s="113">
        <f t="shared" si="0"/>
        <v>23444</v>
      </c>
    </row>
    <row r="50" spans="1:7" s="101" customFormat="1" ht="15.75" x14ac:dyDescent="0.25">
      <c r="A50" s="123"/>
      <c r="B50" s="123" t="s">
        <v>295</v>
      </c>
      <c r="C50" s="85"/>
      <c r="D50" s="85">
        <v>30000</v>
      </c>
      <c r="E50" s="113">
        <f t="shared" si="0"/>
        <v>53444</v>
      </c>
      <c r="G50" s="54"/>
    </row>
    <row r="51" spans="1:7" s="101" customFormat="1" ht="15.75" x14ac:dyDescent="0.25">
      <c r="A51" s="123"/>
      <c r="B51" s="123" t="s">
        <v>41</v>
      </c>
      <c r="C51" s="85"/>
      <c r="D51" s="85">
        <v>500</v>
      </c>
      <c r="E51" s="113">
        <f t="shared" si="0"/>
        <v>53944</v>
      </c>
      <c r="G51" s="54"/>
    </row>
    <row r="52" spans="1:7" x14ac:dyDescent="0.25">
      <c r="A52" s="124"/>
      <c r="B52" s="34" t="s">
        <v>295</v>
      </c>
      <c r="C52" s="8"/>
      <c r="D52" s="8">
        <v>25000</v>
      </c>
      <c r="E52" s="113">
        <f t="shared" si="0"/>
        <v>78944</v>
      </c>
    </row>
    <row r="53" spans="1:7" x14ac:dyDescent="0.25">
      <c r="A53" s="124">
        <v>43556</v>
      </c>
      <c r="B53" s="34" t="s">
        <v>295</v>
      </c>
      <c r="C53" s="8"/>
      <c r="D53" s="8">
        <v>15000</v>
      </c>
      <c r="E53" s="113">
        <f t="shared" si="0"/>
        <v>93944</v>
      </c>
    </row>
    <row r="54" spans="1:7" x14ac:dyDescent="0.25">
      <c r="A54" s="124">
        <v>43556</v>
      </c>
      <c r="B54" s="34" t="s">
        <v>5096</v>
      </c>
      <c r="C54" s="8">
        <v>1000</v>
      </c>
      <c r="D54" s="8"/>
      <c r="E54" s="113">
        <f t="shared" si="0"/>
        <v>92944</v>
      </c>
    </row>
    <row r="55" spans="1:7" x14ac:dyDescent="0.25">
      <c r="A55" s="124">
        <v>43564</v>
      </c>
      <c r="B55" s="34" t="s">
        <v>3924</v>
      </c>
      <c r="C55" s="8">
        <v>4350</v>
      </c>
      <c r="D55" s="8"/>
      <c r="E55" s="113">
        <f t="shared" si="0"/>
        <v>88594</v>
      </c>
    </row>
    <row r="56" spans="1:7" x14ac:dyDescent="0.25">
      <c r="A56" s="124">
        <v>43564</v>
      </c>
      <c r="B56" s="34" t="s">
        <v>3924</v>
      </c>
      <c r="C56" s="8">
        <v>3440</v>
      </c>
      <c r="D56" s="8"/>
      <c r="E56" s="113">
        <f t="shared" si="0"/>
        <v>85154</v>
      </c>
    </row>
    <row r="57" spans="1:7" x14ac:dyDescent="0.25">
      <c r="A57" s="124">
        <v>43564</v>
      </c>
      <c r="B57" s="34" t="s">
        <v>3924</v>
      </c>
      <c r="C57" s="11">
        <v>43100</v>
      </c>
      <c r="D57" s="11"/>
      <c r="E57" s="113">
        <f t="shared" si="0"/>
        <v>42054</v>
      </c>
    </row>
    <row r="58" spans="1:7" x14ac:dyDescent="0.25">
      <c r="A58" s="124">
        <v>43566</v>
      </c>
      <c r="B58" s="34" t="s">
        <v>4655</v>
      </c>
      <c r="C58" s="8">
        <v>8500</v>
      </c>
      <c r="D58" s="8"/>
      <c r="E58" s="113">
        <f t="shared" si="0"/>
        <v>33554</v>
      </c>
      <c r="F58" s="5"/>
    </row>
    <row r="59" spans="1:7" x14ac:dyDescent="0.25">
      <c r="A59" s="124">
        <v>43566</v>
      </c>
      <c r="B59" s="34" t="s">
        <v>5103</v>
      </c>
      <c r="C59" s="8">
        <v>5000</v>
      </c>
      <c r="D59" s="11"/>
      <c r="E59" s="113">
        <f t="shared" si="0"/>
        <v>28554</v>
      </c>
    </row>
    <row r="60" spans="1:7" x14ac:dyDescent="0.25">
      <c r="A60" s="124">
        <v>43566</v>
      </c>
      <c r="B60" s="34" t="s">
        <v>4369</v>
      </c>
      <c r="C60" s="8"/>
      <c r="D60" s="8">
        <v>5000</v>
      </c>
      <c r="E60" s="113">
        <f t="shared" si="0"/>
        <v>33554</v>
      </c>
    </row>
    <row r="61" spans="1:7" x14ac:dyDescent="0.25">
      <c r="A61" s="124">
        <v>43574</v>
      </c>
      <c r="B61" s="52" t="s">
        <v>5142</v>
      </c>
      <c r="C61" s="8">
        <v>3600</v>
      </c>
      <c r="D61" s="8"/>
      <c r="E61" s="113">
        <f t="shared" si="0"/>
        <v>29954</v>
      </c>
    </row>
    <row r="62" spans="1:7" x14ac:dyDescent="0.25">
      <c r="A62" s="124">
        <v>43574</v>
      </c>
      <c r="B62" s="34" t="s">
        <v>5143</v>
      </c>
      <c r="C62" s="8">
        <v>2000</v>
      </c>
      <c r="D62" s="8"/>
      <c r="E62" s="113">
        <f t="shared" si="0"/>
        <v>27954</v>
      </c>
    </row>
    <row r="63" spans="1:7" x14ac:dyDescent="0.25">
      <c r="A63" s="124">
        <v>43574</v>
      </c>
      <c r="B63" s="34" t="s">
        <v>5144</v>
      </c>
      <c r="C63" s="8"/>
      <c r="D63" s="8">
        <v>300000</v>
      </c>
      <c r="E63" s="113">
        <f t="shared" si="0"/>
        <v>327954</v>
      </c>
    </row>
    <row r="64" spans="1:7" x14ac:dyDescent="0.25">
      <c r="A64" s="124">
        <v>43574</v>
      </c>
      <c r="B64" s="34" t="s">
        <v>5145</v>
      </c>
      <c r="C64" s="8">
        <v>10000</v>
      </c>
      <c r="D64" s="8"/>
      <c r="E64" s="113">
        <f t="shared" si="0"/>
        <v>317954</v>
      </c>
    </row>
    <row r="65" spans="1:7" x14ac:dyDescent="0.25">
      <c r="A65" s="124">
        <v>43574</v>
      </c>
      <c r="B65" s="34" t="s">
        <v>5146</v>
      </c>
      <c r="C65" s="8">
        <v>30284</v>
      </c>
      <c r="D65" s="8"/>
      <c r="E65" s="113">
        <f t="shared" si="0"/>
        <v>287670</v>
      </c>
    </row>
    <row r="66" spans="1:7" x14ac:dyDescent="0.25">
      <c r="A66" s="124">
        <v>43574</v>
      </c>
      <c r="B66" s="34" t="s">
        <v>5150</v>
      </c>
      <c r="C66" s="8">
        <v>35000</v>
      </c>
      <c r="D66" s="8"/>
      <c r="E66" s="113">
        <f t="shared" si="0"/>
        <v>252670</v>
      </c>
    </row>
    <row r="67" spans="1:7" x14ac:dyDescent="0.25">
      <c r="A67" s="141">
        <v>43577</v>
      </c>
      <c r="B67" s="137" t="s">
        <v>5154</v>
      </c>
      <c r="C67" s="139">
        <v>10000</v>
      </c>
      <c r="D67" s="8"/>
      <c r="E67" s="113">
        <f t="shared" si="0"/>
        <v>242670</v>
      </c>
    </row>
    <row r="68" spans="1:7" s="5" customFormat="1" x14ac:dyDescent="0.25">
      <c r="A68" s="124">
        <v>43578</v>
      </c>
      <c r="B68" s="30" t="s">
        <v>4368</v>
      </c>
      <c r="C68" s="11">
        <v>9200</v>
      </c>
      <c r="D68" s="11"/>
      <c r="E68" s="113">
        <f t="shared" si="0"/>
        <v>233470</v>
      </c>
      <c r="G68" s="10"/>
    </row>
    <row r="69" spans="1:7" x14ac:dyDescent="0.25">
      <c r="A69" s="124">
        <v>43578</v>
      </c>
      <c r="B69" s="30" t="s">
        <v>5157</v>
      </c>
      <c r="C69" s="8">
        <v>2000</v>
      </c>
      <c r="D69" s="8"/>
      <c r="E69" s="113">
        <f t="shared" si="0"/>
        <v>231470</v>
      </c>
    </row>
    <row r="70" spans="1:7" x14ac:dyDescent="0.25">
      <c r="A70" s="124">
        <v>43578</v>
      </c>
      <c r="B70" s="34" t="s">
        <v>5158</v>
      </c>
      <c r="C70" s="8">
        <v>17000</v>
      </c>
      <c r="D70" s="8"/>
      <c r="E70" s="113">
        <f t="shared" si="0"/>
        <v>214470</v>
      </c>
    </row>
    <row r="71" spans="1:7" x14ac:dyDescent="0.25">
      <c r="A71" s="124">
        <v>43578</v>
      </c>
      <c r="B71" s="34" t="s">
        <v>5159</v>
      </c>
      <c r="C71" s="8">
        <v>36000</v>
      </c>
      <c r="D71" s="8"/>
      <c r="E71" s="113">
        <f t="shared" si="0"/>
        <v>178470</v>
      </c>
    </row>
    <row r="72" spans="1:7" x14ac:dyDescent="0.25">
      <c r="A72" s="124">
        <v>43578</v>
      </c>
      <c r="B72" s="34" t="s">
        <v>5180</v>
      </c>
      <c r="C72" s="8">
        <v>5000</v>
      </c>
      <c r="D72" s="8"/>
      <c r="E72" s="113">
        <f t="shared" si="0"/>
        <v>173470</v>
      </c>
    </row>
    <row r="73" spans="1:7" x14ac:dyDescent="0.25">
      <c r="A73" s="124">
        <v>43579</v>
      </c>
      <c r="B73" s="34" t="s">
        <v>5170</v>
      </c>
      <c r="C73" s="8">
        <v>30000</v>
      </c>
      <c r="D73" s="8"/>
      <c r="E73" s="113">
        <f t="shared" si="0"/>
        <v>143470</v>
      </c>
    </row>
    <row r="74" spans="1:7" x14ac:dyDescent="0.25">
      <c r="A74" s="124">
        <v>43579</v>
      </c>
      <c r="B74" s="34" t="s">
        <v>5171</v>
      </c>
      <c r="C74" s="8">
        <v>10000</v>
      </c>
      <c r="D74" s="8"/>
      <c r="E74" s="113">
        <f t="shared" si="0"/>
        <v>133470</v>
      </c>
    </row>
    <row r="75" spans="1:7" x14ac:dyDescent="0.25">
      <c r="A75" s="124">
        <v>43579</v>
      </c>
      <c r="B75" s="26" t="s">
        <v>5173</v>
      </c>
      <c r="C75" s="88">
        <v>15000</v>
      </c>
      <c r="D75" s="11"/>
      <c r="E75" s="113">
        <f t="shared" si="0"/>
        <v>118470</v>
      </c>
    </row>
    <row r="76" spans="1:7" x14ac:dyDescent="0.25">
      <c r="A76" s="124">
        <v>43579</v>
      </c>
      <c r="B76" s="26" t="s">
        <v>5174</v>
      </c>
      <c r="C76" s="88">
        <v>10000</v>
      </c>
      <c r="D76" s="8"/>
      <c r="E76" s="113">
        <f t="shared" si="0"/>
        <v>108470</v>
      </c>
    </row>
    <row r="77" spans="1:7" s="5" customFormat="1" x14ac:dyDescent="0.25">
      <c r="A77" s="124">
        <v>43579</v>
      </c>
      <c r="B77" s="26" t="s">
        <v>5175</v>
      </c>
      <c r="C77" s="8">
        <v>1000</v>
      </c>
      <c r="D77" s="8"/>
      <c r="E77" s="113">
        <f t="shared" si="0"/>
        <v>107470</v>
      </c>
      <c r="G77" s="10"/>
    </row>
    <row r="78" spans="1:7" s="6" customFormat="1" x14ac:dyDescent="0.25">
      <c r="A78" s="124">
        <v>43579</v>
      </c>
      <c r="B78" s="26" t="s">
        <v>5176</v>
      </c>
      <c r="C78" s="88">
        <v>6000</v>
      </c>
      <c r="D78" s="88"/>
      <c r="E78" s="113">
        <f t="shared" si="0"/>
        <v>101470</v>
      </c>
      <c r="G78" s="121"/>
    </row>
    <row r="79" spans="1:7" s="6" customFormat="1" x14ac:dyDescent="0.25">
      <c r="A79" s="124">
        <v>43579</v>
      </c>
      <c r="B79" s="26" t="s">
        <v>295</v>
      </c>
      <c r="C79" s="88"/>
      <c r="D79" s="88">
        <v>3000</v>
      </c>
      <c r="E79" s="113">
        <f t="shared" si="0"/>
        <v>104470</v>
      </c>
      <c r="G79" s="121"/>
    </row>
    <row r="80" spans="1:7" s="6" customFormat="1" x14ac:dyDescent="0.25">
      <c r="A80" s="124">
        <v>43580</v>
      </c>
      <c r="B80" s="26" t="s">
        <v>295</v>
      </c>
      <c r="C80" s="88"/>
      <c r="D80" s="88">
        <v>125000</v>
      </c>
      <c r="E80" s="113">
        <f t="shared" si="0"/>
        <v>229470</v>
      </c>
      <c r="G80" s="121"/>
    </row>
    <row r="81" spans="1:5" x14ac:dyDescent="0.25">
      <c r="A81" s="124">
        <v>43587</v>
      </c>
      <c r="B81" s="34" t="s">
        <v>5208</v>
      </c>
      <c r="C81" s="8">
        <v>5000</v>
      </c>
      <c r="D81" s="8"/>
      <c r="E81" s="113">
        <f t="shared" si="0"/>
        <v>224470</v>
      </c>
    </row>
    <row r="82" spans="1:5" x14ac:dyDescent="0.25">
      <c r="A82" s="124">
        <v>43587</v>
      </c>
      <c r="B82" s="34" t="s">
        <v>5209</v>
      </c>
      <c r="C82" s="8">
        <v>5000</v>
      </c>
      <c r="D82" s="8"/>
      <c r="E82" s="113">
        <f t="shared" si="0"/>
        <v>219470</v>
      </c>
    </row>
    <row r="83" spans="1:5" x14ac:dyDescent="0.25">
      <c r="A83" s="124">
        <v>43587</v>
      </c>
      <c r="B83" s="34" t="s">
        <v>5210</v>
      </c>
      <c r="C83" s="8">
        <v>5000</v>
      </c>
      <c r="D83" s="8"/>
      <c r="E83" s="113">
        <f t="shared" si="0"/>
        <v>214470</v>
      </c>
    </row>
    <row r="84" spans="1:5" x14ac:dyDescent="0.25">
      <c r="A84" s="124">
        <v>43587</v>
      </c>
      <c r="B84" s="34" t="s">
        <v>5211</v>
      </c>
      <c r="C84" s="8">
        <v>6000</v>
      </c>
      <c r="D84" s="8"/>
      <c r="E84" s="113">
        <f t="shared" si="0"/>
        <v>208470</v>
      </c>
    </row>
    <row r="85" spans="1:5" x14ac:dyDescent="0.25">
      <c r="A85" s="124">
        <v>43587</v>
      </c>
      <c r="B85" s="34" t="s">
        <v>5212</v>
      </c>
      <c r="C85" s="8">
        <v>5500</v>
      </c>
      <c r="D85" s="8"/>
      <c r="E85" s="113">
        <f t="shared" si="0"/>
        <v>202970</v>
      </c>
    </row>
    <row r="86" spans="1:5" x14ac:dyDescent="0.25">
      <c r="A86" s="124">
        <v>43587</v>
      </c>
      <c r="B86" s="34" t="s">
        <v>5213</v>
      </c>
      <c r="C86" s="8">
        <v>37200</v>
      </c>
      <c r="D86" s="8"/>
      <c r="E86" s="113">
        <f t="shared" ref="E86:E155" si="1">E85+D86-C86</f>
        <v>165770</v>
      </c>
    </row>
    <row r="87" spans="1:5" x14ac:dyDescent="0.25">
      <c r="A87" s="124">
        <v>43587</v>
      </c>
      <c r="B87" s="34" t="s">
        <v>5215</v>
      </c>
      <c r="C87" s="8">
        <v>28000</v>
      </c>
      <c r="D87" s="8"/>
      <c r="E87" s="113">
        <f t="shared" si="1"/>
        <v>137770</v>
      </c>
    </row>
    <row r="88" spans="1:5" x14ac:dyDescent="0.25">
      <c r="A88" s="124">
        <v>43591</v>
      </c>
      <c r="B88" s="34" t="s">
        <v>5226</v>
      </c>
      <c r="C88" s="8">
        <v>1000</v>
      </c>
      <c r="D88" s="8"/>
      <c r="E88" s="113">
        <f t="shared" si="1"/>
        <v>136770</v>
      </c>
    </row>
    <row r="89" spans="1:5" x14ac:dyDescent="0.25">
      <c r="A89" s="124">
        <v>43591</v>
      </c>
      <c r="B89" s="34" t="s">
        <v>5233</v>
      </c>
      <c r="C89" s="8">
        <v>3662</v>
      </c>
      <c r="D89" s="8"/>
      <c r="E89" s="113">
        <f t="shared" si="1"/>
        <v>133108</v>
      </c>
    </row>
    <row r="90" spans="1:5" x14ac:dyDescent="0.25">
      <c r="A90" s="124">
        <v>43591</v>
      </c>
      <c r="B90" s="34" t="s">
        <v>4705</v>
      </c>
      <c r="C90" s="8">
        <v>9000</v>
      </c>
      <c r="D90" s="8"/>
      <c r="E90" s="113">
        <f t="shared" si="1"/>
        <v>124108</v>
      </c>
    </row>
    <row r="91" spans="1:5" x14ac:dyDescent="0.25">
      <c r="A91" s="124">
        <v>43591</v>
      </c>
      <c r="B91" s="34" t="s">
        <v>5243</v>
      </c>
      <c r="C91" s="8">
        <v>52000</v>
      </c>
      <c r="D91" s="8"/>
      <c r="E91" s="113">
        <f t="shared" si="1"/>
        <v>72108</v>
      </c>
    </row>
    <row r="92" spans="1:5" x14ac:dyDescent="0.25">
      <c r="A92" s="124">
        <v>43593</v>
      </c>
      <c r="B92" s="34" t="s">
        <v>5244</v>
      </c>
      <c r="C92" s="8">
        <v>20000</v>
      </c>
      <c r="D92" s="8"/>
      <c r="E92" s="113">
        <f t="shared" si="1"/>
        <v>52108</v>
      </c>
    </row>
    <row r="93" spans="1:5" x14ac:dyDescent="0.25">
      <c r="A93" s="124">
        <v>43594</v>
      </c>
      <c r="B93" s="52" t="s">
        <v>4368</v>
      </c>
      <c r="C93" s="8">
        <v>14000</v>
      </c>
      <c r="D93" s="8"/>
      <c r="E93" s="113">
        <f t="shared" si="1"/>
        <v>38108</v>
      </c>
    </row>
    <row r="94" spans="1:5" x14ac:dyDescent="0.25">
      <c r="A94" s="124">
        <v>43598</v>
      </c>
      <c r="B94" s="52" t="s">
        <v>641</v>
      </c>
      <c r="C94" s="8">
        <v>1000</v>
      </c>
      <c r="D94" s="8"/>
      <c r="E94" s="113">
        <f t="shared" si="1"/>
        <v>37108</v>
      </c>
    </row>
    <row r="95" spans="1:5" x14ac:dyDescent="0.25">
      <c r="A95" s="124">
        <v>43605</v>
      </c>
      <c r="B95" s="52" t="s">
        <v>5290</v>
      </c>
      <c r="C95" s="8">
        <v>5000</v>
      </c>
      <c r="D95" s="8"/>
      <c r="E95" s="113">
        <f t="shared" si="1"/>
        <v>32108</v>
      </c>
    </row>
    <row r="96" spans="1:5" x14ac:dyDescent="0.25">
      <c r="A96" s="124">
        <v>43605</v>
      </c>
      <c r="B96" s="52" t="s">
        <v>5150</v>
      </c>
      <c r="C96" s="8">
        <v>7000</v>
      </c>
      <c r="D96" s="8"/>
      <c r="E96" s="113">
        <f t="shared" si="1"/>
        <v>25108</v>
      </c>
    </row>
    <row r="97" spans="1:5" x14ac:dyDescent="0.25">
      <c r="A97" s="124">
        <v>43605</v>
      </c>
      <c r="B97" s="52" t="s">
        <v>5294</v>
      </c>
      <c r="C97" s="8">
        <v>7000</v>
      </c>
      <c r="D97" s="8"/>
      <c r="E97" s="113">
        <f t="shared" si="1"/>
        <v>18108</v>
      </c>
    </row>
    <row r="98" spans="1:5" x14ac:dyDescent="0.25">
      <c r="A98" s="124">
        <v>43605</v>
      </c>
      <c r="B98" s="52" t="s">
        <v>5306</v>
      </c>
      <c r="C98" s="8">
        <v>8500</v>
      </c>
      <c r="D98" s="8"/>
      <c r="E98" s="113">
        <f t="shared" si="1"/>
        <v>9608</v>
      </c>
    </row>
    <row r="99" spans="1:5" x14ac:dyDescent="0.25">
      <c r="A99" s="124">
        <v>43608</v>
      </c>
      <c r="B99" s="34" t="s">
        <v>5318</v>
      </c>
      <c r="C99" s="8">
        <v>10000</v>
      </c>
      <c r="D99" s="8"/>
      <c r="E99" s="113">
        <f t="shared" si="1"/>
        <v>-392</v>
      </c>
    </row>
    <row r="100" spans="1:5" x14ac:dyDescent="0.25">
      <c r="A100" s="124">
        <v>43608</v>
      </c>
      <c r="B100" s="34" t="s">
        <v>295</v>
      </c>
      <c r="C100" s="8"/>
      <c r="D100" s="8">
        <v>10000</v>
      </c>
      <c r="E100" s="113">
        <f t="shared" si="1"/>
        <v>9608</v>
      </c>
    </row>
    <row r="101" spans="1:5" x14ac:dyDescent="0.25">
      <c r="A101" s="124">
        <v>43613</v>
      </c>
      <c r="B101" s="34" t="s">
        <v>295</v>
      </c>
      <c r="C101" s="8"/>
      <c r="D101" s="8">
        <v>3000</v>
      </c>
      <c r="E101" s="113">
        <f t="shared" si="1"/>
        <v>12608</v>
      </c>
    </row>
    <row r="102" spans="1:5" x14ac:dyDescent="0.25">
      <c r="A102" s="124">
        <v>43614</v>
      </c>
      <c r="B102" s="34" t="s">
        <v>5336</v>
      </c>
      <c r="C102" s="8">
        <v>1000</v>
      </c>
      <c r="D102" s="8"/>
      <c r="E102" s="113">
        <f t="shared" si="1"/>
        <v>11608</v>
      </c>
    </row>
    <row r="103" spans="1:5" x14ac:dyDescent="0.25">
      <c r="A103" s="124">
        <v>43614</v>
      </c>
      <c r="B103" s="34" t="s">
        <v>5337</v>
      </c>
      <c r="C103" s="8">
        <v>4100</v>
      </c>
      <c r="D103" s="8"/>
      <c r="E103" s="113">
        <f t="shared" si="1"/>
        <v>7508</v>
      </c>
    </row>
    <row r="104" spans="1:5" x14ac:dyDescent="0.25">
      <c r="A104" s="124">
        <v>43614</v>
      </c>
      <c r="B104" s="34" t="s">
        <v>4370</v>
      </c>
      <c r="C104" s="8">
        <v>2000</v>
      </c>
      <c r="D104" s="8"/>
      <c r="E104" s="113">
        <f t="shared" si="1"/>
        <v>5508</v>
      </c>
    </row>
    <row r="105" spans="1:5" x14ac:dyDescent="0.25">
      <c r="A105" s="124">
        <v>43614</v>
      </c>
      <c r="B105" s="34" t="s">
        <v>5338</v>
      </c>
      <c r="C105" s="8">
        <v>1000</v>
      </c>
      <c r="D105" s="8"/>
      <c r="E105" s="113">
        <f t="shared" si="1"/>
        <v>4508</v>
      </c>
    </row>
    <row r="106" spans="1:5" x14ac:dyDescent="0.25">
      <c r="A106" s="124">
        <v>43614</v>
      </c>
      <c r="B106" s="52" t="s">
        <v>5339</v>
      </c>
      <c r="C106" s="8">
        <v>1000</v>
      </c>
      <c r="D106" s="8"/>
      <c r="E106" s="113">
        <f t="shared" si="1"/>
        <v>3508</v>
      </c>
    </row>
    <row r="107" spans="1:5" x14ac:dyDescent="0.25">
      <c r="A107" s="124">
        <v>43614</v>
      </c>
      <c r="B107" s="52" t="s">
        <v>5340</v>
      </c>
      <c r="C107" s="8">
        <v>1000</v>
      </c>
      <c r="D107" s="8"/>
      <c r="E107" s="113">
        <f t="shared" si="1"/>
        <v>2508</v>
      </c>
    </row>
    <row r="108" spans="1:5" x14ac:dyDescent="0.25">
      <c r="A108" s="124">
        <v>43615</v>
      </c>
      <c r="B108" s="34" t="s">
        <v>295</v>
      </c>
      <c r="C108" s="8"/>
      <c r="D108" s="8">
        <v>10000</v>
      </c>
      <c r="E108" s="113">
        <f t="shared" si="1"/>
        <v>12508</v>
      </c>
    </row>
    <row r="109" spans="1:5" x14ac:dyDescent="0.25">
      <c r="A109" s="124">
        <v>43619</v>
      </c>
      <c r="B109" s="34" t="s">
        <v>3924</v>
      </c>
      <c r="C109" s="8">
        <v>2000</v>
      </c>
      <c r="D109" s="8"/>
      <c r="E109" s="113">
        <f t="shared" si="1"/>
        <v>10508</v>
      </c>
    </row>
    <row r="110" spans="1:5" x14ac:dyDescent="0.25">
      <c r="A110" s="124">
        <v>43627</v>
      </c>
      <c r="B110" s="34" t="s">
        <v>5360</v>
      </c>
      <c r="C110" s="8">
        <v>10000</v>
      </c>
      <c r="D110" s="8"/>
      <c r="E110" s="113">
        <f t="shared" si="1"/>
        <v>508</v>
      </c>
    </row>
    <row r="111" spans="1:5" x14ac:dyDescent="0.25">
      <c r="A111" s="124">
        <v>43627</v>
      </c>
      <c r="B111" s="34" t="s">
        <v>295</v>
      </c>
      <c r="C111" s="8"/>
      <c r="D111" s="8">
        <v>40000</v>
      </c>
      <c r="E111" s="113">
        <f t="shared" si="1"/>
        <v>40508</v>
      </c>
    </row>
    <row r="112" spans="1:5" x14ac:dyDescent="0.25">
      <c r="A112" s="124">
        <v>43631</v>
      </c>
      <c r="B112" s="34" t="s">
        <v>5372</v>
      </c>
      <c r="C112" s="8">
        <v>25000</v>
      </c>
      <c r="D112" s="8"/>
      <c r="E112" s="113">
        <f t="shared" si="1"/>
        <v>15508</v>
      </c>
    </row>
    <row r="113" spans="1:5" x14ac:dyDescent="0.25">
      <c r="A113" s="124">
        <v>43631</v>
      </c>
      <c r="B113" s="34" t="s">
        <v>5373</v>
      </c>
      <c r="C113" s="8">
        <v>4000</v>
      </c>
      <c r="D113" s="8"/>
      <c r="E113" s="113">
        <f t="shared" si="1"/>
        <v>11508</v>
      </c>
    </row>
    <row r="114" spans="1:5" x14ac:dyDescent="0.25">
      <c r="A114" s="124">
        <v>43647</v>
      </c>
      <c r="B114" s="34" t="s">
        <v>5318</v>
      </c>
      <c r="C114" s="8">
        <v>5000</v>
      </c>
      <c r="D114" s="8"/>
      <c r="E114" s="113">
        <f t="shared" si="1"/>
        <v>6508</v>
      </c>
    </row>
    <row r="115" spans="1:5" x14ac:dyDescent="0.25">
      <c r="A115" s="124">
        <v>43649</v>
      </c>
      <c r="B115" s="34" t="s">
        <v>5431</v>
      </c>
      <c r="C115" s="8">
        <v>1000</v>
      </c>
      <c r="D115" s="8"/>
      <c r="E115" s="113">
        <f t="shared" si="1"/>
        <v>5508</v>
      </c>
    </row>
    <row r="116" spans="1:5" x14ac:dyDescent="0.25">
      <c r="A116" s="124">
        <v>43649</v>
      </c>
      <c r="B116" s="34" t="s">
        <v>5432</v>
      </c>
      <c r="C116" s="8">
        <v>3000</v>
      </c>
      <c r="D116" s="8"/>
      <c r="E116" s="113">
        <f t="shared" si="1"/>
        <v>2508</v>
      </c>
    </row>
    <row r="117" spans="1:5" x14ac:dyDescent="0.25">
      <c r="A117" s="124">
        <v>43649</v>
      </c>
      <c r="B117" s="34" t="s">
        <v>5433</v>
      </c>
      <c r="C117" s="8">
        <v>2000</v>
      </c>
      <c r="D117" s="8"/>
      <c r="E117" s="113">
        <f t="shared" si="1"/>
        <v>508</v>
      </c>
    </row>
    <row r="118" spans="1:5" x14ac:dyDescent="0.25">
      <c r="A118" s="124">
        <v>43649</v>
      </c>
      <c r="B118" s="34" t="s">
        <v>5434</v>
      </c>
      <c r="C118" s="8">
        <v>2000</v>
      </c>
      <c r="D118" s="8"/>
      <c r="E118" s="113">
        <f t="shared" si="1"/>
        <v>-1492</v>
      </c>
    </row>
    <row r="119" spans="1:5" x14ac:dyDescent="0.25">
      <c r="A119" s="124">
        <v>43657</v>
      </c>
      <c r="B119" s="34" t="s">
        <v>641</v>
      </c>
      <c r="C119" s="8">
        <v>1000</v>
      </c>
      <c r="D119" s="8"/>
      <c r="E119" s="113">
        <f t="shared" si="1"/>
        <v>-2492</v>
      </c>
    </row>
    <row r="120" spans="1:5" x14ac:dyDescent="0.25">
      <c r="A120" s="124">
        <v>43657</v>
      </c>
      <c r="B120" s="52" t="s">
        <v>295</v>
      </c>
      <c r="C120" s="8"/>
      <c r="D120" s="8">
        <v>13000</v>
      </c>
      <c r="E120" s="113">
        <f t="shared" si="1"/>
        <v>10508</v>
      </c>
    </row>
    <row r="121" spans="1:5" x14ac:dyDescent="0.25">
      <c r="A121" s="124">
        <v>43662</v>
      </c>
      <c r="B121" s="52" t="s">
        <v>4705</v>
      </c>
      <c r="C121" s="8">
        <v>500</v>
      </c>
      <c r="D121" s="8"/>
      <c r="E121" s="113">
        <f t="shared" si="1"/>
        <v>10008</v>
      </c>
    </row>
    <row r="122" spans="1:5" x14ac:dyDescent="0.25">
      <c r="A122" s="124">
        <v>43668</v>
      </c>
      <c r="B122" s="52" t="s">
        <v>295</v>
      </c>
      <c r="C122" s="8"/>
      <c r="D122" s="8">
        <v>5000</v>
      </c>
      <c r="E122" s="113">
        <f t="shared" si="1"/>
        <v>15008</v>
      </c>
    </row>
    <row r="123" spans="1:5" x14ac:dyDescent="0.25">
      <c r="A123" s="124">
        <v>43668</v>
      </c>
      <c r="B123" s="52" t="s">
        <v>5511</v>
      </c>
      <c r="C123" s="8">
        <v>4000</v>
      </c>
      <c r="D123" s="8"/>
      <c r="E123" s="113">
        <f t="shared" si="1"/>
        <v>11008</v>
      </c>
    </row>
    <row r="124" spans="1:5" x14ac:dyDescent="0.25">
      <c r="A124" s="124">
        <v>43668</v>
      </c>
      <c r="B124" s="52" t="s">
        <v>5514</v>
      </c>
      <c r="C124" s="8"/>
      <c r="D124" s="8">
        <v>50000</v>
      </c>
      <c r="E124" s="113">
        <f t="shared" si="1"/>
        <v>61008</v>
      </c>
    </row>
    <row r="125" spans="1:5" x14ac:dyDescent="0.25">
      <c r="A125" s="124">
        <v>43669</v>
      </c>
      <c r="B125" s="34" t="s">
        <v>295</v>
      </c>
      <c r="C125" s="8"/>
      <c r="D125" s="8">
        <v>5000</v>
      </c>
      <c r="E125" s="113">
        <f t="shared" si="1"/>
        <v>66008</v>
      </c>
    </row>
    <row r="126" spans="1:5" x14ac:dyDescent="0.25">
      <c r="A126" s="124">
        <v>43672</v>
      </c>
      <c r="B126" s="34" t="s">
        <v>5527</v>
      </c>
      <c r="C126" s="8">
        <v>15000</v>
      </c>
      <c r="D126" s="8"/>
      <c r="E126" s="113">
        <f t="shared" si="1"/>
        <v>51008</v>
      </c>
    </row>
    <row r="127" spans="1:5" x14ac:dyDescent="0.25">
      <c r="A127" s="124">
        <v>43672</v>
      </c>
      <c r="B127" s="52" t="s">
        <v>5528</v>
      </c>
      <c r="C127" s="8">
        <v>30000</v>
      </c>
      <c r="D127" s="8"/>
      <c r="E127" s="113">
        <f t="shared" si="1"/>
        <v>21008</v>
      </c>
    </row>
    <row r="128" spans="1:5" x14ac:dyDescent="0.25">
      <c r="A128" s="124">
        <v>43673</v>
      </c>
      <c r="B128" s="52" t="s">
        <v>295</v>
      </c>
      <c r="C128" s="8"/>
      <c r="D128" s="8">
        <v>9000</v>
      </c>
      <c r="E128" s="113">
        <f t="shared" si="1"/>
        <v>30008</v>
      </c>
    </row>
    <row r="129" spans="1:5" x14ac:dyDescent="0.25">
      <c r="A129" s="124">
        <v>43673</v>
      </c>
      <c r="B129" s="52" t="s">
        <v>5158</v>
      </c>
      <c r="C129" s="8">
        <v>2000</v>
      </c>
      <c r="D129" s="8"/>
      <c r="E129" s="113">
        <f t="shared" si="1"/>
        <v>28008</v>
      </c>
    </row>
    <row r="130" spans="1:5" x14ac:dyDescent="0.25">
      <c r="A130" s="124">
        <v>43673</v>
      </c>
      <c r="B130" s="52" t="s">
        <v>4368</v>
      </c>
      <c r="C130" s="8">
        <v>2000</v>
      </c>
      <c r="D130" s="8"/>
      <c r="E130" s="113">
        <f t="shared" si="1"/>
        <v>26008</v>
      </c>
    </row>
    <row r="131" spans="1:5" x14ac:dyDescent="0.25">
      <c r="A131" s="124">
        <v>43673</v>
      </c>
      <c r="B131" s="52" t="s">
        <v>5158</v>
      </c>
      <c r="C131" s="8">
        <f>1000+1480+1000+4500+4200</f>
        <v>12180</v>
      </c>
      <c r="D131" s="8"/>
      <c r="E131" s="113">
        <f t="shared" si="1"/>
        <v>13828</v>
      </c>
    </row>
    <row r="132" spans="1:5" x14ac:dyDescent="0.25">
      <c r="A132" s="124">
        <v>43673</v>
      </c>
      <c r="B132" s="52" t="s">
        <v>5444</v>
      </c>
      <c r="C132" s="8">
        <f>500+500+500+3100</f>
        <v>4600</v>
      </c>
      <c r="D132" s="8"/>
      <c r="E132" s="113">
        <f t="shared" si="1"/>
        <v>9228</v>
      </c>
    </row>
    <row r="133" spans="1:5" x14ac:dyDescent="0.25">
      <c r="A133" s="124">
        <v>43679</v>
      </c>
      <c r="B133" s="52" t="s">
        <v>295</v>
      </c>
      <c r="C133" s="8"/>
      <c r="D133" s="8">
        <v>2000</v>
      </c>
      <c r="E133" s="113">
        <f t="shared" si="1"/>
        <v>11228</v>
      </c>
    </row>
    <row r="134" spans="1:5" x14ac:dyDescent="0.25">
      <c r="A134" s="124">
        <v>43696</v>
      </c>
      <c r="B134" s="52" t="s">
        <v>1533</v>
      </c>
      <c r="C134" s="8"/>
      <c r="D134" s="8">
        <v>5000</v>
      </c>
      <c r="E134" s="113">
        <f t="shared" si="1"/>
        <v>16228</v>
      </c>
    </row>
    <row r="135" spans="1:5" x14ac:dyDescent="0.25">
      <c r="A135" s="124">
        <v>43705</v>
      </c>
      <c r="B135" s="52" t="s">
        <v>5337</v>
      </c>
      <c r="C135" s="8">
        <f>2000+500+1000</f>
        <v>3500</v>
      </c>
      <c r="D135" s="8"/>
      <c r="E135" s="113">
        <f t="shared" si="1"/>
        <v>12728</v>
      </c>
    </row>
    <row r="136" spans="1:5" x14ac:dyDescent="0.25">
      <c r="A136" s="124">
        <v>43705</v>
      </c>
      <c r="B136" s="52" t="s">
        <v>4655</v>
      </c>
      <c r="C136" s="8">
        <f>1000+1000+2250</f>
        <v>4250</v>
      </c>
      <c r="D136" s="8"/>
      <c r="E136" s="113">
        <f t="shared" si="1"/>
        <v>8478</v>
      </c>
    </row>
    <row r="137" spans="1:5" x14ac:dyDescent="0.25">
      <c r="A137" s="124">
        <v>43705</v>
      </c>
      <c r="B137" s="52" t="s">
        <v>5634</v>
      </c>
      <c r="C137" s="8">
        <f>1000+1000+500</f>
        <v>2500</v>
      </c>
      <c r="D137" s="8"/>
      <c r="E137" s="113">
        <f t="shared" si="1"/>
        <v>5978</v>
      </c>
    </row>
    <row r="138" spans="1:5" x14ac:dyDescent="0.25">
      <c r="A138" s="124">
        <v>43710</v>
      </c>
      <c r="B138" s="34" t="s">
        <v>1533</v>
      </c>
      <c r="C138" s="8"/>
      <c r="D138" s="8">
        <v>22000</v>
      </c>
      <c r="E138" s="113">
        <f t="shared" si="1"/>
        <v>27978</v>
      </c>
    </row>
    <row r="139" spans="1:5" x14ac:dyDescent="0.25">
      <c r="A139" s="124">
        <v>43710</v>
      </c>
      <c r="B139" s="52" t="s">
        <v>4354</v>
      </c>
      <c r="C139" s="8"/>
      <c r="D139" s="8">
        <v>60000</v>
      </c>
      <c r="E139" s="113">
        <f t="shared" si="1"/>
        <v>87978</v>
      </c>
    </row>
    <row r="140" spans="1:5" x14ac:dyDescent="0.25">
      <c r="A140" s="124">
        <v>43733</v>
      </c>
      <c r="B140" s="52" t="s">
        <v>4354</v>
      </c>
      <c r="C140" s="8"/>
      <c r="D140" s="8">
        <v>4000</v>
      </c>
      <c r="E140" s="113">
        <f t="shared" si="1"/>
        <v>91978</v>
      </c>
    </row>
    <row r="141" spans="1:5" x14ac:dyDescent="0.25">
      <c r="A141" s="124">
        <v>43738</v>
      </c>
      <c r="B141" s="52" t="s">
        <v>5758</v>
      </c>
      <c r="C141" s="8">
        <v>42000</v>
      </c>
      <c r="D141" s="8"/>
      <c r="E141" s="113">
        <f t="shared" si="1"/>
        <v>49978</v>
      </c>
    </row>
    <row r="142" spans="1:5" x14ac:dyDescent="0.25">
      <c r="A142" s="124">
        <v>43738</v>
      </c>
      <c r="B142" s="52" t="s">
        <v>5759</v>
      </c>
      <c r="C142" s="8">
        <v>115000</v>
      </c>
      <c r="D142" s="8"/>
      <c r="E142" s="113">
        <f t="shared" si="1"/>
        <v>-65022</v>
      </c>
    </row>
    <row r="143" spans="1:5" x14ac:dyDescent="0.25">
      <c r="A143" s="124">
        <v>43738</v>
      </c>
      <c r="B143" s="52" t="s">
        <v>31</v>
      </c>
      <c r="C143" s="8">
        <v>10100</v>
      </c>
      <c r="D143" s="8"/>
      <c r="E143" s="113">
        <f t="shared" si="1"/>
        <v>-75122</v>
      </c>
    </row>
    <row r="144" spans="1:5" x14ac:dyDescent="0.25">
      <c r="A144" s="124">
        <v>43738</v>
      </c>
      <c r="B144" s="52" t="s">
        <v>4705</v>
      </c>
      <c r="C144" s="57">
        <v>2000</v>
      </c>
      <c r="D144" s="8"/>
      <c r="E144" s="113">
        <f t="shared" si="1"/>
        <v>-77122</v>
      </c>
    </row>
    <row r="145" spans="1:7" x14ac:dyDescent="0.25">
      <c r="A145" s="124">
        <v>43745</v>
      </c>
      <c r="B145" s="52" t="s">
        <v>5794</v>
      </c>
      <c r="C145" s="8">
        <v>5500</v>
      </c>
      <c r="D145" s="8"/>
      <c r="E145" s="113">
        <f t="shared" si="1"/>
        <v>-82622</v>
      </c>
    </row>
    <row r="146" spans="1:7" x14ac:dyDescent="0.25">
      <c r="A146" s="124">
        <v>43745</v>
      </c>
      <c r="B146" s="34" t="s">
        <v>295</v>
      </c>
      <c r="C146" s="8"/>
      <c r="D146" s="8">
        <v>9000</v>
      </c>
      <c r="E146" s="113">
        <f t="shared" si="1"/>
        <v>-73622</v>
      </c>
    </row>
    <row r="147" spans="1:7" x14ac:dyDescent="0.25">
      <c r="A147" s="124">
        <v>43745</v>
      </c>
      <c r="B147" s="34" t="s">
        <v>5433</v>
      </c>
      <c r="C147" s="8">
        <v>500</v>
      </c>
      <c r="D147" s="8"/>
      <c r="E147" s="113">
        <f t="shared" si="1"/>
        <v>-74122</v>
      </c>
    </row>
    <row r="148" spans="1:7" x14ac:dyDescent="0.25">
      <c r="A148" s="124">
        <v>43745</v>
      </c>
      <c r="B148" s="34" t="s">
        <v>5434</v>
      </c>
      <c r="C148" s="8">
        <v>4000</v>
      </c>
      <c r="D148" s="8"/>
      <c r="E148" s="113">
        <f t="shared" si="1"/>
        <v>-78122</v>
      </c>
    </row>
    <row r="149" spans="1:7" x14ac:dyDescent="0.25">
      <c r="A149" s="124">
        <v>43745</v>
      </c>
      <c r="B149" s="34" t="s">
        <v>5434</v>
      </c>
      <c r="C149" s="8">
        <v>12000</v>
      </c>
      <c r="D149" s="8"/>
      <c r="E149" s="113">
        <f t="shared" si="1"/>
        <v>-90122</v>
      </c>
    </row>
    <row r="150" spans="1:7" x14ac:dyDescent="0.25">
      <c r="A150" s="124">
        <v>43745</v>
      </c>
      <c r="B150" s="34" t="s">
        <v>5803</v>
      </c>
      <c r="C150" s="8">
        <v>8144</v>
      </c>
      <c r="D150" s="8"/>
      <c r="E150" s="113">
        <f t="shared" si="1"/>
        <v>-98266</v>
      </c>
    </row>
    <row r="151" spans="1:7" x14ac:dyDescent="0.25">
      <c r="A151" s="124">
        <v>43745</v>
      </c>
      <c r="B151" s="52" t="s">
        <v>5318</v>
      </c>
      <c r="C151" s="8">
        <v>6500</v>
      </c>
      <c r="D151" s="8"/>
      <c r="E151" s="113">
        <f t="shared" si="1"/>
        <v>-104766</v>
      </c>
    </row>
    <row r="152" spans="1:7" x14ac:dyDescent="0.25">
      <c r="A152" s="124">
        <v>43748</v>
      </c>
      <c r="B152" s="52" t="s">
        <v>5318</v>
      </c>
      <c r="C152" s="8">
        <v>5000</v>
      </c>
      <c r="D152" s="8"/>
      <c r="E152" s="113">
        <f t="shared" si="1"/>
        <v>-109766</v>
      </c>
    </row>
    <row r="153" spans="1:7" x14ac:dyDescent="0.25">
      <c r="A153" s="124">
        <v>43748</v>
      </c>
      <c r="B153" s="52" t="s">
        <v>2597</v>
      </c>
      <c r="C153" s="8">
        <v>10000</v>
      </c>
      <c r="D153" s="8"/>
      <c r="E153" s="113">
        <f t="shared" si="1"/>
        <v>-119766</v>
      </c>
    </row>
    <row r="154" spans="1:7" x14ac:dyDescent="0.25">
      <c r="A154" s="124">
        <v>43749</v>
      </c>
      <c r="B154" s="52" t="s">
        <v>295</v>
      </c>
      <c r="C154" s="8"/>
      <c r="D154" s="8">
        <v>35000</v>
      </c>
      <c r="E154" s="113">
        <f t="shared" si="1"/>
        <v>-84766</v>
      </c>
    </row>
    <row r="155" spans="1:7" x14ac:dyDescent="0.25">
      <c r="A155" s="124">
        <v>43749</v>
      </c>
      <c r="B155" s="52" t="s">
        <v>5817</v>
      </c>
      <c r="C155" s="8">
        <v>16000</v>
      </c>
      <c r="D155" s="8"/>
      <c r="E155" s="113">
        <f t="shared" si="1"/>
        <v>-100766</v>
      </c>
    </row>
    <row r="156" spans="1:7" s="5" customFormat="1" x14ac:dyDescent="0.25">
      <c r="A156" s="124">
        <v>43752</v>
      </c>
      <c r="B156" s="52" t="s">
        <v>295</v>
      </c>
      <c r="C156" s="8"/>
      <c r="D156" s="8">
        <v>100000</v>
      </c>
      <c r="E156" s="113">
        <f t="shared" ref="E156:E219" si="2">E155+D156-C156</f>
        <v>-766</v>
      </c>
      <c r="G156" s="10"/>
    </row>
    <row r="157" spans="1:7" x14ac:dyDescent="0.25">
      <c r="A157" s="124">
        <v>43753</v>
      </c>
      <c r="B157" s="34" t="s">
        <v>5150</v>
      </c>
      <c r="C157" s="8">
        <v>3000</v>
      </c>
      <c r="D157" s="8"/>
      <c r="E157" s="113">
        <f t="shared" si="2"/>
        <v>-3766</v>
      </c>
    </row>
    <row r="158" spans="1:7" x14ac:dyDescent="0.25">
      <c r="A158" s="124">
        <v>43756</v>
      </c>
      <c r="B158" s="34" t="s">
        <v>5832</v>
      </c>
      <c r="C158" s="8">
        <v>50000</v>
      </c>
      <c r="D158" s="8"/>
      <c r="E158" s="113">
        <f t="shared" si="2"/>
        <v>-53766</v>
      </c>
    </row>
    <row r="159" spans="1:7" x14ac:dyDescent="0.25">
      <c r="A159" s="124">
        <v>43756</v>
      </c>
      <c r="B159" s="34" t="s">
        <v>5833</v>
      </c>
      <c r="C159" s="8">
        <v>1000</v>
      </c>
      <c r="D159" s="8"/>
      <c r="E159" s="113">
        <f t="shared" si="2"/>
        <v>-54766</v>
      </c>
    </row>
    <row r="160" spans="1:7" x14ac:dyDescent="0.25">
      <c r="A160" s="124">
        <v>43760</v>
      </c>
      <c r="B160" s="34" t="s">
        <v>5852</v>
      </c>
      <c r="C160" s="8">
        <v>50000</v>
      </c>
      <c r="D160" s="8"/>
      <c r="E160" s="113">
        <f t="shared" si="2"/>
        <v>-104766</v>
      </c>
    </row>
    <row r="161" spans="1:5" x14ac:dyDescent="0.25">
      <c r="A161" s="124">
        <v>43760</v>
      </c>
      <c r="B161" s="34" t="s">
        <v>5853</v>
      </c>
      <c r="C161" s="8"/>
      <c r="D161" s="8">
        <v>100000</v>
      </c>
      <c r="E161" s="113">
        <f t="shared" si="2"/>
        <v>-4766</v>
      </c>
    </row>
    <row r="162" spans="1:5" x14ac:dyDescent="0.25">
      <c r="A162" s="124">
        <v>43761</v>
      </c>
      <c r="B162" s="34" t="s">
        <v>5855</v>
      </c>
      <c r="C162" s="8">
        <v>7000</v>
      </c>
      <c r="D162" s="8"/>
      <c r="E162" s="113">
        <f t="shared" si="2"/>
        <v>-11766</v>
      </c>
    </row>
    <row r="163" spans="1:5" x14ac:dyDescent="0.25">
      <c r="A163" s="124">
        <v>43761</v>
      </c>
      <c r="B163" s="34" t="s">
        <v>4632</v>
      </c>
      <c r="C163" s="8">
        <v>2000</v>
      </c>
      <c r="D163" s="8"/>
      <c r="E163" s="113">
        <f t="shared" si="2"/>
        <v>-13766</v>
      </c>
    </row>
    <row r="164" spans="1:5" x14ac:dyDescent="0.25">
      <c r="A164" s="124">
        <v>43761</v>
      </c>
      <c r="B164" s="34" t="s">
        <v>5001</v>
      </c>
      <c r="C164" s="8">
        <v>51080</v>
      </c>
      <c r="D164" s="8"/>
      <c r="E164" s="113">
        <f t="shared" si="2"/>
        <v>-64846</v>
      </c>
    </row>
    <row r="165" spans="1:5" x14ac:dyDescent="0.25">
      <c r="A165" s="124">
        <v>43761</v>
      </c>
      <c r="B165" s="34" t="s">
        <v>295</v>
      </c>
      <c r="C165" s="8"/>
      <c r="D165" s="8">
        <v>64000</v>
      </c>
      <c r="E165" s="113">
        <f t="shared" si="2"/>
        <v>-846</v>
      </c>
    </row>
    <row r="166" spans="1:5" x14ac:dyDescent="0.25">
      <c r="A166" s="124">
        <v>43761</v>
      </c>
      <c r="B166" s="52" t="s">
        <v>4390</v>
      </c>
      <c r="C166" s="8">
        <v>2550</v>
      </c>
      <c r="D166" s="8"/>
      <c r="E166" s="113">
        <f t="shared" si="2"/>
        <v>-3396</v>
      </c>
    </row>
    <row r="167" spans="1:5" x14ac:dyDescent="0.25">
      <c r="A167" s="124">
        <v>43761</v>
      </c>
      <c r="B167" s="52" t="s">
        <v>1533</v>
      </c>
      <c r="C167" s="8"/>
      <c r="D167" s="8">
        <v>15000</v>
      </c>
      <c r="E167" s="113">
        <f t="shared" si="2"/>
        <v>11604</v>
      </c>
    </row>
    <row r="168" spans="1:5" x14ac:dyDescent="0.25">
      <c r="A168" s="124">
        <v>43763</v>
      </c>
      <c r="B168" s="52" t="s">
        <v>5877</v>
      </c>
      <c r="C168" s="8"/>
      <c r="D168" s="8">
        <v>6850</v>
      </c>
      <c r="E168" s="113">
        <f t="shared" si="2"/>
        <v>18454</v>
      </c>
    </row>
    <row r="169" spans="1:5" x14ac:dyDescent="0.25">
      <c r="A169" s="124">
        <v>43763</v>
      </c>
      <c r="B169" s="34" t="s">
        <v>5900</v>
      </c>
      <c r="C169" s="8">
        <v>10000</v>
      </c>
      <c r="D169" s="8"/>
      <c r="E169" s="113">
        <f t="shared" si="2"/>
        <v>8454</v>
      </c>
    </row>
    <row r="170" spans="1:5" x14ac:dyDescent="0.25">
      <c r="A170" s="124">
        <v>43771</v>
      </c>
      <c r="B170" s="34" t="s">
        <v>295</v>
      </c>
      <c r="C170" s="8"/>
      <c r="D170" s="8">
        <v>40000</v>
      </c>
      <c r="E170" s="113">
        <f t="shared" si="2"/>
        <v>48454</v>
      </c>
    </row>
    <row r="171" spans="1:5" x14ac:dyDescent="0.25">
      <c r="A171" s="124">
        <v>43808</v>
      </c>
      <c r="B171" s="52" t="s">
        <v>5975</v>
      </c>
      <c r="C171" s="8">
        <v>2000</v>
      </c>
      <c r="D171" s="8"/>
      <c r="E171" s="113">
        <f t="shared" si="2"/>
        <v>46454</v>
      </c>
    </row>
    <row r="172" spans="1:5" x14ac:dyDescent="0.25">
      <c r="A172" s="124">
        <v>43808</v>
      </c>
      <c r="B172" s="52" t="s">
        <v>5976</v>
      </c>
      <c r="C172" s="8">
        <v>5000</v>
      </c>
      <c r="D172" s="8"/>
      <c r="E172" s="113">
        <f t="shared" si="2"/>
        <v>41454</v>
      </c>
    </row>
    <row r="173" spans="1:5" x14ac:dyDescent="0.25">
      <c r="A173" s="124">
        <v>43808</v>
      </c>
      <c r="B173" s="34" t="s">
        <v>4390</v>
      </c>
      <c r="C173" s="8">
        <v>27150</v>
      </c>
      <c r="D173" s="8"/>
      <c r="E173" s="113">
        <f t="shared" si="2"/>
        <v>14304</v>
      </c>
    </row>
    <row r="174" spans="1:5" x14ac:dyDescent="0.25">
      <c r="A174" s="124">
        <v>43808</v>
      </c>
      <c r="B174" s="34" t="s">
        <v>295</v>
      </c>
      <c r="C174" s="8"/>
      <c r="D174" s="8">
        <v>5000</v>
      </c>
      <c r="E174" s="113">
        <f t="shared" si="2"/>
        <v>19304</v>
      </c>
    </row>
    <row r="175" spans="1:5" x14ac:dyDescent="0.25">
      <c r="A175" s="124">
        <v>43810</v>
      </c>
      <c r="B175" s="34" t="s">
        <v>295</v>
      </c>
      <c r="C175" s="8"/>
      <c r="D175" s="8">
        <v>10000</v>
      </c>
      <c r="E175" s="113">
        <f t="shared" si="2"/>
        <v>29304</v>
      </c>
    </row>
    <row r="176" spans="1:5" x14ac:dyDescent="0.25">
      <c r="A176" s="124">
        <v>43810</v>
      </c>
      <c r="B176" s="34" t="s">
        <v>4314</v>
      </c>
      <c r="C176" s="8"/>
      <c r="D176" s="8">
        <v>20000</v>
      </c>
      <c r="E176" s="113">
        <f t="shared" si="2"/>
        <v>49304</v>
      </c>
    </row>
    <row r="177" spans="1:7" s="5" customFormat="1" x14ac:dyDescent="0.25">
      <c r="A177" s="124">
        <v>43810</v>
      </c>
      <c r="B177" s="34" t="s">
        <v>4314</v>
      </c>
      <c r="C177" s="8"/>
      <c r="D177" s="8">
        <v>5000</v>
      </c>
      <c r="E177" s="113">
        <f t="shared" si="2"/>
        <v>54304</v>
      </c>
      <c r="G177" s="10"/>
    </row>
    <row r="178" spans="1:7" x14ac:dyDescent="0.25">
      <c r="A178" s="124">
        <v>43810</v>
      </c>
      <c r="B178" s="34" t="s">
        <v>6013</v>
      </c>
      <c r="C178" s="8">
        <v>15000</v>
      </c>
      <c r="D178" s="8"/>
      <c r="E178" s="113">
        <f t="shared" si="2"/>
        <v>39304</v>
      </c>
    </row>
    <row r="179" spans="1:7" x14ac:dyDescent="0.25">
      <c r="A179" s="124">
        <v>43810</v>
      </c>
      <c r="B179" s="34" t="s">
        <v>3733</v>
      </c>
      <c r="C179" s="8"/>
      <c r="D179" s="8">
        <v>1000</v>
      </c>
      <c r="E179" s="113">
        <f t="shared" si="2"/>
        <v>40304</v>
      </c>
    </row>
    <row r="180" spans="1:7" s="5" customFormat="1" x14ac:dyDescent="0.25">
      <c r="A180" s="124">
        <v>43810</v>
      </c>
      <c r="B180" s="34" t="s">
        <v>3733</v>
      </c>
      <c r="C180" s="8"/>
      <c r="D180" s="8">
        <v>55000</v>
      </c>
      <c r="E180" s="113">
        <f t="shared" si="2"/>
        <v>95304</v>
      </c>
      <c r="G180" s="10"/>
    </row>
    <row r="181" spans="1:7" x14ac:dyDescent="0.25">
      <c r="A181" s="124">
        <v>43831</v>
      </c>
      <c r="B181" s="34" t="s">
        <v>6053</v>
      </c>
      <c r="C181" s="8">
        <v>5000</v>
      </c>
      <c r="D181" s="8"/>
      <c r="E181" s="113">
        <f t="shared" si="2"/>
        <v>90304</v>
      </c>
    </row>
    <row r="182" spans="1:7" x14ac:dyDescent="0.25">
      <c r="A182" s="124">
        <v>43831</v>
      </c>
      <c r="B182" s="34" t="s">
        <v>6054</v>
      </c>
      <c r="C182" s="8">
        <v>5000</v>
      </c>
      <c r="D182" s="8"/>
      <c r="E182" s="113">
        <f>E181+D182-C182</f>
        <v>85304</v>
      </c>
    </row>
    <row r="183" spans="1:7" x14ac:dyDescent="0.25">
      <c r="A183" s="124">
        <v>43831</v>
      </c>
      <c r="B183" s="34" t="s">
        <v>6055</v>
      </c>
      <c r="C183" s="8">
        <v>20000</v>
      </c>
      <c r="D183" s="8"/>
      <c r="E183" s="113">
        <f t="shared" si="2"/>
        <v>65304</v>
      </c>
    </row>
    <row r="184" spans="1:7" x14ac:dyDescent="0.25">
      <c r="A184" s="124">
        <v>43831</v>
      </c>
      <c r="B184" s="34" t="s">
        <v>3924</v>
      </c>
      <c r="C184" s="8">
        <v>39790</v>
      </c>
      <c r="D184" s="8"/>
      <c r="E184" s="113">
        <f t="shared" si="2"/>
        <v>25514</v>
      </c>
    </row>
    <row r="185" spans="1:7" x14ac:dyDescent="0.25">
      <c r="A185" s="124">
        <v>43831</v>
      </c>
      <c r="B185" s="34" t="s">
        <v>641</v>
      </c>
      <c r="C185" s="8">
        <v>1000</v>
      </c>
      <c r="D185" s="8"/>
      <c r="E185" s="113">
        <f t="shared" si="2"/>
        <v>24514</v>
      </c>
    </row>
    <row r="186" spans="1:7" x14ac:dyDescent="0.25">
      <c r="A186" s="124">
        <v>43831</v>
      </c>
      <c r="B186" s="34" t="s">
        <v>8</v>
      </c>
      <c r="C186" s="8">
        <v>500</v>
      </c>
      <c r="D186" s="8"/>
      <c r="E186" s="113">
        <f t="shared" si="2"/>
        <v>24014</v>
      </c>
    </row>
    <row r="187" spans="1:7" x14ac:dyDescent="0.25">
      <c r="A187" s="124">
        <v>43844</v>
      </c>
      <c r="B187" s="52" t="s">
        <v>5158</v>
      </c>
      <c r="C187" s="8">
        <v>23500</v>
      </c>
      <c r="D187" s="8"/>
      <c r="E187" s="113">
        <f t="shared" si="2"/>
        <v>514</v>
      </c>
    </row>
    <row r="188" spans="1:7" s="5" customFormat="1" x14ac:dyDescent="0.25">
      <c r="A188" s="124">
        <v>43810</v>
      </c>
      <c r="B188" s="34" t="s">
        <v>3733</v>
      </c>
      <c r="C188" s="8"/>
      <c r="D188" s="8">
        <v>30000</v>
      </c>
      <c r="E188" s="113">
        <f t="shared" ref="E188:E191" si="3">E187+D188-C188</f>
        <v>30514</v>
      </c>
      <c r="G188" s="10"/>
    </row>
    <row r="189" spans="1:7" x14ac:dyDescent="0.25">
      <c r="A189" s="124">
        <v>43844</v>
      </c>
      <c r="B189" s="52" t="s">
        <v>5157</v>
      </c>
      <c r="C189" s="8">
        <v>5000</v>
      </c>
      <c r="D189" s="8"/>
      <c r="E189" s="113">
        <f t="shared" si="3"/>
        <v>25514</v>
      </c>
    </row>
    <row r="190" spans="1:7" s="5" customFormat="1" x14ac:dyDescent="0.25">
      <c r="A190" s="124">
        <v>43845</v>
      </c>
      <c r="B190" s="52" t="s">
        <v>295</v>
      </c>
      <c r="C190" s="8"/>
      <c r="D190" s="8">
        <v>5000</v>
      </c>
      <c r="E190" s="113">
        <f t="shared" si="3"/>
        <v>30514</v>
      </c>
      <c r="G190" s="10"/>
    </row>
    <row r="191" spans="1:7" x14ac:dyDescent="0.25">
      <c r="A191" s="124">
        <v>43844</v>
      </c>
      <c r="B191" s="34" t="s">
        <v>4368</v>
      </c>
      <c r="C191" s="8">
        <v>500</v>
      </c>
      <c r="D191" s="8"/>
      <c r="E191" s="113">
        <f t="shared" si="3"/>
        <v>30014</v>
      </c>
    </row>
    <row r="192" spans="1:7" x14ac:dyDescent="0.25">
      <c r="A192" s="124">
        <v>43844</v>
      </c>
      <c r="B192" s="34" t="s">
        <v>5339</v>
      </c>
      <c r="C192" s="8">
        <v>4000</v>
      </c>
      <c r="D192" s="8"/>
      <c r="E192" s="113">
        <f t="shared" si="2"/>
        <v>26014</v>
      </c>
    </row>
    <row r="193" spans="1:7" x14ac:dyDescent="0.25">
      <c r="A193" s="124">
        <v>43844</v>
      </c>
      <c r="B193" s="34" t="s">
        <v>6074</v>
      </c>
      <c r="C193" s="8">
        <v>8000</v>
      </c>
      <c r="D193" s="8"/>
      <c r="E193" s="113">
        <f t="shared" si="2"/>
        <v>18014</v>
      </c>
    </row>
    <row r="194" spans="1:7" x14ac:dyDescent="0.25">
      <c r="A194" s="124">
        <v>43844</v>
      </c>
      <c r="B194" s="34" t="s">
        <v>6075</v>
      </c>
      <c r="C194" s="57">
        <v>5000</v>
      </c>
      <c r="D194" s="8"/>
      <c r="E194" s="113">
        <f t="shared" si="2"/>
        <v>13014</v>
      </c>
    </row>
    <row r="195" spans="1:7" x14ac:dyDescent="0.25">
      <c r="A195" s="124">
        <v>43853</v>
      </c>
      <c r="B195" s="52" t="s">
        <v>5158</v>
      </c>
      <c r="C195" s="8">
        <v>2000</v>
      </c>
      <c r="D195" s="8"/>
      <c r="E195" s="113">
        <f t="shared" si="2"/>
        <v>11014</v>
      </c>
    </row>
    <row r="196" spans="1:7" x14ac:dyDescent="0.25">
      <c r="A196" s="124">
        <v>43853</v>
      </c>
      <c r="B196" s="52" t="s">
        <v>5157</v>
      </c>
      <c r="C196" s="8">
        <v>2000</v>
      </c>
      <c r="D196" s="8"/>
      <c r="E196" s="113">
        <f t="shared" si="2"/>
        <v>9014</v>
      </c>
    </row>
    <row r="197" spans="1:7" x14ac:dyDescent="0.25">
      <c r="A197" s="124">
        <v>43853</v>
      </c>
      <c r="B197" s="52" t="s">
        <v>6085</v>
      </c>
      <c r="C197" s="8"/>
      <c r="D197" s="8">
        <v>3281</v>
      </c>
      <c r="E197" s="113">
        <f t="shared" si="2"/>
        <v>12295</v>
      </c>
    </row>
    <row r="198" spans="1:7" x14ac:dyDescent="0.25">
      <c r="A198" s="124">
        <v>43857</v>
      </c>
      <c r="B198" s="52" t="s">
        <v>6094</v>
      </c>
      <c r="C198" s="57">
        <v>5000</v>
      </c>
      <c r="D198" s="8"/>
      <c r="E198" s="113">
        <f t="shared" si="2"/>
        <v>7295</v>
      </c>
    </row>
    <row r="199" spans="1:7" x14ac:dyDescent="0.25">
      <c r="A199" s="124">
        <v>43857</v>
      </c>
      <c r="B199" s="52" t="s">
        <v>295</v>
      </c>
      <c r="C199" s="8"/>
      <c r="D199" s="8">
        <v>6000</v>
      </c>
      <c r="E199" s="113">
        <f t="shared" si="2"/>
        <v>13295</v>
      </c>
    </row>
    <row r="200" spans="1:7" x14ac:dyDescent="0.25">
      <c r="A200" s="124">
        <v>43857</v>
      </c>
      <c r="B200" s="52" t="s">
        <v>5431</v>
      </c>
      <c r="C200" s="8">
        <v>8000</v>
      </c>
      <c r="D200" s="8"/>
      <c r="E200" s="113">
        <f t="shared" si="2"/>
        <v>5295</v>
      </c>
    </row>
    <row r="201" spans="1:7" x14ac:dyDescent="0.25">
      <c r="A201" s="124">
        <v>43861</v>
      </c>
      <c r="B201" s="34" t="s">
        <v>295</v>
      </c>
      <c r="C201" s="8"/>
      <c r="D201" s="8">
        <v>5000</v>
      </c>
      <c r="E201" s="113">
        <f t="shared" si="2"/>
        <v>10295</v>
      </c>
    </row>
    <row r="202" spans="1:7" x14ac:dyDescent="0.25">
      <c r="A202" s="124">
        <v>43862</v>
      </c>
      <c r="B202" s="34" t="s">
        <v>295</v>
      </c>
      <c r="C202" s="8"/>
      <c r="D202" s="8">
        <v>7000</v>
      </c>
      <c r="E202" s="113">
        <f t="shared" si="2"/>
        <v>17295</v>
      </c>
    </row>
    <row r="203" spans="1:7" x14ac:dyDescent="0.25">
      <c r="A203" s="124">
        <v>43865</v>
      </c>
      <c r="B203" s="34" t="s">
        <v>6129</v>
      </c>
      <c r="C203" s="8">
        <v>2000</v>
      </c>
      <c r="D203" s="8"/>
      <c r="E203" s="113">
        <f t="shared" si="2"/>
        <v>15295</v>
      </c>
    </row>
    <row r="204" spans="1:7" s="5" customFormat="1" x14ac:dyDescent="0.25">
      <c r="A204" s="124">
        <v>43871</v>
      </c>
      <c r="B204" s="34" t="s">
        <v>295</v>
      </c>
      <c r="C204" s="8"/>
      <c r="D204" s="8">
        <v>300000</v>
      </c>
      <c r="E204" s="113">
        <f t="shared" si="2"/>
        <v>315295</v>
      </c>
      <c r="G204" s="10"/>
    </row>
    <row r="205" spans="1:7" x14ac:dyDescent="0.25">
      <c r="A205" s="124">
        <v>43871</v>
      </c>
      <c r="B205" s="48" t="s">
        <v>6150</v>
      </c>
      <c r="C205" s="10">
        <v>239565</v>
      </c>
      <c r="E205" s="113">
        <f t="shared" si="2"/>
        <v>75730</v>
      </c>
    </row>
    <row r="206" spans="1:7" s="5" customFormat="1" x14ac:dyDescent="0.25">
      <c r="A206" s="124">
        <v>43871</v>
      </c>
      <c r="B206" s="48" t="s">
        <v>5434</v>
      </c>
      <c r="C206" s="10">
        <v>2000</v>
      </c>
      <c r="D206" s="10"/>
      <c r="E206" s="113">
        <f t="shared" si="2"/>
        <v>73730</v>
      </c>
      <c r="G206" s="10"/>
    </row>
    <row r="207" spans="1:7" s="5" customFormat="1" x14ac:dyDescent="0.25">
      <c r="A207" s="124">
        <v>43871</v>
      </c>
      <c r="B207" s="48" t="s">
        <v>5434</v>
      </c>
      <c r="C207" s="10">
        <v>1000</v>
      </c>
      <c r="D207" s="10"/>
      <c r="E207" s="113">
        <f t="shared" si="2"/>
        <v>72730</v>
      </c>
      <c r="G207" s="10"/>
    </row>
    <row r="208" spans="1:7" x14ac:dyDescent="0.25">
      <c r="A208" s="124">
        <v>43871</v>
      </c>
      <c r="B208" s="48" t="s">
        <v>5337</v>
      </c>
      <c r="C208" s="10">
        <v>2000</v>
      </c>
      <c r="E208" s="113">
        <f t="shared" si="2"/>
        <v>70730</v>
      </c>
    </row>
    <row r="209" spans="1:5" x14ac:dyDescent="0.25">
      <c r="A209" s="124">
        <v>43871</v>
      </c>
      <c r="B209" s="48" t="s">
        <v>4632</v>
      </c>
      <c r="C209" s="10">
        <v>1000</v>
      </c>
      <c r="E209" s="113">
        <f t="shared" si="2"/>
        <v>69730</v>
      </c>
    </row>
    <row r="210" spans="1:5" x14ac:dyDescent="0.25">
      <c r="A210" s="124">
        <v>43878</v>
      </c>
      <c r="B210" s="48" t="s">
        <v>3924</v>
      </c>
      <c r="C210" s="10">
        <v>5860</v>
      </c>
      <c r="E210" s="113">
        <f t="shared" si="2"/>
        <v>63870</v>
      </c>
    </row>
    <row r="211" spans="1:5" x14ac:dyDescent="0.25">
      <c r="A211" s="124">
        <v>43879</v>
      </c>
      <c r="B211" s="48" t="s">
        <v>6183</v>
      </c>
      <c r="C211" s="119">
        <v>5000</v>
      </c>
      <c r="E211" s="113">
        <f t="shared" si="2"/>
        <v>58870</v>
      </c>
    </row>
    <row r="212" spans="1:5" x14ac:dyDescent="0.25">
      <c r="A212" s="124">
        <v>43879</v>
      </c>
      <c r="B212" s="48" t="s">
        <v>6184</v>
      </c>
      <c r="C212" s="10">
        <v>1000</v>
      </c>
      <c r="E212" s="113">
        <f t="shared" si="2"/>
        <v>57870</v>
      </c>
    </row>
    <row r="213" spans="1:5" x14ac:dyDescent="0.25">
      <c r="A213" s="124">
        <v>43879</v>
      </c>
      <c r="B213" s="48" t="s">
        <v>6185</v>
      </c>
      <c r="C213" s="10">
        <v>1000</v>
      </c>
      <c r="E213" s="113">
        <f t="shared" si="2"/>
        <v>56870</v>
      </c>
    </row>
    <row r="214" spans="1:5" x14ac:dyDescent="0.25">
      <c r="A214" s="124">
        <v>43879</v>
      </c>
      <c r="B214" s="48" t="s">
        <v>6184</v>
      </c>
      <c r="C214" s="10">
        <v>1000</v>
      </c>
      <c r="E214" s="113">
        <f t="shared" si="2"/>
        <v>55870</v>
      </c>
    </row>
    <row r="215" spans="1:5" x14ac:dyDescent="0.25">
      <c r="A215" s="124">
        <v>43879</v>
      </c>
      <c r="B215" s="48" t="s">
        <v>6184</v>
      </c>
      <c r="C215" s="10">
        <v>1000</v>
      </c>
      <c r="E215" s="113">
        <f t="shared" si="2"/>
        <v>54870</v>
      </c>
    </row>
    <row r="216" spans="1:5" x14ac:dyDescent="0.25">
      <c r="A216" s="124">
        <v>43879</v>
      </c>
      <c r="B216" s="48" t="s">
        <v>6184</v>
      </c>
      <c r="C216" s="10">
        <v>1000</v>
      </c>
      <c r="E216" s="113">
        <f t="shared" si="2"/>
        <v>53870</v>
      </c>
    </row>
    <row r="217" spans="1:5" x14ac:dyDescent="0.25">
      <c r="A217" s="124">
        <v>43885</v>
      </c>
      <c r="B217" s="48" t="s">
        <v>6210</v>
      </c>
      <c r="C217" s="10">
        <v>2000</v>
      </c>
      <c r="E217" s="113">
        <f t="shared" si="2"/>
        <v>51870</v>
      </c>
    </row>
    <row r="218" spans="1:5" x14ac:dyDescent="0.25">
      <c r="A218" s="124">
        <v>43885</v>
      </c>
      <c r="B218" s="48" t="s">
        <v>3924</v>
      </c>
      <c r="C218" s="10">
        <v>31440</v>
      </c>
      <c r="E218" s="113">
        <f t="shared" si="2"/>
        <v>20430</v>
      </c>
    </row>
    <row r="219" spans="1:5" x14ac:dyDescent="0.25">
      <c r="A219" s="124">
        <v>43887</v>
      </c>
      <c r="B219" s="48" t="s">
        <v>6223</v>
      </c>
      <c r="D219" s="10">
        <v>20000</v>
      </c>
      <c r="E219" s="113">
        <f t="shared" si="2"/>
        <v>40430</v>
      </c>
    </row>
    <row r="220" spans="1:5" x14ac:dyDescent="0.25">
      <c r="A220" s="124">
        <v>43887</v>
      </c>
      <c r="B220" s="48" t="s">
        <v>5877</v>
      </c>
      <c r="D220" s="10">
        <v>1630</v>
      </c>
      <c r="E220" s="113">
        <f t="shared" ref="E220:E444" si="4">E219+D220-C220</f>
        <v>42060</v>
      </c>
    </row>
    <row r="221" spans="1:5" x14ac:dyDescent="0.25">
      <c r="A221" s="124">
        <v>43888</v>
      </c>
      <c r="B221" s="48" t="s">
        <v>6226</v>
      </c>
      <c r="C221" s="10">
        <v>3000</v>
      </c>
      <c r="E221" s="113">
        <f t="shared" si="4"/>
        <v>39060</v>
      </c>
    </row>
    <row r="222" spans="1:5" x14ac:dyDescent="0.25">
      <c r="A222" s="124">
        <v>43888</v>
      </c>
      <c r="B222" s="48" t="s">
        <v>5174</v>
      </c>
      <c r="C222" s="10">
        <v>3000</v>
      </c>
      <c r="E222" s="113">
        <f t="shared" si="4"/>
        <v>36060</v>
      </c>
    </row>
    <row r="223" spans="1:5" x14ac:dyDescent="0.25">
      <c r="A223" s="124">
        <v>43888</v>
      </c>
      <c r="B223" s="48" t="s">
        <v>6227</v>
      </c>
      <c r="D223" s="10">
        <v>50000</v>
      </c>
      <c r="E223" s="113">
        <f t="shared" si="4"/>
        <v>86060</v>
      </c>
    </row>
    <row r="224" spans="1:5" x14ac:dyDescent="0.25">
      <c r="A224" s="124">
        <v>43888</v>
      </c>
      <c r="B224" s="48" t="s">
        <v>6234</v>
      </c>
      <c r="C224" s="10">
        <v>10000</v>
      </c>
      <c r="E224" s="113">
        <f t="shared" si="4"/>
        <v>76060</v>
      </c>
    </row>
    <row r="225" spans="1:10" x14ac:dyDescent="0.25">
      <c r="A225" s="124">
        <v>43888</v>
      </c>
      <c r="B225" s="48" t="s">
        <v>6237</v>
      </c>
      <c r="C225" s="10">
        <v>40600</v>
      </c>
      <c r="E225" s="113">
        <f t="shared" si="4"/>
        <v>35460</v>
      </c>
    </row>
    <row r="226" spans="1:10" x14ac:dyDescent="0.25">
      <c r="A226" s="124">
        <v>43893</v>
      </c>
      <c r="B226" s="48" t="s">
        <v>32</v>
      </c>
      <c r="D226" s="10">
        <v>5000</v>
      </c>
      <c r="E226" s="113">
        <f t="shared" si="4"/>
        <v>40460</v>
      </c>
    </row>
    <row r="227" spans="1:10" x14ac:dyDescent="0.25">
      <c r="A227" s="124">
        <v>43896</v>
      </c>
      <c r="B227" s="48" t="s">
        <v>32</v>
      </c>
      <c r="D227" s="10">
        <v>10000</v>
      </c>
      <c r="E227" s="113">
        <f t="shared" si="4"/>
        <v>50460</v>
      </c>
    </row>
    <row r="228" spans="1:10" x14ac:dyDescent="0.25">
      <c r="A228" s="124">
        <v>43896</v>
      </c>
      <c r="B228" s="48" t="s">
        <v>6303</v>
      </c>
      <c r="C228" s="10">
        <v>3000</v>
      </c>
      <c r="E228" s="113">
        <f t="shared" si="4"/>
        <v>47460</v>
      </c>
    </row>
    <row r="229" spans="1:10" x14ac:dyDescent="0.25">
      <c r="A229" s="124">
        <v>43901</v>
      </c>
      <c r="B229" s="48" t="s">
        <v>6304</v>
      </c>
      <c r="C229" s="10">
        <v>2500</v>
      </c>
      <c r="E229" s="113">
        <f t="shared" si="4"/>
        <v>44960</v>
      </c>
    </row>
    <row r="230" spans="1:10" x14ac:dyDescent="0.25">
      <c r="A230" s="124">
        <v>43901</v>
      </c>
      <c r="B230" s="48" t="s">
        <v>6306</v>
      </c>
      <c r="C230" s="10">
        <v>7500</v>
      </c>
      <c r="E230" s="113">
        <f t="shared" si="4"/>
        <v>37460</v>
      </c>
    </row>
    <row r="231" spans="1:10" x14ac:dyDescent="0.25">
      <c r="A231" s="124">
        <v>43907</v>
      </c>
      <c r="B231" s="48" t="s">
        <v>295</v>
      </c>
      <c r="D231" s="10">
        <v>50000</v>
      </c>
      <c r="E231" s="113">
        <f t="shared" si="4"/>
        <v>87460</v>
      </c>
    </row>
    <row r="232" spans="1:10" x14ac:dyDescent="0.25">
      <c r="A232" s="124">
        <v>43907</v>
      </c>
      <c r="B232" s="48" t="s">
        <v>6326</v>
      </c>
      <c r="C232" s="10">
        <v>2000</v>
      </c>
      <c r="E232" s="113">
        <f t="shared" si="4"/>
        <v>85460</v>
      </c>
      <c r="I232" s="164"/>
      <c r="J232" s="164"/>
    </row>
    <row r="233" spans="1:10" x14ac:dyDescent="0.25">
      <c r="A233" s="124">
        <v>43907</v>
      </c>
      <c r="B233" s="48" t="s">
        <v>5337</v>
      </c>
      <c r="C233" s="10">
        <v>2000</v>
      </c>
      <c r="E233" s="113">
        <f t="shared" si="4"/>
        <v>83460</v>
      </c>
    </row>
    <row r="234" spans="1:10" x14ac:dyDescent="0.25">
      <c r="A234" s="124">
        <v>43907</v>
      </c>
      <c r="B234" s="48" t="s">
        <v>6327</v>
      </c>
      <c r="C234" s="10">
        <v>2000</v>
      </c>
      <c r="E234" s="113">
        <f t="shared" si="4"/>
        <v>81460</v>
      </c>
    </row>
    <row r="235" spans="1:10" x14ac:dyDescent="0.25">
      <c r="A235" s="124">
        <v>43907</v>
      </c>
      <c r="B235" s="48" t="s">
        <v>4655</v>
      </c>
      <c r="C235" s="10">
        <v>2000</v>
      </c>
      <c r="E235" s="113">
        <f t="shared" si="4"/>
        <v>79460</v>
      </c>
    </row>
    <row r="236" spans="1:10" x14ac:dyDescent="0.25">
      <c r="A236" s="124">
        <v>43907</v>
      </c>
      <c r="B236" s="48" t="s">
        <v>4632</v>
      </c>
      <c r="C236" s="10">
        <v>17000</v>
      </c>
      <c r="E236" s="113">
        <f t="shared" si="4"/>
        <v>62460</v>
      </c>
    </row>
    <row r="237" spans="1:10" x14ac:dyDescent="0.25">
      <c r="A237" s="124">
        <v>43909</v>
      </c>
      <c r="B237" s="48" t="s">
        <v>32</v>
      </c>
      <c r="D237" s="10">
        <v>10000</v>
      </c>
      <c r="E237" s="113">
        <f t="shared" si="4"/>
        <v>72460</v>
      </c>
    </row>
    <row r="238" spans="1:10" x14ac:dyDescent="0.25">
      <c r="A238" s="124">
        <v>43927</v>
      </c>
      <c r="B238" s="48" t="s">
        <v>4314</v>
      </c>
      <c r="D238" s="10">
        <v>20000</v>
      </c>
      <c r="E238" s="113">
        <f t="shared" si="4"/>
        <v>92460</v>
      </c>
    </row>
    <row r="239" spans="1:10" x14ac:dyDescent="0.25">
      <c r="A239" s="124">
        <v>43922</v>
      </c>
      <c r="B239" s="48" t="s">
        <v>6330</v>
      </c>
      <c r="C239" s="10">
        <v>15000</v>
      </c>
      <c r="E239" s="113">
        <f t="shared" si="4"/>
        <v>77460</v>
      </c>
    </row>
    <row r="240" spans="1:10" x14ac:dyDescent="0.25">
      <c r="A240" s="124">
        <v>43932</v>
      </c>
      <c r="B240" s="48" t="s">
        <v>6330</v>
      </c>
      <c r="C240" s="10">
        <v>3000</v>
      </c>
      <c r="E240" s="113">
        <f t="shared" si="4"/>
        <v>74460</v>
      </c>
    </row>
    <row r="241" spans="1:8" x14ac:dyDescent="0.25">
      <c r="A241" s="124">
        <v>43930</v>
      </c>
      <c r="B241" s="48" t="s">
        <v>6365</v>
      </c>
      <c r="C241" s="10">
        <v>8000</v>
      </c>
      <c r="E241" s="113">
        <f t="shared" si="4"/>
        <v>66460</v>
      </c>
    </row>
    <row r="242" spans="1:8" x14ac:dyDescent="0.25">
      <c r="A242" s="124">
        <v>43935</v>
      </c>
      <c r="B242" s="48" t="s">
        <v>5150</v>
      </c>
      <c r="C242" s="10">
        <v>1000</v>
      </c>
      <c r="E242" s="113">
        <f t="shared" si="4"/>
        <v>65460</v>
      </c>
    </row>
    <row r="243" spans="1:8" x14ac:dyDescent="0.25">
      <c r="A243" s="124">
        <v>43935</v>
      </c>
      <c r="B243" s="48" t="s">
        <v>5150</v>
      </c>
      <c r="C243" s="10">
        <v>5000</v>
      </c>
      <c r="E243" s="113">
        <f t="shared" si="4"/>
        <v>60460</v>
      </c>
    </row>
    <row r="244" spans="1:8" s="5" customFormat="1" x14ac:dyDescent="0.25">
      <c r="A244" s="124">
        <v>43944</v>
      </c>
      <c r="B244" s="48" t="s">
        <v>295</v>
      </c>
      <c r="C244" s="10"/>
      <c r="D244" s="10">
        <v>5000</v>
      </c>
      <c r="E244" s="113">
        <f t="shared" si="4"/>
        <v>65460</v>
      </c>
      <c r="G244" s="10"/>
    </row>
    <row r="245" spans="1:8" x14ac:dyDescent="0.25">
      <c r="A245" s="124">
        <v>43949</v>
      </c>
      <c r="B245" s="48" t="s">
        <v>5877</v>
      </c>
      <c r="D245" s="10">
        <v>3549</v>
      </c>
      <c r="E245" s="113">
        <f t="shared" si="4"/>
        <v>69009</v>
      </c>
    </row>
    <row r="246" spans="1:8" x14ac:dyDescent="0.25">
      <c r="A246" s="124">
        <v>43949</v>
      </c>
      <c r="B246" s="48" t="s">
        <v>6387</v>
      </c>
      <c r="C246" s="10">
        <v>16580</v>
      </c>
      <c r="E246" s="113">
        <f t="shared" si="4"/>
        <v>52429</v>
      </c>
    </row>
    <row r="247" spans="1:8" x14ac:dyDescent="0.25">
      <c r="A247" s="124">
        <v>43951</v>
      </c>
      <c r="B247" s="48" t="s">
        <v>6390</v>
      </c>
      <c r="C247" s="10">
        <v>5000</v>
      </c>
      <c r="E247" s="113">
        <f t="shared" si="4"/>
        <v>47429</v>
      </c>
    </row>
    <row r="248" spans="1:8" x14ac:dyDescent="0.25">
      <c r="A248" s="124">
        <v>43951</v>
      </c>
      <c r="B248" s="48" t="s">
        <v>6391</v>
      </c>
      <c r="C248" s="10">
        <v>5000</v>
      </c>
      <c r="E248" s="113">
        <f t="shared" si="4"/>
        <v>42429</v>
      </c>
    </row>
    <row r="249" spans="1:8" x14ac:dyDescent="0.25">
      <c r="A249" s="124">
        <v>43951</v>
      </c>
      <c r="B249" s="48" t="s">
        <v>6392</v>
      </c>
      <c r="C249" s="10">
        <v>2000</v>
      </c>
      <c r="E249" s="113">
        <f t="shared" si="4"/>
        <v>40429</v>
      </c>
    </row>
    <row r="250" spans="1:8" x14ac:dyDescent="0.25">
      <c r="A250" s="124">
        <v>43951</v>
      </c>
      <c r="B250" s="48" t="s">
        <v>295</v>
      </c>
      <c r="D250" s="10">
        <v>3500</v>
      </c>
      <c r="E250" s="113">
        <f t="shared" si="4"/>
        <v>43929</v>
      </c>
    </row>
    <row r="251" spans="1:8" x14ac:dyDescent="0.25">
      <c r="A251" s="124">
        <v>43933</v>
      </c>
      <c r="B251" s="48" t="s">
        <v>5895</v>
      </c>
      <c r="C251" s="10">
        <v>1000</v>
      </c>
      <c r="E251" s="113">
        <f t="shared" si="4"/>
        <v>42929</v>
      </c>
    </row>
    <row r="252" spans="1:8" x14ac:dyDescent="0.25">
      <c r="A252" s="124">
        <v>43933</v>
      </c>
      <c r="B252" s="48" t="s">
        <v>4705</v>
      </c>
      <c r="C252" s="10">
        <v>1000</v>
      </c>
      <c r="E252" s="113">
        <f t="shared" si="4"/>
        <v>41929</v>
      </c>
      <c r="H252" s="10"/>
    </row>
    <row r="253" spans="1:8" x14ac:dyDescent="0.25">
      <c r="A253" s="124">
        <v>43965</v>
      </c>
      <c r="B253" s="48" t="s">
        <v>2963</v>
      </c>
      <c r="D253" s="10">
        <v>200000</v>
      </c>
      <c r="E253" s="113">
        <f t="shared" si="4"/>
        <v>241929</v>
      </c>
      <c r="H253" s="10"/>
    </row>
    <row r="254" spans="1:8" x14ac:dyDescent="0.25">
      <c r="A254" s="124">
        <v>43965</v>
      </c>
      <c r="B254" s="48" t="s">
        <v>6439</v>
      </c>
      <c r="C254" s="10">
        <v>45000</v>
      </c>
      <c r="E254" s="113">
        <f t="shared" si="4"/>
        <v>196929</v>
      </c>
      <c r="H254" s="10"/>
    </row>
    <row r="255" spans="1:8" x14ac:dyDescent="0.25">
      <c r="A255" s="124">
        <v>43965</v>
      </c>
      <c r="B255" s="48" t="s">
        <v>6449</v>
      </c>
      <c r="C255" s="10">
        <v>65480</v>
      </c>
      <c r="E255" s="113">
        <f t="shared" si="4"/>
        <v>131449</v>
      </c>
      <c r="H255" s="10"/>
    </row>
    <row r="256" spans="1:8" x14ac:dyDescent="0.25">
      <c r="A256" s="124">
        <v>43971</v>
      </c>
      <c r="B256" s="48" t="s">
        <v>6453</v>
      </c>
      <c r="C256" s="10">
        <v>2000</v>
      </c>
      <c r="E256" s="113">
        <f t="shared" si="4"/>
        <v>129449</v>
      </c>
      <c r="H256" s="10"/>
    </row>
    <row r="257" spans="1:8" x14ac:dyDescent="0.25">
      <c r="A257" s="124">
        <v>43971</v>
      </c>
      <c r="B257" s="48" t="s">
        <v>6454</v>
      </c>
      <c r="C257" s="10">
        <v>3000</v>
      </c>
      <c r="E257" s="113">
        <f t="shared" si="4"/>
        <v>126449</v>
      </c>
      <c r="H257" s="10"/>
    </row>
    <row r="258" spans="1:8" x14ac:dyDescent="0.25">
      <c r="A258" s="151">
        <v>43971</v>
      </c>
      <c r="B258" s="48" t="s">
        <v>99</v>
      </c>
      <c r="C258" s="10">
        <v>8000</v>
      </c>
      <c r="E258" s="261">
        <f t="shared" si="4"/>
        <v>118449</v>
      </c>
      <c r="H258" s="10"/>
    </row>
    <row r="259" spans="1:8" x14ac:dyDescent="0.25">
      <c r="A259" s="124">
        <v>43971</v>
      </c>
      <c r="B259" s="52" t="s">
        <v>6455</v>
      </c>
      <c r="C259" s="8">
        <v>3000</v>
      </c>
      <c r="D259" s="8"/>
      <c r="E259" s="113">
        <f t="shared" si="4"/>
        <v>115449</v>
      </c>
    </row>
    <row r="260" spans="1:8" x14ac:dyDescent="0.25">
      <c r="A260" s="124">
        <v>43971</v>
      </c>
      <c r="B260" s="52" t="s">
        <v>6456</v>
      </c>
      <c r="C260" s="8">
        <v>22500</v>
      </c>
      <c r="D260" s="8"/>
      <c r="E260" s="113">
        <f t="shared" si="4"/>
        <v>92949</v>
      </c>
    </row>
    <row r="261" spans="1:8" x14ac:dyDescent="0.25">
      <c r="A261" s="124">
        <v>43971</v>
      </c>
      <c r="B261" s="52" t="s">
        <v>6465</v>
      </c>
      <c r="C261" s="8"/>
      <c r="D261" s="8">
        <v>2500</v>
      </c>
      <c r="E261" s="113">
        <f t="shared" si="4"/>
        <v>95449</v>
      </c>
      <c r="H261" s="47"/>
    </row>
    <row r="262" spans="1:8" x14ac:dyDescent="0.25">
      <c r="A262" s="124">
        <v>43972</v>
      </c>
      <c r="B262" s="52" t="s">
        <v>5150</v>
      </c>
      <c r="C262" s="8">
        <v>50000</v>
      </c>
      <c r="D262" s="8"/>
      <c r="E262" s="113">
        <f t="shared" si="4"/>
        <v>45449</v>
      </c>
    </row>
    <row r="263" spans="1:8" x14ac:dyDescent="0.25">
      <c r="A263" s="124">
        <v>43972</v>
      </c>
      <c r="B263" s="52" t="s">
        <v>6490</v>
      </c>
      <c r="C263" s="8">
        <v>5000</v>
      </c>
      <c r="D263" s="8"/>
      <c r="E263" s="113">
        <f t="shared" si="4"/>
        <v>40449</v>
      </c>
    </row>
    <row r="264" spans="1:8" ht="18.75" x14ac:dyDescent="0.3">
      <c r="A264" s="124">
        <v>43987</v>
      </c>
      <c r="B264" s="36" t="s">
        <v>6500</v>
      </c>
      <c r="C264" s="8"/>
      <c r="D264" s="8">
        <v>9426</v>
      </c>
      <c r="E264" s="113">
        <f t="shared" si="4"/>
        <v>49875</v>
      </c>
    </row>
    <row r="265" spans="1:8" x14ac:dyDescent="0.25">
      <c r="A265" s="124">
        <v>43987</v>
      </c>
      <c r="B265" s="52" t="s">
        <v>6210</v>
      </c>
      <c r="C265" s="8">
        <v>1000</v>
      </c>
      <c r="D265" s="8"/>
      <c r="E265" s="113">
        <f t="shared" si="4"/>
        <v>48875</v>
      </c>
    </row>
    <row r="266" spans="1:8" x14ac:dyDescent="0.25">
      <c r="A266" s="124">
        <v>43987</v>
      </c>
      <c r="B266" s="52" t="s">
        <v>6501</v>
      </c>
      <c r="C266" s="8">
        <v>1000</v>
      </c>
      <c r="D266" s="8"/>
      <c r="E266" s="113">
        <f t="shared" si="4"/>
        <v>47875</v>
      </c>
    </row>
    <row r="267" spans="1:8" x14ac:dyDescent="0.25">
      <c r="A267" s="124">
        <v>43987</v>
      </c>
      <c r="B267" s="52" t="s">
        <v>6502</v>
      </c>
      <c r="C267" s="8">
        <v>1000</v>
      </c>
      <c r="D267" s="8"/>
      <c r="E267" s="113">
        <f t="shared" si="4"/>
        <v>46875</v>
      </c>
    </row>
    <row r="268" spans="1:8" x14ac:dyDescent="0.25">
      <c r="A268" s="124">
        <v>43987</v>
      </c>
      <c r="B268" s="52" t="s">
        <v>6503</v>
      </c>
      <c r="C268" s="8"/>
      <c r="D268" s="8">
        <v>6500</v>
      </c>
      <c r="E268" s="113">
        <f t="shared" si="4"/>
        <v>53375</v>
      </c>
    </row>
    <row r="269" spans="1:8" x14ac:dyDescent="0.25">
      <c r="A269" s="124">
        <v>43988</v>
      </c>
      <c r="B269" s="52" t="s">
        <v>6510</v>
      </c>
      <c r="C269" s="8"/>
      <c r="D269" s="8">
        <v>20000</v>
      </c>
      <c r="E269" s="113">
        <f t="shared" si="4"/>
        <v>73375</v>
      </c>
    </row>
    <row r="270" spans="1:8" x14ac:dyDescent="0.25">
      <c r="A270" s="124">
        <v>43988</v>
      </c>
      <c r="B270" s="52" t="s">
        <v>6517</v>
      </c>
      <c r="C270" s="8"/>
      <c r="D270" s="8">
        <v>28255</v>
      </c>
      <c r="E270" s="113">
        <f t="shared" si="4"/>
        <v>101630</v>
      </c>
    </row>
    <row r="271" spans="1:8" x14ac:dyDescent="0.25">
      <c r="A271" s="124">
        <v>43988</v>
      </c>
      <c r="B271" s="52" t="s">
        <v>6518</v>
      </c>
      <c r="C271" s="8"/>
      <c r="D271" s="8">
        <v>28255</v>
      </c>
      <c r="E271" s="113">
        <f t="shared" si="4"/>
        <v>129885</v>
      </c>
    </row>
    <row r="272" spans="1:8" x14ac:dyDescent="0.25">
      <c r="A272" s="124">
        <v>43993</v>
      </c>
      <c r="B272" s="138" t="s">
        <v>6538</v>
      </c>
      <c r="C272" s="8">
        <v>5000</v>
      </c>
      <c r="D272" s="8"/>
      <c r="E272" s="113">
        <f t="shared" si="4"/>
        <v>124885</v>
      </c>
    </row>
    <row r="273" spans="1:5" x14ac:dyDescent="0.25">
      <c r="A273" s="124">
        <v>43997</v>
      </c>
      <c r="B273" s="52" t="s">
        <v>295</v>
      </c>
      <c r="C273" s="8"/>
      <c r="D273" s="8">
        <v>125000</v>
      </c>
      <c r="E273" s="113">
        <f t="shared" si="4"/>
        <v>249885</v>
      </c>
    </row>
    <row r="274" spans="1:5" x14ac:dyDescent="0.25">
      <c r="A274" s="124">
        <v>43997</v>
      </c>
      <c r="B274" s="52" t="s">
        <v>3924</v>
      </c>
      <c r="C274" s="8">
        <f>22200-16200</f>
        <v>6000</v>
      </c>
      <c r="D274" s="8"/>
      <c r="E274" s="113">
        <f t="shared" si="4"/>
        <v>243885</v>
      </c>
    </row>
    <row r="275" spans="1:5" x14ac:dyDescent="0.25">
      <c r="A275" s="124">
        <v>43997</v>
      </c>
      <c r="B275" s="52" t="s">
        <v>3924</v>
      </c>
      <c r="C275" s="8">
        <v>2000</v>
      </c>
      <c r="D275" s="8"/>
      <c r="E275" s="113">
        <f t="shared" si="4"/>
        <v>241885</v>
      </c>
    </row>
    <row r="276" spans="1:5" x14ac:dyDescent="0.25">
      <c r="A276" s="124">
        <v>43997</v>
      </c>
      <c r="B276" s="52" t="s">
        <v>6580</v>
      </c>
      <c r="C276" s="8">
        <v>5000</v>
      </c>
      <c r="D276" s="8"/>
      <c r="E276" s="113">
        <f t="shared" si="4"/>
        <v>236885</v>
      </c>
    </row>
    <row r="277" spans="1:5" x14ac:dyDescent="0.25">
      <c r="A277" s="124">
        <v>44001</v>
      </c>
      <c r="B277" s="52" t="s">
        <v>6582</v>
      </c>
      <c r="C277" s="8">
        <v>200000</v>
      </c>
      <c r="D277" s="8"/>
      <c r="E277" s="113">
        <f t="shared" si="4"/>
        <v>36885</v>
      </c>
    </row>
    <row r="278" spans="1:5" x14ac:dyDescent="0.25">
      <c r="A278" s="124">
        <v>44001</v>
      </c>
      <c r="B278" s="52" t="s">
        <v>6583</v>
      </c>
      <c r="C278" s="8">
        <v>10000</v>
      </c>
      <c r="D278" s="8"/>
      <c r="E278" s="113">
        <f t="shared" si="4"/>
        <v>26885</v>
      </c>
    </row>
    <row r="279" spans="1:5" x14ac:dyDescent="0.25">
      <c r="A279" s="124">
        <v>44001</v>
      </c>
      <c r="B279" s="52" t="s">
        <v>6590</v>
      </c>
      <c r="C279" s="8">
        <v>2000</v>
      </c>
      <c r="D279" s="8"/>
      <c r="E279" s="113">
        <f t="shared" si="4"/>
        <v>24885</v>
      </c>
    </row>
    <row r="280" spans="1:5" x14ac:dyDescent="0.25">
      <c r="A280" s="124">
        <v>44005</v>
      </c>
      <c r="B280" s="52" t="s">
        <v>4266</v>
      </c>
      <c r="C280" s="8">
        <v>5000</v>
      </c>
      <c r="D280" s="8"/>
      <c r="E280" s="113">
        <f t="shared" si="4"/>
        <v>19885</v>
      </c>
    </row>
    <row r="281" spans="1:5" x14ac:dyDescent="0.25">
      <c r="A281" s="124">
        <v>44005</v>
      </c>
      <c r="B281" s="52" t="s">
        <v>6593</v>
      </c>
      <c r="C281" s="8">
        <v>3000</v>
      </c>
      <c r="D281" s="8"/>
      <c r="E281" s="113">
        <f t="shared" si="4"/>
        <v>16885</v>
      </c>
    </row>
    <row r="282" spans="1:5" x14ac:dyDescent="0.25">
      <c r="A282" s="124">
        <v>44006</v>
      </c>
      <c r="B282" s="52" t="s">
        <v>4655</v>
      </c>
      <c r="C282" s="8">
        <v>8250</v>
      </c>
      <c r="D282" s="8"/>
      <c r="E282" s="113">
        <f t="shared" si="4"/>
        <v>8635</v>
      </c>
    </row>
    <row r="283" spans="1:5" x14ac:dyDescent="0.25">
      <c r="A283" s="124">
        <v>44006</v>
      </c>
      <c r="B283" s="52" t="s">
        <v>5877</v>
      </c>
      <c r="C283" s="8"/>
      <c r="D283" s="8">
        <v>15664</v>
      </c>
      <c r="E283" s="113">
        <f t="shared" si="4"/>
        <v>24299</v>
      </c>
    </row>
    <row r="284" spans="1:5" x14ac:dyDescent="0.25">
      <c r="A284" s="124">
        <v>44006</v>
      </c>
      <c r="B284" s="34" t="s">
        <v>295</v>
      </c>
      <c r="C284" s="8"/>
      <c r="D284" s="8">
        <v>35000</v>
      </c>
      <c r="E284" s="113">
        <f t="shared" si="4"/>
        <v>59299</v>
      </c>
    </row>
    <row r="285" spans="1:5" x14ac:dyDescent="0.25">
      <c r="A285" s="124">
        <v>44009</v>
      </c>
      <c r="B285" s="52" t="s">
        <v>6601</v>
      </c>
      <c r="C285" s="8">
        <v>12000</v>
      </c>
      <c r="D285" s="8"/>
      <c r="E285" s="113">
        <f t="shared" si="4"/>
        <v>47299</v>
      </c>
    </row>
    <row r="286" spans="1:5" x14ac:dyDescent="0.25">
      <c r="A286" s="124">
        <v>44009</v>
      </c>
      <c r="B286" s="52" t="s">
        <v>6602</v>
      </c>
      <c r="C286" s="8">
        <v>6300</v>
      </c>
      <c r="D286" s="8"/>
      <c r="E286" s="113">
        <f t="shared" si="4"/>
        <v>40999</v>
      </c>
    </row>
    <row r="287" spans="1:5" x14ac:dyDescent="0.25">
      <c r="A287" s="124">
        <v>44009</v>
      </c>
      <c r="B287" s="52" t="s">
        <v>6603</v>
      </c>
      <c r="C287" s="8">
        <v>11000</v>
      </c>
      <c r="D287" s="8"/>
      <c r="E287" s="113">
        <f t="shared" si="4"/>
        <v>29999</v>
      </c>
    </row>
    <row r="288" spans="1:5" x14ac:dyDescent="0.25">
      <c r="A288" s="124">
        <v>44009</v>
      </c>
      <c r="B288" s="52" t="s">
        <v>6603</v>
      </c>
      <c r="C288" s="8">
        <v>14000</v>
      </c>
      <c r="D288" s="8"/>
      <c r="E288" s="113">
        <f t="shared" si="4"/>
        <v>15999</v>
      </c>
    </row>
    <row r="289" spans="1:7" x14ac:dyDescent="0.25">
      <c r="A289" s="124">
        <v>44009</v>
      </c>
      <c r="B289" s="52" t="s">
        <v>6455</v>
      </c>
      <c r="C289" s="8">
        <v>3000</v>
      </c>
      <c r="D289" s="8"/>
      <c r="E289" s="113">
        <f t="shared" si="4"/>
        <v>12999</v>
      </c>
    </row>
    <row r="290" spans="1:7" x14ac:dyDescent="0.25">
      <c r="A290" s="124">
        <v>44009</v>
      </c>
      <c r="B290" s="52" t="s">
        <v>6608</v>
      </c>
      <c r="C290" s="8">
        <v>8000</v>
      </c>
      <c r="D290" s="8"/>
      <c r="E290" s="113">
        <f t="shared" si="4"/>
        <v>4999</v>
      </c>
    </row>
    <row r="291" spans="1:7" x14ac:dyDescent="0.25">
      <c r="A291" s="124">
        <v>44012</v>
      </c>
      <c r="B291" s="52" t="s">
        <v>6617</v>
      </c>
      <c r="C291" s="8">
        <v>3000</v>
      </c>
      <c r="D291" s="8"/>
      <c r="E291" s="113">
        <f t="shared" si="4"/>
        <v>1999</v>
      </c>
    </row>
    <row r="292" spans="1:7" x14ac:dyDescent="0.25">
      <c r="A292" s="124">
        <v>44012</v>
      </c>
      <c r="B292" s="52" t="s">
        <v>295</v>
      </c>
      <c r="C292" s="8"/>
      <c r="D292" s="8">
        <v>85000</v>
      </c>
      <c r="E292" s="113">
        <f t="shared" si="4"/>
        <v>86999</v>
      </c>
    </row>
    <row r="293" spans="1:7" x14ac:dyDescent="0.25">
      <c r="A293" s="124">
        <v>44012</v>
      </c>
      <c r="B293" s="52" t="s">
        <v>439</v>
      </c>
      <c r="C293" s="8">
        <v>8200</v>
      </c>
      <c r="D293" s="8"/>
      <c r="E293" s="113">
        <f t="shared" si="4"/>
        <v>78799</v>
      </c>
    </row>
    <row r="294" spans="1:7" x14ac:dyDescent="0.25">
      <c r="A294" s="124">
        <v>44012</v>
      </c>
      <c r="B294" s="52" t="s">
        <v>6618</v>
      </c>
      <c r="C294" s="8">
        <v>3000</v>
      </c>
      <c r="D294" s="8"/>
      <c r="E294" s="113">
        <f t="shared" si="4"/>
        <v>75799</v>
      </c>
    </row>
    <row r="295" spans="1:7" x14ac:dyDescent="0.25">
      <c r="A295" s="124">
        <v>44012</v>
      </c>
      <c r="B295" s="52" t="s">
        <v>6619</v>
      </c>
      <c r="C295" s="8">
        <v>2000</v>
      </c>
      <c r="D295" s="8"/>
      <c r="E295" s="113">
        <f t="shared" si="4"/>
        <v>73799</v>
      </c>
    </row>
    <row r="296" spans="1:7" x14ac:dyDescent="0.25">
      <c r="A296" s="124">
        <v>44012</v>
      </c>
      <c r="B296" s="48" t="s">
        <v>6635</v>
      </c>
      <c r="C296" s="8">
        <v>2000</v>
      </c>
      <c r="E296" s="113">
        <f t="shared" si="4"/>
        <v>71799</v>
      </c>
    </row>
    <row r="297" spans="1:7" x14ac:dyDescent="0.25">
      <c r="A297" s="124">
        <v>44018</v>
      </c>
      <c r="B297" s="48" t="s">
        <v>5401</v>
      </c>
      <c r="C297" s="10">
        <v>2000</v>
      </c>
      <c r="E297" s="113">
        <f t="shared" si="4"/>
        <v>69799</v>
      </c>
    </row>
    <row r="298" spans="1:7" x14ac:dyDescent="0.25">
      <c r="A298" s="124">
        <v>44018</v>
      </c>
      <c r="B298" s="48" t="s">
        <v>4705</v>
      </c>
      <c r="C298" s="10">
        <v>1000</v>
      </c>
      <c r="E298" s="113">
        <f t="shared" si="4"/>
        <v>68799</v>
      </c>
    </row>
    <row r="299" spans="1:7" s="5" customFormat="1" x14ac:dyDescent="0.25">
      <c r="A299" s="124">
        <v>44018</v>
      </c>
      <c r="B299" s="48" t="s">
        <v>6636</v>
      </c>
      <c r="C299" s="10">
        <v>5000</v>
      </c>
      <c r="D299" s="10"/>
      <c r="E299" s="113">
        <f t="shared" si="4"/>
        <v>63799</v>
      </c>
      <c r="G299" s="10"/>
    </row>
    <row r="300" spans="1:7" x14ac:dyDescent="0.25">
      <c r="A300" s="124">
        <v>44018</v>
      </c>
      <c r="B300" s="48" t="s">
        <v>5001</v>
      </c>
      <c r="C300" s="10">
        <v>1080</v>
      </c>
      <c r="E300" s="113">
        <f t="shared" si="4"/>
        <v>62719</v>
      </c>
    </row>
    <row r="301" spans="1:7" x14ac:dyDescent="0.25">
      <c r="A301" s="124">
        <v>44018</v>
      </c>
      <c r="B301" s="48" t="s">
        <v>4655</v>
      </c>
      <c r="C301" s="10">
        <v>3000</v>
      </c>
      <c r="E301" s="113">
        <f t="shared" si="4"/>
        <v>59719</v>
      </c>
    </row>
    <row r="302" spans="1:7" x14ac:dyDescent="0.25">
      <c r="A302" s="124">
        <v>44018</v>
      </c>
      <c r="B302" s="48" t="s">
        <v>295</v>
      </c>
      <c r="D302" s="10">
        <v>80000</v>
      </c>
      <c r="E302" s="113">
        <f t="shared" si="4"/>
        <v>139719</v>
      </c>
    </row>
    <row r="303" spans="1:7" x14ac:dyDescent="0.25">
      <c r="A303" s="124">
        <v>44018</v>
      </c>
      <c r="B303" s="48" t="s">
        <v>3924</v>
      </c>
      <c r="C303" s="10">
        <v>14290</v>
      </c>
      <c r="E303" s="113">
        <f t="shared" si="4"/>
        <v>125429</v>
      </c>
    </row>
    <row r="304" spans="1:7" x14ac:dyDescent="0.25">
      <c r="A304" s="124">
        <v>44018</v>
      </c>
      <c r="B304" s="48" t="s">
        <v>5401</v>
      </c>
      <c r="C304" s="10">
        <v>1000</v>
      </c>
      <c r="E304" s="113">
        <f t="shared" si="4"/>
        <v>124429</v>
      </c>
    </row>
    <row r="305" spans="1:5" x14ac:dyDescent="0.25">
      <c r="A305" s="124">
        <v>44018</v>
      </c>
      <c r="B305" s="48" t="s">
        <v>3029</v>
      </c>
      <c r="C305" s="10">
        <v>1000</v>
      </c>
      <c r="E305" s="113">
        <f t="shared" si="4"/>
        <v>123429</v>
      </c>
    </row>
    <row r="306" spans="1:5" x14ac:dyDescent="0.25">
      <c r="A306" s="124">
        <v>44018</v>
      </c>
      <c r="B306" s="48" t="s">
        <v>32</v>
      </c>
      <c r="D306" s="10">
        <v>50000</v>
      </c>
      <c r="E306" s="113">
        <f t="shared" si="4"/>
        <v>173429</v>
      </c>
    </row>
    <row r="307" spans="1:5" x14ac:dyDescent="0.25">
      <c r="A307" s="124">
        <v>44026</v>
      </c>
      <c r="B307" s="48" t="s">
        <v>6330</v>
      </c>
      <c r="C307" s="10">
        <v>15000</v>
      </c>
      <c r="E307" s="113">
        <f t="shared" si="4"/>
        <v>158429</v>
      </c>
    </row>
    <row r="308" spans="1:5" x14ac:dyDescent="0.25">
      <c r="A308" s="124">
        <v>44026</v>
      </c>
      <c r="B308" s="48" t="s">
        <v>6673</v>
      </c>
      <c r="C308" s="10">
        <v>4000</v>
      </c>
      <c r="E308" s="113">
        <f t="shared" si="4"/>
        <v>154429</v>
      </c>
    </row>
    <row r="309" spans="1:5" x14ac:dyDescent="0.25">
      <c r="A309" s="124">
        <v>44026</v>
      </c>
      <c r="B309" s="48" t="s">
        <v>6674</v>
      </c>
      <c r="C309" s="10">
        <v>6000</v>
      </c>
      <c r="E309" s="113">
        <f t="shared" si="4"/>
        <v>148429</v>
      </c>
    </row>
    <row r="310" spans="1:5" x14ac:dyDescent="0.25">
      <c r="A310" s="124">
        <v>44027</v>
      </c>
      <c r="B310" s="48" t="s">
        <v>5401</v>
      </c>
      <c r="C310" s="10">
        <v>10000</v>
      </c>
      <c r="E310" s="113">
        <f t="shared" si="4"/>
        <v>138429</v>
      </c>
    </row>
    <row r="311" spans="1:5" x14ac:dyDescent="0.25">
      <c r="A311" s="124">
        <v>44027</v>
      </c>
      <c r="B311" s="48" t="s">
        <v>6683</v>
      </c>
      <c r="C311" s="10">
        <v>2000</v>
      </c>
      <c r="E311" s="113">
        <f t="shared" si="4"/>
        <v>136429</v>
      </c>
    </row>
    <row r="312" spans="1:5" x14ac:dyDescent="0.25">
      <c r="A312" s="151">
        <v>44027</v>
      </c>
      <c r="B312" s="264" t="s">
        <v>6684</v>
      </c>
      <c r="C312" s="265">
        <v>10000</v>
      </c>
      <c r="E312" s="261">
        <f t="shared" si="4"/>
        <v>126429</v>
      </c>
    </row>
    <row r="313" spans="1:5" x14ac:dyDescent="0.25">
      <c r="A313" s="124">
        <v>44027</v>
      </c>
      <c r="B313" s="52" t="s">
        <v>6685</v>
      </c>
      <c r="C313" s="8">
        <v>43800</v>
      </c>
      <c r="D313" s="8"/>
      <c r="E313" s="113">
        <f t="shared" si="4"/>
        <v>82629</v>
      </c>
    </row>
    <row r="314" spans="1:5" x14ac:dyDescent="0.25">
      <c r="A314" s="124">
        <v>44027</v>
      </c>
      <c r="B314" s="52" t="s">
        <v>6332</v>
      </c>
      <c r="C314" s="8">
        <v>4500</v>
      </c>
      <c r="D314" s="8"/>
      <c r="E314" s="113">
        <f t="shared" si="4"/>
        <v>78129</v>
      </c>
    </row>
    <row r="315" spans="1:5" x14ac:dyDescent="0.25">
      <c r="A315" s="124">
        <v>44032</v>
      </c>
      <c r="B315" s="52" t="s">
        <v>6696</v>
      </c>
      <c r="C315" s="8">
        <v>24600</v>
      </c>
      <c r="D315" s="8"/>
      <c r="E315" s="113">
        <f t="shared" si="4"/>
        <v>53529</v>
      </c>
    </row>
    <row r="316" spans="1:5" x14ac:dyDescent="0.25">
      <c r="A316" s="124">
        <v>44032</v>
      </c>
      <c r="B316" s="52" t="s">
        <v>6697</v>
      </c>
      <c r="C316" s="8">
        <v>3000</v>
      </c>
      <c r="D316" s="8"/>
      <c r="E316" s="113">
        <f t="shared" si="4"/>
        <v>50529</v>
      </c>
    </row>
    <row r="317" spans="1:5" x14ac:dyDescent="0.25">
      <c r="A317" s="124">
        <v>44033</v>
      </c>
      <c r="B317" s="52" t="s">
        <v>6387</v>
      </c>
      <c r="C317" s="8">
        <v>18972</v>
      </c>
      <c r="D317" s="8"/>
      <c r="E317" s="113">
        <f t="shared" si="4"/>
        <v>31557</v>
      </c>
    </row>
    <row r="318" spans="1:5" x14ac:dyDescent="0.25">
      <c r="A318" s="124">
        <v>44033</v>
      </c>
      <c r="B318" s="52" t="s">
        <v>6387</v>
      </c>
      <c r="C318" s="8">
        <v>21410</v>
      </c>
      <c r="D318" s="8"/>
      <c r="E318" s="113">
        <f t="shared" si="4"/>
        <v>10147</v>
      </c>
    </row>
    <row r="319" spans="1:5" x14ac:dyDescent="0.25">
      <c r="A319" s="124">
        <v>44033</v>
      </c>
      <c r="B319" s="254" t="s">
        <v>6700</v>
      </c>
      <c r="C319" s="8">
        <v>5000</v>
      </c>
      <c r="D319" s="8"/>
      <c r="E319" s="113">
        <f t="shared" si="4"/>
        <v>5147</v>
      </c>
    </row>
    <row r="320" spans="1:5" x14ac:dyDescent="0.25">
      <c r="A320" s="124">
        <v>44033</v>
      </c>
      <c r="B320" s="52" t="s">
        <v>6698</v>
      </c>
      <c r="C320" s="8">
        <v>5000</v>
      </c>
      <c r="D320" s="8"/>
      <c r="E320" s="113">
        <f t="shared" si="4"/>
        <v>147</v>
      </c>
    </row>
    <row r="321" spans="1:5" x14ac:dyDescent="0.25">
      <c r="A321" s="124">
        <v>44033</v>
      </c>
      <c r="B321" s="138" t="s">
        <v>6699</v>
      </c>
      <c r="C321" s="139">
        <v>2000</v>
      </c>
      <c r="D321" s="8"/>
      <c r="E321" s="113">
        <f t="shared" si="4"/>
        <v>-1853</v>
      </c>
    </row>
    <row r="322" spans="1:5" x14ac:dyDescent="0.25">
      <c r="A322" s="124">
        <v>44033</v>
      </c>
      <c r="B322" s="52" t="s">
        <v>295</v>
      </c>
      <c r="C322" s="8"/>
      <c r="D322" s="8">
        <v>15000</v>
      </c>
      <c r="E322" s="113">
        <f t="shared" si="4"/>
        <v>13147</v>
      </c>
    </row>
    <row r="323" spans="1:5" x14ac:dyDescent="0.25">
      <c r="A323" s="124">
        <v>44033</v>
      </c>
      <c r="B323" s="52" t="s">
        <v>6702</v>
      </c>
      <c r="C323" s="8">
        <v>8000</v>
      </c>
      <c r="D323" s="8"/>
      <c r="E323" s="113">
        <f t="shared" si="4"/>
        <v>5147</v>
      </c>
    </row>
    <row r="324" spans="1:5" x14ac:dyDescent="0.25">
      <c r="A324" s="124">
        <v>44033</v>
      </c>
      <c r="B324" s="52" t="s">
        <v>6387</v>
      </c>
      <c r="C324" s="8">
        <v>3715</v>
      </c>
      <c r="D324" s="8"/>
      <c r="E324" s="113">
        <f t="shared" si="4"/>
        <v>1432</v>
      </c>
    </row>
    <row r="325" spans="1:5" x14ac:dyDescent="0.25">
      <c r="A325" s="124">
        <v>44041</v>
      </c>
      <c r="B325" s="52" t="s">
        <v>4266</v>
      </c>
      <c r="C325" s="8">
        <v>10000</v>
      </c>
      <c r="D325" s="8"/>
      <c r="E325" s="113">
        <f t="shared" si="4"/>
        <v>-8568</v>
      </c>
    </row>
    <row r="326" spans="1:5" x14ac:dyDescent="0.25">
      <c r="A326" s="124" t="s">
        <v>6741</v>
      </c>
      <c r="B326" s="52" t="s">
        <v>6742</v>
      </c>
      <c r="C326" s="8">
        <v>5000</v>
      </c>
      <c r="D326" s="8"/>
      <c r="E326" s="113">
        <f t="shared" si="4"/>
        <v>-13568</v>
      </c>
    </row>
    <row r="327" spans="1:5" x14ac:dyDescent="0.25">
      <c r="A327" s="124" t="s">
        <v>6741</v>
      </c>
      <c r="B327" s="52" t="s">
        <v>295</v>
      </c>
      <c r="C327" s="8"/>
      <c r="D327" s="8">
        <v>20000</v>
      </c>
      <c r="E327" s="113">
        <f t="shared" si="4"/>
        <v>6432</v>
      </c>
    </row>
    <row r="328" spans="1:5" x14ac:dyDescent="0.25">
      <c r="A328" s="124" t="s">
        <v>6772</v>
      </c>
      <c r="B328" s="52" t="s">
        <v>295</v>
      </c>
      <c r="C328" s="8"/>
      <c r="D328" s="8">
        <v>70000</v>
      </c>
      <c r="E328" s="113">
        <f t="shared" si="4"/>
        <v>76432</v>
      </c>
    </row>
    <row r="329" spans="1:5" x14ac:dyDescent="0.25">
      <c r="A329" s="124" t="s">
        <v>6797</v>
      </c>
      <c r="B329" s="52" t="s">
        <v>295</v>
      </c>
      <c r="C329" s="8"/>
      <c r="D329" s="8">
        <v>50000</v>
      </c>
      <c r="E329" s="113">
        <f t="shared" si="4"/>
        <v>126432</v>
      </c>
    </row>
    <row r="330" spans="1:5" x14ac:dyDescent="0.25">
      <c r="A330" s="124" t="s">
        <v>6797</v>
      </c>
      <c r="B330" s="52" t="s">
        <v>295</v>
      </c>
      <c r="C330" s="8"/>
      <c r="D330" s="8">
        <v>100000</v>
      </c>
      <c r="E330" s="113">
        <f t="shared" si="4"/>
        <v>226432</v>
      </c>
    </row>
    <row r="331" spans="1:5" x14ac:dyDescent="0.25">
      <c r="A331" s="124" t="s">
        <v>6807</v>
      </c>
      <c r="B331" s="52" t="s">
        <v>5150</v>
      </c>
      <c r="C331" s="8">
        <v>3000</v>
      </c>
      <c r="D331" s="8"/>
      <c r="E331" s="113">
        <f t="shared" si="4"/>
        <v>223432</v>
      </c>
    </row>
    <row r="332" spans="1:5" x14ac:dyDescent="0.25">
      <c r="A332" s="124" t="s">
        <v>6810</v>
      </c>
      <c r="B332" s="52" t="s">
        <v>295</v>
      </c>
      <c r="C332" s="8"/>
      <c r="D332" s="8">
        <v>10000</v>
      </c>
      <c r="E332" s="113">
        <f t="shared" si="4"/>
        <v>233432</v>
      </c>
    </row>
    <row r="333" spans="1:5" x14ac:dyDescent="0.25">
      <c r="A333" s="124" t="s">
        <v>6821</v>
      </c>
      <c r="B333" s="52" t="s">
        <v>295</v>
      </c>
      <c r="C333" s="8"/>
      <c r="D333" s="8">
        <v>2000</v>
      </c>
      <c r="E333" s="113">
        <f t="shared" si="4"/>
        <v>235432</v>
      </c>
    </row>
    <row r="334" spans="1:5" x14ac:dyDescent="0.25">
      <c r="A334" s="124" t="s">
        <v>6833</v>
      </c>
      <c r="B334" s="34" t="s">
        <v>6834</v>
      </c>
      <c r="C334" s="8">
        <v>1000</v>
      </c>
      <c r="D334" s="8"/>
      <c r="E334" s="113">
        <f t="shared" si="4"/>
        <v>234432</v>
      </c>
    </row>
    <row r="335" spans="1:5" x14ac:dyDescent="0.25">
      <c r="A335" s="124" t="s">
        <v>6833</v>
      </c>
      <c r="B335" s="34" t="s">
        <v>6835</v>
      </c>
      <c r="C335" s="8">
        <v>3000</v>
      </c>
      <c r="D335" s="8"/>
      <c r="E335" s="113">
        <f t="shared" si="4"/>
        <v>231432</v>
      </c>
    </row>
    <row r="336" spans="1:5" x14ac:dyDescent="0.25">
      <c r="A336" s="124" t="s">
        <v>6833</v>
      </c>
      <c r="B336" s="34" t="s">
        <v>6836</v>
      </c>
      <c r="C336" s="8">
        <v>1000</v>
      </c>
      <c r="D336" s="8"/>
      <c r="E336" s="113">
        <f t="shared" si="4"/>
        <v>230432</v>
      </c>
    </row>
    <row r="337" spans="1:7" x14ac:dyDescent="0.25">
      <c r="A337" s="124" t="s">
        <v>6833</v>
      </c>
      <c r="B337" s="34" t="s">
        <v>6837</v>
      </c>
      <c r="C337" s="8">
        <v>5000</v>
      </c>
      <c r="D337" s="8"/>
      <c r="E337" s="113">
        <f t="shared" si="4"/>
        <v>225432</v>
      </c>
    </row>
    <row r="338" spans="1:7" s="5" customFormat="1" x14ac:dyDescent="0.25">
      <c r="A338" s="124" t="s">
        <v>6833</v>
      </c>
      <c r="B338" s="34" t="s">
        <v>6841</v>
      </c>
      <c r="C338" s="8">
        <v>1000</v>
      </c>
      <c r="D338" s="8"/>
      <c r="E338" s="113">
        <f t="shared" si="4"/>
        <v>224432</v>
      </c>
      <c r="G338" s="10"/>
    </row>
    <row r="339" spans="1:7" x14ac:dyDescent="0.25">
      <c r="A339" s="124" t="s">
        <v>6833</v>
      </c>
      <c r="B339" s="34" t="s">
        <v>6838</v>
      </c>
      <c r="C339" s="8">
        <v>4000</v>
      </c>
      <c r="D339" s="8"/>
      <c r="E339" s="113">
        <f t="shared" si="4"/>
        <v>220432</v>
      </c>
    </row>
    <row r="340" spans="1:7" x14ac:dyDescent="0.25">
      <c r="A340" s="124" t="s">
        <v>6833</v>
      </c>
      <c r="B340" s="34" t="s">
        <v>6839</v>
      </c>
      <c r="C340" s="8">
        <v>1000</v>
      </c>
      <c r="D340" s="8"/>
      <c r="E340" s="113">
        <f t="shared" si="4"/>
        <v>219432</v>
      </c>
    </row>
    <row r="341" spans="1:7" x14ac:dyDescent="0.25">
      <c r="A341" s="124" t="s">
        <v>6833</v>
      </c>
      <c r="B341" s="34" t="s">
        <v>6840</v>
      </c>
      <c r="C341" s="8">
        <v>1000</v>
      </c>
      <c r="D341" s="8"/>
      <c r="E341" s="113">
        <f t="shared" si="4"/>
        <v>218432</v>
      </c>
    </row>
    <row r="342" spans="1:7" x14ac:dyDescent="0.25">
      <c r="A342" s="124" t="s">
        <v>6833</v>
      </c>
      <c r="B342" s="52" t="s">
        <v>6841</v>
      </c>
      <c r="C342" s="8">
        <v>3000</v>
      </c>
      <c r="D342" s="8"/>
      <c r="E342" s="113">
        <f t="shared" si="4"/>
        <v>215432</v>
      </c>
    </row>
    <row r="343" spans="1:7" x14ac:dyDescent="0.25">
      <c r="A343" s="124" t="s">
        <v>6833</v>
      </c>
      <c r="B343" s="52" t="s">
        <v>6842</v>
      </c>
      <c r="C343" s="8">
        <v>4000</v>
      </c>
      <c r="D343" s="8"/>
      <c r="E343" s="113">
        <f t="shared" si="4"/>
        <v>211432</v>
      </c>
    </row>
    <row r="344" spans="1:7" x14ac:dyDescent="0.25">
      <c r="A344" s="124" t="s">
        <v>6833</v>
      </c>
      <c r="B344" s="52" t="s">
        <v>6843</v>
      </c>
      <c r="C344" s="8">
        <v>1000</v>
      </c>
      <c r="D344" s="8"/>
      <c r="E344" s="113">
        <f t="shared" si="4"/>
        <v>210432</v>
      </c>
    </row>
    <row r="345" spans="1:7" x14ac:dyDescent="0.25">
      <c r="A345" s="124" t="s">
        <v>6833</v>
      </c>
      <c r="B345" s="52" t="s">
        <v>6844</v>
      </c>
      <c r="C345" s="8">
        <v>1000</v>
      </c>
      <c r="D345" s="8"/>
      <c r="E345" s="113">
        <f t="shared" si="4"/>
        <v>209432</v>
      </c>
    </row>
    <row r="346" spans="1:7" x14ac:dyDescent="0.25">
      <c r="A346" s="124" t="s">
        <v>6833</v>
      </c>
      <c r="B346" s="52" t="s">
        <v>6845</v>
      </c>
      <c r="C346" s="8">
        <v>24000</v>
      </c>
      <c r="D346" s="8"/>
      <c r="E346" s="113">
        <f t="shared" si="4"/>
        <v>185432</v>
      </c>
    </row>
    <row r="347" spans="1:7" x14ac:dyDescent="0.25">
      <c r="A347" s="124" t="s">
        <v>6833</v>
      </c>
      <c r="B347" s="52" t="s">
        <v>6846</v>
      </c>
      <c r="C347" s="8">
        <v>3000</v>
      </c>
      <c r="D347" s="8"/>
      <c r="E347" s="113">
        <f t="shared" si="4"/>
        <v>182432</v>
      </c>
    </row>
    <row r="348" spans="1:7" x14ac:dyDescent="0.25">
      <c r="A348" s="124" t="s">
        <v>6833</v>
      </c>
      <c r="B348" s="52" t="s">
        <v>6387</v>
      </c>
      <c r="C348" s="8">
        <v>78710</v>
      </c>
      <c r="D348" s="8"/>
      <c r="E348" s="113">
        <f t="shared" si="4"/>
        <v>103722</v>
      </c>
    </row>
    <row r="349" spans="1:7" x14ac:dyDescent="0.25">
      <c r="A349" s="124" t="s">
        <v>6833</v>
      </c>
      <c r="B349" s="52" t="s">
        <v>4368</v>
      </c>
      <c r="C349" s="8">
        <v>17488</v>
      </c>
      <c r="D349" s="8"/>
      <c r="E349" s="113">
        <f t="shared" si="4"/>
        <v>86234</v>
      </c>
    </row>
    <row r="350" spans="1:7" x14ac:dyDescent="0.25">
      <c r="A350" s="124" t="s">
        <v>6857</v>
      </c>
      <c r="B350" s="52" t="s">
        <v>6882</v>
      </c>
      <c r="C350" s="8">
        <v>20000</v>
      </c>
      <c r="D350" s="8"/>
      <c r="E350" s="113">
        <f t="shared" si="4"/>
        <v>66234</v>
      </c>
    </row>
    <row r="351" spans="1:7" x14ac:dyDescent="0.25">
      <c r="A351" s="124" t="s">
        <v>6879</v>
      </c>
      <c r="B351" s="52" t="s">
        <v>6880</v>
      </c>
      <c r="C351" s="8">
        <v>5000</v>
      </c>
      <c r="D351" s="8"/>
      <c r="E351" s="113">
        <f t="shared" si="4"/>
        <v>61234</v>
      </c>
    </row>
    <row r="352" spans="1:7" x14ac:dyDescent="0.25">
      <c r="A352" s="124" t="s">
        <v>6879</v>
      </c>
      <c r="B352" s="52" t="s">
        <v>6881</v>
      </c>
      <c r="C352" s="8">
        <v>2000</v>
      </c>
      <c r="D352" s="8"/>
      <c r="E352" s="113">
        <f t="shared" si="4"/>
        <v>59234</v>
      </c>
    </row>
    <row r="353" spans="1:7" x14ac:dyDescent="0.25">
      <c r="A353" s="124" t="s">
        <v>6894</v>
      </c>
      <c r="B353" s="34" t="s">
        <v>6895</v>
      </c>
      <c r="C353" s="8">
        <v>58000</v>
      </c>
      <c r="D353" s="8"/>
      <c r="E353" s="113">
        <f t="shared" si="4"/>
        <v>1234</v>
      </c>
    </row>
    <row r="354" spans="1:7" s="5" customFormat="1" x14ac:dyDescent="0.25">
      <c r="A354" s="124" t="s">
        <v>6894</v>
      </c>
      <c r="B354" s="34" t="s">
        <v>295</v>
      </c>
      <c r="C354" s="8"/>
      <c r="D354" s="8">
        <v>25000</v>
      </c>
      <c r="E354" s="113">
        <f t="shared" si="4"/>
        <v>26234</v>
      </c>
      <c r="G354" s="10"/>
    </row>
    <row r="355" spans="1:7" s="5" customFormat="1" x14ac:dyDescent="0.25">
      <c r="A355" s="124" t="s">
        <v>6900</v>
      </c>
      <c r="B355" s="34" t="s">
        <v>295</v>
      </c>
      <c r="C355" s="8"/>
      <c r="D355" s="8">
        <v>30000</v>
      </c>
      <c r="E355" s="113">
        <f t="shared" si="4"/>
        <v>56234</v>
      </c>
      <c r="G355" s="10"/>
    </row>
    <row r="356" spans="1:7" x14ac:dyDescent="0.25">
      <c r="A356" s="124" t="s">
        <v>6900</v>
      </c>
      <c r="B356" s="34" t="s">
        <v>6901</v>
      </c>
      <c r="C356" s="8">
        <v>24300</v>
      </c>
      <c r="D356" s="8"/>
      <c r="E356" s="113">
        <f t="shared" si="4"/>
        <v>31934</v>
      </c>
    </row>
    <row r="357" spans="1:7" x14ac:dyDescent="0.25">
      <c r="A357" s="124" t="s">
        <v>6900</v>
      </c>
      <c r="B357" s="34" t="s">
        <v>6742</v>
      </c>
      <c r="C357" s="8">
        <v>1500</v>
      </c>
      <c r="D357" s="8"/>
      <c r="E357" s="113">
        <f t="shared" si="4"/>
        <v>30434</v>
      </c>
    </row>
    <row r="358" spans="1:7" x14ac:dyDescent="0.25">
      <c r="A358" s="124" t="s">
        <v>6900</v>
      </c>
      <c r="B358" s="34" t="s">
        <v>6902</v>
      </c>
      <c r="C358" s="8">
        <v>15000</v>
      </c>
      <c r="D358" s="8"/>
      <c r="E358" s="113">
        <f t="shared" si="4"/>
        <v>15434</v>
      </c>
    </row>
    <row r="359" spans="1:7" s="5" customFormat="1" x14ac:dyDescent="0.25">
      <c r="A359" s="124" t="s">
        <v>6919</v>
      </c>
      <c r="B359" s="34" t="s">
        <v>295</v>
      </c>
      <c r="C359" s="8"/>
      <c r="D359" s="8">
        <v>150000</v>
      </c>
      <c r="E359" s="113">
        <f t="shared" si="4"/>
        <v>165434</v>
      </c>
      <c r="G359" s="10"/>
    </row>
    <row r="360" spans="1:7" x14ac:dyDescent="0.25">
      <c r="A360" s="124" t="s">
        <v>6919</v>
      </c>
      <c r="B360" s="52" t="s">
        <v>4266</v>
      </c>
      <c r="C360" s="8">
        <v>2000</v>
      </c>
      <c r="D360" s="8"/>
      <c r="E360" s="113">
        <f t="shared" si="4"/>
        <v>163434</v>
      </c>
    </row>
    <row r="361" spans="1:7" x14ac:dyDescent="0.25">
      <c r="A361" s="124" t="s">
        <v>6919</v>
      </c>
      <c r="B361" s="52" t="s">
        <v>6920</v>
      </c>
      <c r="C361" s="8">
        <v>4000</v>
      </c>
      <c r="D361" s="8"/>
      <c r="E361" s="113">
        <f t="shared" si="4"/>
        <v>159434</v>
      </c>
    </row>
    <row r="362" spans="1:7" x14ac:dyDescent="0.25">
      <c r="A362" s="124" t="s">
        <v>6919</v>
      </c>
      <c r="B362" s="52" t="s">
        <v>6921</v>
      </c>
      <c r="C362" s="8">
        <v>30000</v>
      </c>
      <c r="D362" s="8"/>
      <c r="E362" s="113">
        <f t="shared" si="4"/>
        <v>129434</v>
      </c>
    </row>
    <row r="363" spans="1:7" x14ac:dyDescent="0.25">
      <c r="A363" s="124" t="s">
        <v>6923</v>
      </c>
      <c r="B363" s="34" t="s">
        <v>295</v>
      </c>
      <c r="C363" s="8"/>
      <c r="D363" s="8">
        <v>50000</v>
      </c>
      <c r="E363" s="113">
        <f t="shared" si="4"/>
        <v>179434</v>
      </c>
    </row>
    <row r="364" spans="1:7" x14ac:dyDescent="0.25">
      <c r="A364" s="124" t="s">
        <v>6923</v>
      </c>
      <c r="B364" s="34" t="s">
        <v>6924</v>
      </c>
      <c r="C364" s="8">
        <v>60000</v>
      </c>
      <c r="D364" s="8"/>
      <c r="E364" s="113">
        <f t="shared" si="4"/>
        <v>119434</v>
      </c>
    </row>
    <row r="365" spans="1:7" x14ac:dyDescent="0.25">
      <c r="A365" s="124" t="s">
        <v>6923</v>
      </c>
      <c r="B365" s="52" t="s">
        <v>6925</v>
      </c>
      <c r="C365" s="8">
        <v>5000</v>
      </c>
      <c r="D365" s="8"/>
      <c r="E365" s="113">
        <f t="shared" si="4"/>
        <v>114434</v>
      </c>
    </row>
    <row r="366" spans="1:7" x14ac:dyDescent="0.25">
      <c r="A366" s="124" t="s">
        <v>6923</v>
      </c>
      <c r="B366" s="52" t="s">
        <v>295</v>
      </c>
      <c r="C366" s="8"/>
      <c r="D366" s="8">
        <v>15000</v>
      </c>
      <c r="E366" s="113">
        <f t="shared" si="4"/>
        <v>129434</v>
      </c>
    </row>
    <row r="367" spans="1:7" x14ac:dyDescent="0.25">
      <c r="A367" s="124" t="s">
        <v>6929</v>
      </c>
      <c r="B367" s="52" t="s">
        <v>295</v>
      </c>
      <c r="C367" s="8"/>
      <c r="D367" s="8">
        <v>5000</v>
      </c>
      <c r="E367" s="113">
        <f t="shared" si="4"/>
        <v>134434</v>
      </c>
    </row>
    <row r="368" spans="1:7" x14ac:dyDescent="0.25">
      <c r="A368" s="124" t="s">
        <v>6940</v>
      </c>
      <c r="B368" s="52" t="s">
        <v>295</v>
      </c>
      <c r="C368" s="8"/>
      <c r="D368" s="8">
        <v>5000</v>
      </c>
      <c r="E368" s="113">
        <f t="shared" si="4"/>
        <v>139434</v>
      </c>
    </row>
    <row r="369" spans="1:5" x14ac:dyDescent="0.25">
      <c r="A369" s="124" t="s">
        <v>6963</v>
      </c>
      <c r="B369" s="52" t="s">
        <v>6902</v>
      </c>
      <c r="C369" s="8">
        <v>2000</v>
      </c>
      <c r="D369" s="8"/>
      <c r="E369" s="113">
        <f t="shared" si="4"/>
        <v>137434</v>
      </c>
    </row>
    <row r="370" spans="1:5" ht="30" x14ac:dyDescent="0.25">
      <c r="A370" s="124" t="s">
        <v>6963</v>
      </c>
      <c r="B370" s="72" t="s">
        <v>6964</v>
      </c>
      <c r="C370" s="8">
        <v>3000</v>
      </c>
      <c r="D370" s="8"/>
      <c r="E370" s="113">
        <f t="shared" si="4"/>
        <v>134434</v>
      </c>
    </row>
    <row r="371" spans="1:5" x14ac:dyDescent="0.25">
      <c r="A371" s="124" t="s">
        <v>6963</v>
      </c>
      <c r="B371" s="52" t="s">
        <v>5991</v>
      </c>
      <c r="C371" s="8"/>
      <c r="D371" s="8">
        <v>100000</v>
      </c>
      <c r="E371" s="113">
        <f t="shared" si="4"/>
        <v>234434</v>
      </c>
    </row>
    <row r="372" spans="1:5" x14ac:dyDescent="0.25">
      <c r="A372" s="124" t="s">
        <v>6963</v>
      </c>
      <c r="B372" s="52" t="s">
        <v>6968</v>
      </c>
      <c r="C372" s="8"/>
      <c r="D372" s="8">
        <v>18660</v>
      </c>
      <c r="E372" s="113">
        <f t="shared" si="4"/>
        <v>253094</v>
      </c>
    </row>
    <row r="373" spans="1:5" x14ac:dyDescent="0.25">
      <c r="A373" s="124" t="s">
        <v>6963</v>
      </c>
      <c r="B373" s="52" t="s">
        <v>439</v>
      </c>
      <c r="C373" s="8"/>
      <c r="D373" s="8">
        <v>25000</v>
      </c>
      <c r="E373" s="113">
        <f t="shared" si="4"/>
        <v>278094</v>
      </c>
    </row>
    <row r="374" spans="1:5" x14ac:dyDescent="0.25">
      <c r="A374" s="124" t="s">
        <v>6988</v>
      </c>
      <c r="B374" s="138" t="s">
        <v>6987</v>
      </c>
      <c r="C374" s="139">
        <v>15000</v>
      </c>
      <c r="D374" s="8"/>
      <c r="E374" s="113">
        <f t="shared" si="4"/>
        <v>263094</v>
      </c>
    </row>
    <row r="375" spans="1:5" x14ac:dyDescent="0.25">
      <c r="A375" s="124" t="s">
        <v>7000</v>
      </c>
      <c r="B375" s="52" t="s">
        <v>295</v>
      </c>
      <c r="C375" s="8"/>
      <c r="D375" s="8">
        <v>5000</v>
      </c>
      <c r="E375" s="113">
        <f t="shared" si="4"/>
        <v>268094</v>
      </c>
    </row>
    <row r="376" spans="1:5" x14ac:dyDescent="0.25">
      <c r="A376" s="124" t="s">
        <v>7004</v>
      </c>
      <c r="B376" s="52" t="s">
        <v>4655</v>
      </c>
      <c r="C376" s="8">
        <v>13720</v>
      </c>
      <c r="D376" s="8"/>
      <c r="E376" s="113">
        <f t="shared" si="4"/>
        <v>254374</v>
      </c>
    </row>
    <row r="377" spans="1:5" x14ac:dyDescent="0.25">
      <c r="A377" s="124" t="s">
        <v>7004</v>
      </c>
      <c r="B377" s="52" t="s">
        <v>4370</v>
      </c>
      <c r="C377" s="8">
        <v>2350</v>
      </c>
      <c r="D377" s="8"/>
      <c r="E377" s="113">
        <f t="shared" si="4"/>
        <v>252024</v>
      </c>
    </row>
    <row r="378" spans="1:5" x14ac:dyDescent="0.25">
      <c r="A378" s="124" t="s">
        <v>7004</v>
      </c>
      <c r="B378" s="52" t="s">
        <v>5001</v>
      </c>
      <c r="C378" s="8">
        <v>3550</v>
      </c>
      <c r="D378" s="8"/>
      <c r="E378" s="113">
        <f t="shared" si="4"/>
        <v>248474</v>
      </c>
    </row>
    <row r="379" spans="1:5" x14ac:dyDescent="0.25">
      <c r="A379" s="124" t="s">
        <v>7004</v>
      </c>
      <c r="B379" s="52" t="s">
        <v>295</v>
      </c>
      <c r="C379" s="8"/>
      <c r="D379" s="8">
        <v>50000</v>
      </c>
      <c r="E379" s="113">
        <f t="shared" si="4"/>
        <v>298474</v>
      </c>
    </row>
    <row r="380" spans="1:5" x14ac:dyDescent="0.25">
      <c r="A380" s="124" t="s">
        <v>7012</v>
      </c>
      <c r="B380" s="52" t="s">
        <v>5401</v>
      </c>
      <c r="C380" s="8">
        <v>25000</v>
      </c>
      <c r="D380" s="8"/>
      <c r="E380" s="113">
        <f t="shared" si="4"/>
        <v>273474</v>
      </c>
    </row>
    <row r="381" spans="1:5" x14ac:dyDescent="0.25">
      <c r="A381" s="124" t="s">
        <v>7017</v>
      </c>
      <c r="B381" s="26" t="s">
        <v>7016</v>
      </c>
      <c r="C381" s="8"/>
      <c r="D381" s="8">
        <v>23634</v>
      </c>
      <c r="E381" s="113">
        <f t="shared" si="4"/>
        <v>297108</v>
      </c>
    </row>
    <row r="382" spans="1:5" x14ac:dyDescent="0.25">
      <c r="A382" s="124" t="s">
        <v>7025</v>
      </c>
      <c r="B382" s="29" t="s">
        <v>295</v>
      </c>
      <c r="C382" s="8"/>
      <c r="D382" s="8">
        <v>50000</v>
      </c>
      <c r="E382" s="113">
        <f t="shared" si="4"/>
        <v>347108</v>
      </c>
    </row>
    <row r="383" spans="1:5" x14ac:dyDescent="0.25">
      <c r="A383" s="124" t="s">
        <v>7038</v>
      </c>
      <c r="B383" s="29" t="s">
        <v>7039</v>
      </c>
      <c r="C383" s="8">
        <v>50000</v>
      </c>
      <c r="D383" s="8"/>
      <c r="E383" s="113">
        <f t="shared" si="4"/>
        <v>297108</v>
      </c>
    </row>
    <row r="384" spans="1:5" x14ac:dyDescent="0.25">
      <c r="A384" s="124" t="s">
        <v>7043</v>
      </c>
      <c r="B384" s="29" t="s">
        <v>7044</v>
      </c>
      <c r="C384" s="8">
        <v>1000</v>
      </c>
      <c r="D384" s="8"/>
      <c r="E384" s="113">
        <f t="shared" si="4"/>
        <v>296108</v>
      </c>
    </row>
    <row r="385" spans="1:7" x14ac:dyDescent="0.25">
      <c r="A385" s="124" t="s">
        <v>7043</v>
      </c>
      <c r="B385" s="29" t="s">
        <v>7045</v>
      </c>
      <c r="C385" s="8"/>
      <c r="D385" s="8">
        <v>5000</v>
      </c>
      <c r="E385" s="113">
        <f t="shared" si="4"/>
        <v>301108</v>
      </c>
    </row>
    <row r="386" spans="1:7" x14ac:dyDescent="0.25">
      <c r="A386" s="124" t="s">
        <v>7063</v>
      </c>
      <c r="B386" s="29" t="s">
        <v>295</v>
      </c>
      <c r="C386" s="8"/>
      <c r="D386" s="8">
        <v>15000</v>
      </c>
      <c r="E386" s="113">
        <f t="shared" si="4"/>
        <v>316108</v>
      </c>
    </row>
    <row r="387" spans="1:7" s="53" customFormat="1" x14ac:dyDescent="0.25">
      <c r="A387" s="286" t="s">
        <v>7067</v>
      </c>
      <c r="B387" s="29" t="s">
        <v>7066</v>
      </c>
      <c r="C387" s="14"/>
      <c r="D387" s="14">
        <v>16500</v>
      </c>
      <c r="E387" s="113">
        <f t="shared" si="4"/>
        <v>332608</v>
      </c>
      <c r="G387" s="24"/>
    </row>
    <row r="388" spans="1:7" x14ac:dyDescent="0.25">
      <c r="A388" s="124" t="s">
        <v>7067</v>
      </c>
      <c r="B388" s="29" t="s">
        <v>295</v>
      </c>
      <c r="C388" s="8"/>
      <c r="D388" s="8">
        <v>100000</v>
      </c>
      <c r="E388" s="113">
        <f t="shared" si="4"/>
        <v>432608</v>
      </c>
    </row>
    <row r="389" spans="1:7" x14ac:dyDescent="0.25">
      <c r="A389" s="124" t="s">
        <v>7073</v>
      </c>
      <c r="B389" s="29" t="s">
        <v>4370</v>
      </c>
      <c r="C389" s="8">
        <v>2000</v>
      </c>
      <c r="D389" s="8"/>
      <c r="E389" s="113">
        <f t="shared" si="4"/>
        <v>430608</v>
      </c>
    </row>
    <row r="390" spans="1:7" x14ac:dyDescent="0.25">
      <c r="A390" s="124" t="s">
        <v>7073</v>
      </c>
      <c r="B390" s="29" t="s">
        <v>4655</v>
      </c>
      <c r="C390" s="8">
        <v>8500</v>
      </c>
      <c r="D390" s="8"/>
      <c r="E390" s="113">
        <f t="shared" si="4"/>
        <v>422108</v>
      </c>
    </row>
    <row r="391" spans="1:7" x14ac:dyDescent="0.25">
      <c r="A391" s="124" t="s">
        <v>7073</v>
      </c>
      <c r="B391" s="29" t="s">
        <v>5337</v>
      </c>
      <c r="C391" s="8">
        <v>1500</v>
      </c>
      <c r="D391" s="8"/>
      <c r="E391" s="113">
        <f t="shared" si="4"/>
        <v>420608</v>
      </c>
    </row>
    <row r="392" spans="1:7" x14ac:dyDescent="0.25">
      <c r="A392" s="124" t="s">
        <v>7081</v>
      </c>
      <c r="B392" s="29" t="s">
        <v>7082</v>
      </c>
      <c r="C392" s="8">
        <v>1000</v>
      </c>
      <c r="D392" s="8"/>
      <c r="E392" s="113">
        <f t="shared" si="4"/>
        <v>419608</v>
      </c>
    </row>
    <row r="393" spans="1:7" x14ac:dyDescent="0.25">
      <c r="A393" s="124" t="s">
        <v>7121</v>
      </c>
      <c r="B393" s="29" t="s">
        <v>7122</v>
      </c>
      <c r="C393" s="8"/>
      <c r="D393" s="8">
        <v>100000</v>
      </c>
      <c r="E393" s="113">
        <f t="shared" si="4"/>
        <v>519608</v>
      </c>
    </row>
    <row r="394" spans="1:7" x14ac:dyDescent="0.25">
      <c r="A394" s="124" t="s">
        <v>7121</v>
      </c>
      <c r="B394" s="264" t="s">
        <v>7123</v>
      </c>
      <c r="C394" s="265">
        <v>10000</v>
      </c>
      <c r="E394" s="113">
        <f t="shared" si="4"/>
        <v>509608</v>
      </c>
    </row>
    <row r="395" spans="1:7" x14ac:dyDescent="0.25">
      <c r="A395" s="124" t="s">
        <v>7128</v>
      </c>
      <c r="B395" s="39" t="s">
        <v>7129</v>
      </c>
      <c r="C395" s="10">
        <v>1790</v>
      </c>
      <c r="E395" s="113">
        <f t="shared" si="4"/>
        <v>507818</v>
      </c>
    </row>
    <row r="396" spans="1:7" x14ac:dyDescent="0.25">
      <c r="A396" s="124" t="s">
        <v>7128</v>
      </c>
      <c r="B396" s="39" t="s">
        <v>7131</v>
      </c>
      <c r="D396" s="10">
        <v>150000</v>
      </c>
      <c r="E396" s="113">
        <f t="shared" si="4"/>
        <v>657818</v>
      </c>
    </row>
    <row r="397" spans="1:7" x14ac:dyDescent="0.25">
      <c r="A397" s="124" t="s">
        <v>7128</v>
      </c>
      <c r="B397" s="39" t="s">
        <v>4655</v>
      </c>
      <c r="C397" s="10">
        <v>37000</v>
      </c>
      <c r="E397" s="113">
        <f t="shared" si="4"/>
        <v>620818</v>
      </c>
    </row>
    <row r="398" spans="1:7" x14ac:dyDescent="0.25">
      <c r="A398" s="124" t="s">
        <v>7140</v>
      </c>
      <c r="B398" s="26" t="s">
        <v>7137</v>
      </c>
      <c r="D398" s="10">
        <v>8371</v>
      </c>
      <c r="E398" s="113">
        <f t="shared" si="4"/>
        <v>629189</v>
      </c>
    </row>
    <row r="399" spans="1:7" x14ac:dyDescent="0.25">
      <c r="A399" s="124" t="s">
        <v>7140</v>
      </c>
      <c r="B399" s="39" t="s">
        <v>7135</v>
      </c>
      <c r="D399" s="10">
        <v>350000</v>
      </c>
      <c r="E399" s="113">
        <f t="shared" si="4"/>
        <v>979189</v>
      </c>
    </row>
    <row r="400" spans="1:7" x14ac:dyDescent="0.25">
      <c r="A400" s="124" t="s">
        <v>7148</v>
      </c>
      <c r="B400" s="39" t="s">
        <v>5401</v>
      </c>
      <c r="C400" s="10">
        <v>80000</v>
      </c>
      <c r="E400" s="113">
        <f t="shared" si="4"/>
        <v>899189</v>
      </c>
    </row>
    <row r="401" spans="1:5" x14ac:dyDescent="0.25">
      <c r="A401" s="151" t="s">
        <v>7162</v>
      </c>
      <c r="B401" s="39" t="s">
        <v>6503</v>
      </c>
      <c r="D401" s="10">
        <v>10000</v>
      </c>
      <c r="E401" s="261">
        <f t="shared" si="4"/>
        <v>909189</v>
      </c>
    </row>
    <row r="402" spans="1:5" x14ac:dyDescent="0.25">
      <c r="A402" s="124" t="s">
        <v>7162</v>
      </c>
      <c r="B402" s="29" t="s">
        <v>7163</v>
      </c>
      <c r="C402" s="8">
        <v>15000</v>
      </c>
      <c r="D402" s="8"/>
      <c r="E402" s="113">
        <f t="shared" si="4"/>
        <v>894189</v>
      </c>
    </row>
    <row r="403" spans="1:5" x14ac:dyDescent="0.25">
      <c r="A403" s="124" t="s">
        <v>7162</v>
      </c>
      <c r="B403" s="29" t="s">
        <v>4776</v>
      </c>
      <c r="C403" s="8">
        <v>30000</v>
      </c>
      <c r="D403" s="8"/>
      <c r="E403" s="113">
        <f t="shared" si="4"/>
        <v>864189</v>
      </c>
    </row>
    <row r="404" spans="1:5" x14ac:dyDescent="0.25">
      <c r="A404" s="124" t="s">
        <v>7162</v>
      </c>
      <c r="B404" s="29" t="s">
        <v>4266</v>
      </c>
      <c r="C404" s="8">
        <v>40000</v>
      </c>
      <c r="D404" s="8"/>
      <c r="E404" s="113">
        <f t="shared" si="4"/>
        <v>824189</v>
      </c>
    </row>
    <row r="405" spans="1:5" x14ac:dyDescent="0.25">
      <c r="A405" s="124" t="s">
        <v>7162</v>
      </c>
      <c r="B405" s="29" t="s">
        <v>7164</v>
      </c>
      <c r="C405" s="8">
        <v>5000</v>
      </c>
      <c r="D405" s="8"/>
      <c r="E405" s="113">
        <f t="shared" si="4"/>
        <v>819189</v>
      </c>
    </row>
    <row r="406" spans="1:5" ht="30" x14ac:dyDescent="0.25">
      <c r="A406" s="124" t="s">
        <v>7162</v>
      </c>
      <c r="B406" s="89" t="s">
        <v>7165</v>
      </c>
      <c r="C406" s="8">
        <v>197612</v>
      </c>
      <c r="D406" s="8"/>
      <c r="E406" s="113">
        <f t="shared" si="4"/>
        <v>621577</v>
      </c>
    </row>
    <row r="407" spans="1:5" x14ac:dyDescent="0.25">
      <c r="A407" s="124" t="s">
        <v>7178</v>
      </c>
      <c r="B407" s="34" t="s">
        <v>295</v>
      </c>
      <c r="C407" s="8"/>
      <c r="D407" s="8">
        <v>5000</v>
      </c>
      <c r="E407" s="113">
        <f t="shared" si="4"/>
        <v>626577</v>
      </c>
    </row>
    <row r="408" spans="1:5" x14ac:dyDescent="0.25">
      <c r="A408" s="124" t="s">
        <v>7179</v>
      </c>
      <c r="B408" s="26" t="s">
        <v>6500</v>
      </c>
      <c r="C408" s="8"/>
      <c r="D408" s="8">
        <v>9348</v>
      </c>
      <c r="E408" s="113">
        <f t="shared" si="4"/>
        <v>635925</v>
      </c>
    </row>
    <row r="409" spans="1:5" x14ac:dyDescent="0.25">
      <c r="A409" s="124">
        <v>44140</v>
      </c>
      <c r="B409" s="29" t="s">
        <v>4369</v>
      </c>
      <c r="C409" s="8"/>
      <c r="D409" s="8">
        <v>15000</v>
      </c>
      <c r="E409" s="113">
        <f t="shared" si="4"/>
        <v>650925</v>
      </c>
    </row>
    <row r="410" spans="1:5" x14ac:dyDescent="0.25">
      <c r="A410" s="124">
        <v>44141</v>
      </c>
      <c r="B410" s="29" t="s">
        <v>7183</v>
      </c>
      <c r="C410" s="8">
        <v>10000</v>
      </c>
      <c r="D410" s="8"/>
      <c r="E410" s="113">
        <f t="shared" si="4"/>
        <v>640925</v>
      </c>
    </row>
    <row r="411" spans="1:5" x14ac:dyDescent="0.25">
      <c r="A411" s="124">
        <v>44152</v>
      </c>
      <c r="B411" s="29" t="s">
        <v>7201</v>
      </c>
      <c r="C411" s="8">
        <v>5000</v>
      </c>
      <c r="D411" s="8"/>
      <c r="E411" s="113">
        <f t="shared" si="4"/>
        <v>635925</v>
      </c>
    </row>
    <row r="412" spans="1:5" x14ac:dyDescent="0.25">
      <c r="A412" s="124">
        <v>44152</v>
      </c>
      <c r="B412" s="29" t="s">
        <v>7201</v>
      </c>
      <c r="C412" s="8">
        <v>7000</v>
      </c>
      <c r="D412" s="8"/>
      <c r="E412" s="113">
        <f t="shared" si="4"/>
        <v>628925</v>
      </c>
    </row>
    <row r="413" spans="1:5" x14ac:dyDescent="0.25">
      <c r="A413" s="124">
        <v>44152</v>
      </c>
      <c r="B413" s="34" t="s">
        <v>7202</v>
      </c>
      <c r="C413" s="8"/>
      <c r="D413" s="8">
        <v>100000</v>
      </c>
      <c r="E413" s="113">
        <f t="shared" si="4"/>
        <v>728925</v>
      </c>
    </row>
    <row r="414" spans="1:5" x14ac:dyDescent="0.25">
      <c r="A414" s="124">
        <v>44152</v>
      </c>
      <c r="B414" s="52" t="s">
        <v>7211</v>
      </c>
      <c r="C414" s="8">
        <v>3000</v>
      </c>
      <c r="D414" s="8"/>
      <c r="E414" s="113">
        <f t="shared" si="4"/>
        <v>725925</v>
      </c>
    </row>
    <row r="415" spans="1:5" x14ac:dyDescent="0.25">
      <c r="A415" s="124">
        <v>44153</v>
      </c>
      <c r="B415" s="52" t="s">
        <v>7212</v>
      </c>
      <c r="C415" s="8">
        <v>15000</v>
      </c>
      <c r="D415" s="8"/>
      <c r="E415" s="113">
        <f t="shared" si="4"/>
        <v>710925</v>
      </c>
    </row>
    <row r="416" spans="1:5" x14ac:dyDescent="0.25">
      <c r="A416" s="124">
        <v>44154</v>
      </c>
      <c r="B416" s="52" t="s">
        <v>7221</v>
      </c>
      <c r="C416" s="8">
        <v>7000</v>
      </c>
      <c r="D416" s="8"/>
      <c r="E416" s="113">
        <f t="shared" si="4"/>
        <v>703925</v>
      </c>
    </row>
    <row r="417" spans="1:5" x14ac:dyDescent="0.25">
      <c r="A417" s="124">
        <v>44153</v>
      </c>
      <c r="B417" s="26" t="s">
        <v>3914</v>
      </c>
      <c r="C417" s="8"/>
      <c r="D417" s="8">
        <v>15000</v>
      </c>
      <c r="E417" s="113">
        <f t="shared" si="4"/>
        <v>718925</v>
      </c>
    </row>
    <row r="418" spans="1:5" x14ac:dyDescent="0.25">
      <c r="A418" s="124">
        <v>44153</v>
      </c>
      <c r="B418" s="29" t="s">
        <v>7222</v>
      </c>
      <c r="C418" s="8">
        <v>9815</v>
      </c>
      <c r="D418" s="8"/>
      <c r="E418" s="113">
        <f t="shared" si="4"/>
        <v>709110</v>
      </c>
    </row>
    <row r="419" spans="1:5" x14ac:dyDescent="0.25">
      <c r="A419" s="124">
        <v>44159</v>
      </c>
      <c r="B419" s="29" t="s">
        <v>295</v>
      </c>
      <c r="C419" s="8"/>
      <c r="D419" s="8">
        <v>5000</v>
      </c>
      <c r="E419" s="113">
        <f t="shared" si="4"/>
        <v>714110</v>
      </c>
    </row>
    <row r="420" spans="1:5" x14ac:dyDescent="0.25">
      <c r="A420" s="124">
        <v>44160</v>
      </c>
      <c r="B420" s="29" t="s">
        <v>7044</v>
      </c>
      <c r="C420" s="8">
        <v>5000</v>
      </c>
      <c r="D420" s="8"/>
      <c r="E420" s="113">
        <f t="shared" si="4"/>
        <v>709110</v>
      </c>
    </row>
    <row r="421" spans="1:5" x14ac:dyDescent="0.25">
      <c r="A421" s="124">
        <v>44160</v>
      </c>
      <c r="B421" s="29" t="s">
        <v>7241</v>
      </c>
      <c r="C421" s="8">
        <v>5500</v>
      </c>
      <c r="D421" s="8"/>
      <c r="E421" s="113">
        <f t="shared" si="4"/>
        <v>703610</v>
      </c>
    </row>
    <row r="422" spans="1:5" x14ac:dyDescent="0.25">
      <c r="A422" s="124">
        <v>44160</v>
      </c>
      <c r="B422" s="29" t="s">
        <v>7242</v>
      </c>
      <c r="C422" s="8">
        <v>15000</v>
      </c>
      <c r="D422" s="8"/>
      <c r="E422" s="113">
        <f t="shared" si="4"/>
        <v>688610</v>
      </c>
    </row>
    <row r="423" spans="1:5" x14ac:dyDescent="0.25">
      <c r="A423" s="124">
        <v>44160</v>
      </c>
      <c r="B423" s="29" t="s">
        <v>7245</v>
      </c>
      <c r="C423" s="8"/>
      <c r="D423" s="8">
        <v>6491</v>
      </c>
      <c r="E423" s="113">
        <f t="shared" si="4"/>
        <v>695101</v>
      </c>
    </row>
    <row r="424" spans="1:5" x14ac:dyDescent="0.25">
      <c r="A424" s="124">
        <v>44163</v>
      </c>
      <c r="B424" s="26" t="s">
        <v>7256</v>
      </c>
      <c r="C424" s="8"/>
      <c r="D424" s="8">
        <v>20000</v>
      </c>
      <c r="E424" s="113">
        <f t="shared" si="4"/>
        <v>715101</v>
      </c>
    </row>
    <row r="425" spans="1:5" x14ac:dyDescent="0.25">
      <c r="A425" s="124">
        <v>44169</v>
      </c>
      <c r="B425" s="29" t="s">
        <v>7279</v>
      </c>
      <c r="C425" s="8">
        <v>5000</v>
      </c>
      <c r="D425" s="8"/>
      <c r="E425" s="113">
        <f t="shared" si="4"/>
        <v>710101</v>
      </c>
    </row>
    <row r="426" spans="1:5" x14ac:dyDescent="0.25">
      <c r="A426" s="124">
        <v>44169</v>
      </c>
      <c r="B426" s="29" t="s">
        <v>7284</v>
      </c>
      <c r="C426" s="8">
        <v>5000</v>
      </c>
      <c r="D426" s="8"/>
      <c r="E426" s="113">
        <f t="shared" si="4"/>
        <v>705101</v>
      </c>
    </row>
    <row r="427" spans="1:5" x14ac:dyDescent="0.25">
      <c r="A427" s="124">
        <v>44170</v>
      </c>
      <c r="B427" s="29" t="s">
        <v>7286</v>
      </c>
      <c r="C427" s="8">
        <v>1000</v>
      </c>
      <c r="D427" s="8"/>
      <c r="E427" s="113">
        <f t="shared" si="4"/>
        <v>704101</v>
      </c>
    </row>
    <row r="428" spans="1:5" x14ac:dyDescent="0.25">
      <c r="A428" s="124">
        <v>44174</v>
      </c>
      <c r="B428" s="29" t="s">
        <v>6387</v>
      </c>
      <c r="C428" s="8">
        <v>13640</v>
      </c>
      <c r="D428" s="8"/>
      <c r="E428" s="113">
        <f t="shared" si="4"/>
        <v>690461</v>
      </c>
    </row>
    <row r="429" spans="1:5" x14ac:dyDescent="0.25">
      <c r="A429" s="124">
        <v>44174</v>
      </c>
      <c r="B429" s="29" t="s">
        <v>4368</v>
      </c>
      <c r="C429" s="8">
        <v>2000</v>
      </c>
      <c r="D429" s="8"/>
      <c r="E429" s="113">
        <f t="shared" si="4"/>
        <v>688461</v>
      </c>
    </row>
    <row r="430" spans="1:5" x14ac:dyDescent="0.25">
      <c r="A430" s="124">
        <v>44174</v>
      </c>
      <c r="B430" s="29" t="s">
        <v>5157</v>
      </c>
      <c r="C430" s="8">
        <v>3000</v>
      </c>
      <c r="D430" s="8"/>
      <c r="E430" s="113">
        <f t="shared" si="4"/>
        <v>685461</v>
      </c>
    </row>
    <row r="431" spans="1:5" x14ac:dyDescent="0.25">
      <c r="A431" s="124">
        <v>44174</v>
      </c>
      <c r="B431" s="29" t="s">
        <v>5339</v>
      </c>
      <c r="C431" s="8">
        <v>2000</v>
      </c>
      <c r="D431" s="8"/>
      <c r="E431" s="113">
        <f t="shared" si="4"/>
        <v>683461</v>
      </c>
    </row>
    <row r="432" spans="1:5" x14ac:dyDescent="0.25">
      <c r="A432" s="124">
        <v>44175</v>
      </c>
      <c r="B432" s="29" t="s">
        <v>295</v>
      </c>
      <c r="C432" s="8"/>
      <c r="D432" s="8">
        <v>3000</v>
      </c>
      <c r="E432" s="113">
        <f t="shared" si="4"/>
        <v>686461</v>
      </c>
    </row>
    <row r="433" spans="1:7" x14ac:dyDescent="0.25">
      <c r="A433" s="124">
        <v>44177</v>
      </c>
      <c r="B433" s="29" t="s">
        <v>7316</v>
      </c>
      <c r="C433" s="8">
        <v>5000</v>
      </c>
      <c r="D433" s="8"/>
      <c r="E433" s="113">
        <f t="shared" si="4"/>
        <v>681461</v>
      </c>
    </row>
    <row r="434" spans="1:7" x14ac:dyDescent="0.25">
      <c r="A434" s="124">
        <v>44180</v>
      </c>
      <c r="B434" s="29" t="s">
        <v>295</v>
      </c>
      <c r="C434" s="8"/>
      <c r="D434" s="8">
        <v>1000</v>
      </c>
      <c r="E434" s="113">
        <f t="shared" si="4"/>
        <v>682461</v>
      </c>
    </row>
    <row r="435" spans="1:7" x14ac:dyDescent="0.25">
      <c r="A435" s="124">
        <v>44183</v>
      </c>
      <c r="B435" s="29" t="s">
        <v>295</v>
      </c>
      <c r="C435" s="8"/>
      <c r="D435" s="8">
        <v>1000</v>
      </c>
      <c r="E435" s="113">
        <f t="shared" si="4"/>
        <v>683461</v>
      </c>
    </row>
    <row r="436" spans="1:7" s="5" customFormat="1" x14ac:dyDescent="0.25">
      <c r="A436" s="124">
        <v>44183</v>
      </c>
      <c r="B436" s="29" t="s">
        <v>295</v>
      </c>
      <c r="C436" s="8"/>
      <c r="D436" s="8">
        <v>10000</v>
      </c>
      <c r="E436" s="113">
        <f t="shared" si="4"/>
        <v>693461</v>
      </c>
      <c r="G436" s="10"/>
    </row>
    <row r="437" spans="1:7" x14ac:dyDescent="0.25">
      <c r="A437" s="124">
        <v>44188</v>
      </c>
      <c r="B437" s="29" t="s">
        <v>7346</v>
      </c>
      <c r="C437" s="8"/>
      <c r="D437" s="8">
        <v>100000</v>
      </c>
      <c r="E437" s="113">
        <f t="shared" si="4"/>
        <v>793461</v>
      </c>
    </row>
    <row r="438" spans="1:7" x14ac:dyDescent="0.25">
      <c r="A438" s="124">
        <v>44188</v>
      </c>
      <c r="B438" s="29" t="s">
        <v>295</v>
      </c>
      <c r="C438" s="8"/>
      <c r="D438" s="8">
        <v>1000</v>
      </c>
      <c r="E438" s="113">
        <f t="shared" si="4"/>
        <v>794461</v>
      </c>
    </row>
    <row r="439" spans="1:7" s="5" customFormat="1" x14ac:dyDescent="0.25">
      <c r="A439" s="124">
        <v>44189</v>
      </c>
      <c r="B439" s="138" t="s">
        <v>7352</v>
      </c>
      <c r="C439" s="139">
        <v>40000</v>
      </c>
      <c r="D439" s="8"/>
      <c r="E439" s="113">
        <f t="shared" si="4"/>
        <v>754461</v>
      </c>
      <c r="G439" s="10"/>
    </row>
    <row r="440" spans="1:7" x14ac:dyDescent="0.25">
      <c r="A440" s="124">
        <v>44191</v>
      </c>
      <c r="B440" s="40" t="s">
        <v>7365</v>
      </c>
      <c r="C440" s="140">
        <v>8000</v>
      </c>
      <c r="D440" s="8"/>
      <c r="E440" s="113">
        <f t="shared" si="4"/>
        <v>746461</v>
      </c>
    </row>
    <row r="441" spans="1:7" x14ac:dyDescent="0.25">
      <c r="A441" s="124">
        <v>44191</v>
      </c>
      <c r="B441" s="29" t="s">
        <v>7350</v>
      </c>
      <c r="C441" s="8">
        <v>20000</v>
      </c>
      <c r="D441" s="8"/>
      <c r="E441" s="113">
        <f t="shared" si="4"/>
        <v>726461</v>
      </c>
    </row>
    <row r="442" spans="1:7" x14ac:dyDescent="0.25">
      <c r="A442" s="124">
        <v>44193</v>
      </c>
      <c r="B442" s="137" t="s">
        <v>7353</v>
      </c>
      <c r="C442" s="139">
        <v>3000</v>
      </c>
      <c r="D442" s="8"/>
      <c r="E442" s="113">
        <f t="shared" si="4"/>
        <v>723461</v>
      </c>
    </row>
    <row r="443" spans="1:7" x14ac:dyDescent="0.25">
      <c r="A443" s="124">
        <v>44193</v>
      </c>
      <c r="B443" s="34" t="s">
        <v>7245</v>
      </c>
      <c r="C443" s="8"/>
      <c r="D443" s="8">
        <v>1358</v>
      </c>
      <c r="E443" s="113">
        <f t="shared" si="4"/>
        <v>724819</v>
      </c>
    </row>
    <row r="444" spans="1:7" x14ac:dyDescent="0.25">
      <c r="A444" s="124">
        <v>44194</v>
      </c>
      <c r="B444" s="34" t="s">
        <v>5401</v>
      </c>
      <c r="C444" s="8">
        <v>5000</v>
      </c>
      <c r="D444" s="8"/>
      <c r="E444" s="113">
        <f t="shared" si="4"/>
        <v>719819</v>
      </c>
    </row>
    <row r="445" spans="1:7" s="5" customFormat="1" x14ac:dyDescent="0.25">
      <c r="A445" s="124">
        <v>44194</v>
      </c>
      <c r="B445" s="138" t="s">
        <v>7349</v>
      </c>
      <c r="C445" s="139">
        <v>7000</v>
      </c>
      <c r="D445" s="8"/>
      <c r="E445" s="113">
        <f t="shared" ref="E445:E468" si="5">E444+D445-C445</f>
        <v>712819</v>
      </c>
      <c r="G445" s="10"/>
    </row>
    <row r="446" spans="1:7" s="5" customFormat="1" x14ac:dyDescent="0.25">
      <c r="A446" s="124">
        <v>44200</v>
      </c>
      <c r="B446" s="29" t="s">
        <v>7371</v>
      </c>
      <c r="C446" s="8">
        <v>10000</v>
      </c>
      <c r="D446" s="8"/>
      <c r="E446" s="113">
        <f t="shared" si="5"/>
        <v>702819</v>
      </c>
      <c r="G446" s="10"/>
    </row>
    <row r="447" spans="1:7" x14ac:dyDescent="0.25">
      <c r="A447" s="151">
        <v>44200</v>
      </c>
      <c r="B447" s="39" t="s">
        <v>7372</v>
      </c>
      <c r="C447" s="10">
        <v>20000</v>
      </c>
      <c r="E447" s="261">
        <f t="shared" si="5"/>
        <v>682819</v>
      </c>
    </row>
    <row r="448" spans="1:7" x14ac:dyDescent="0.25">
      <c r="A448" s="124">
        <v>44201</v>
      </c>
      <c r="B448" s="29" t="s">
        <v>295</v>
      </c>
      <c r="C448" s="8"/>
      <c r="D448" s="8">
        <v>50000</v>
      </c>
      <c r="E448" s="113">
        <f t="shared" si="5"/>
        <v>732819</v>
      </c>
    </row>
    <row r="449" spans="1:9" x14ac:dyDescent="0.25">
      <c r="A449" s="124">
        <v>44202</v>
      </c>
      <c r="B449" s="29" t="s">
        <v>295</v>
      </c>
      <c r="C449" s="8"/>
      <c r="D449" s="8">
        <v>50000</v>
      </c>
      <c r="E449" s="113">
        <f t="shared" si="5"/>
        <v>782819</v>
      </c>
    </row>
    <row r="450" spans="1:9" x14ac:dyDescent="0.25">
      <c r="A450" s="124">
        <v>44202</v>
      </c>
      <c r="B450" s="138" t="s">
        <v>7349</v>
      </c>
      <c r="C450" s="8">
        <v>5000</v>
      </c>
      <c r="D450" s="8"/>
      <c r="E450" s="113">
        <f t="shared" si="5"/>
        <v>777819</v>
      </c>
      <c r="I450" s="292"/>
    </row>
    <row r="451" spans="1:9" x14ac:dyDescent="0.25">
      <c r="A451" s="124">
        <v>44204</v>
      </c>
      <c r="B451" s="138" t="s">
        <v>7394</v>
      </c>
      <c r="C451" s="139">
        <v>10000</v>
      </c>
      <c r="D451" s="8"/>
      <c r="E451" s="113">
        <f t="shared" si="5"/>
        <v>767819</v>
      </c>
    </row>
    <row r="452" spans="1:9" x14ac:dyDescent="0.25">
      <c r="A452" s="124">
        <v>44204</v>
      </c>
      <c r="B452" s="29" t="s">
        <v>7395</v>
      </c>
      <c r="C452" s="8">
        <v>45000</v>
      </c>
      <c r="D452" s="8"/>
      <c r="E452" s="113">
        <f t="shared" si="5"/>
        <v>722819</v>
      </c>
    </row>
    <row r="453" spans="1:9" x14ac:dyDescent="0.25">
      <c r="A453" s="124">
        <v>44204</v>
      </c>
      <c r="B453" s="29" t="s">
        <v>7396</v>
      </c>
      <c r="C453" s="8">
        <v>5000</v>
      </c>
      <c r="D453" s="8"/>
      <c r="E453" s="113">
        <f t="shared" si="5"/>
        <v>717819</v>
      </c>
    </row>
    <row r="454" spans="1:9" x14ac:dyDescent="0.25">
      <c r="A454" s="124">
        <v>44205</v>
      </c>
      <c r="B454" s="29" t="s">
        <v>295</v>
      </c>
      <c r="C454" s="8"/>
      <c r="D454" s="8">
        <v>15000</v>
      </c>
      <c r="E454" s="113">
        <f t="shared" si="5"/>
        <v>732819</v>
      </c>
    </row>
    <row r="455" spans="1:9" x14ac:dyDescent="0.25">
      <c r="A455" s="124">
        <v>44211</v>
      </c>
      <c r="B455" s="29" t="s">
        <v>295</v>
      </c>
      <c r="C455" s="8"/>
      <c r="D455" s="8">
        <v>50000</v>
      </c>
      <c r="E455" s="113">
        <f t="shared" si="5"/>
        <v>782819</v>
      </c>
    </row>
    <row r="456" spans="1:9" x14ac:dyDescent="0.25">
      <c r="A456" s="124">
        <v>44211</v>
      </c>
      <c r="B456" s="34" t="s">
        <v>7420</v>
      </c>
      <c r="C456" s="8">
        <v>5000</v>
      </c>
      <c r="D456" s="8"/>
      <c r="E456" s="113">
        <f t="shared" si="5"/>
        <v>777819</v>
      </c>
    </row>
    <row r="457" spans="1:9" x14ac:dyDescent="0.25">
      <c r="A457" s="124">
        <v>44212</v>
      </c>
      <c r="B457" s="34" t="s">
        <v>295</v>
      </c>
      <c r="C457" s="8"/>
      <c r="D457" s="8">
        <v>15000</v>
      </c>
      <c r="E457" s="113">
        <f t="shared" si="5"/>
        <v>792819</v>
      </c>
    </row>
    <row r="458" spans="1:9" x14ac:dyDescent="0.25">
      <c r="A458" s="124">
        <v>44214</v>
      </c>
      <c r="B458" s="34" t="s">
        <v>7429</v>
      </c>
      <c r="C458" s="8">
        <v>13750</v>
      </c>
      <c r="D458" s="8"/>
      <c r="E458" s="113">
        <f t="shared" si="5"/>
        <v>779069</v>
      </c>
    </row>
    <row r="459" spans="1:9" x14ac:dyDescent="0.25">
      <c r="A459" s="124">
        <v>44214</v>
      </c>
      <c r="B459" s="52" t="s">
        <v>4655</v>
      </c>
      <c r="C459" s="8">
        <v>8770</v>
      </c>
      <c r="D459" s="8"/>
      <c r="E459" s="113">
        <f t="shared" si="5"/>
        <v>770299</v>
      </c>
    </row>
    <row r="460" spans="1:9" x14ac:dyDescent="0.25">
      <c r="A460" s="124">
        <v>44214</v>
      </c>
      <c r="B460" s="52" t="s">
        <v>6327</v>
      </c>
      <c r="C460" s="8">
        <v>2500</v>
      </c>
      <c r="D460" s="8"/>
      <c r="E460" s="113">
        <f t="shared" si="5"/>
        <v>767799</v>
      </c>
    </row>
    <row r="461" spans="1:9" x14ac:dyDescent="0.25">
      <c r="A461" s="124">
        <v>44214</v>
      </c>
      <c r="B461" s="52" t="s">
        <v>4370</v>
      </c>
      <c r="C461" s="8">
        <v>13200</v>
      </c>
      <c r="D461" s="8"/>
      <c r="E461" s="113">
        <f t="shared" si="5"/>
        <v>754599</v>
      </c>
    </row>
    <row r="462" spans="1:9" x14ac:dyDescent="0.25">
      <c r="A462" s="124" t="s">
        <v>7439</v>
      </c>
      <c r="B462" s="48" t="s">
        <v>7440</v>
      </c>
      <c r="C462" s="10">
        <v>1000</v>
      </c>
      <c r="E462" s="113">
        <f t="shared" si="5"/>
        <v>753599</v>
      </c>
    </row>
    <row r="463" spans="1:9" x14ac:dyDescent="0.25">
      <c r="A463" s="124" t="s">
        <v>7447</v>
      </c>
      <c r="B463" s="48" t="s">
        <v>78</v>
      </c>
      <c r="D463" s="10">
        <v>20000</v>
      </c>
      <c r="E463" s="113">
        <f t="shared" si="5"/>
        <v>773599</v>
      </c>
    </row>
    <row r="464" spans="1:9" x14ac:dyDescent="0.25">
      <c r="A464" s="124" t="s">
        <v>7448</v>
      </c>
      <c r="B464" s="48" t="s">
        <v>7476</v>
      </c>
      <c r="C464" s="10">
        <v>50000</v>
      </c>
      <c r="E464" s="113">
        <f t="shared" si="5"/>
        <v>723599</v>
      </c>
    </row>
    <row r="465" spans="1:7" x14ac:dyDescent="0.25">
      <c r="A465" s="124" t="s">
        <v>7448</v>
      </c>
      <c r="B465" s="48" t="s">
        <v>7449</v>
      </c>
      <c r="C465" s="10">
        <f>5000*6</f>
        <v>30000</v>
      </c>
      <c r="E465" s="113">
        <f t="shared" si="5"/>
        <v>693599</v>
      </c>
    </row>
    <row r="466" spans="1:7" x14ac:dyDescent="0.25">
      <c r="A466" s="124" t="s">
        <v>7448</v>
      </c>
      <c r="B466" s="48" t="s">
        <v>7450</v>
      </c>
      <c r="C466" s="10">
        <v>16900</v>
      </c>
      <c r="E466" s="113">
        <f t="shared" si="5"/>
        <v>676699</v>
      </c>
    </row>
    <row r="467" spans="1:7" x14ac:dyDescent="0.25">
      <c r="A467" s="124" t="s">
        <v>7495</v>
      </c>
      <c r="B467" s="48" t="s">
        <v>7496</v>
      </c>
      <c r="C467" s="10">
        <v>6000</v>
      </c>
      <c r="E467" s="113">
        <f t="shared" si="5"/>
        <v>670699</v>
      </c>
    </row>
    <row r="468" spans="1:7" x14ac:dyDescent="0.25">
      <c r="A468" s="124" t="s">
        <v>7510</v>
      </c>
      <c r="B468" s="48" t="s">
        <v>295</v>
      </c>
      <c r="C468" s="10">
        <v>25000</v>
      </c>
      <c r="E468" s="113">
        <f t="shared" si="5"/>
        <v>645699</v>
      </c>
    </row>
    <row r="469" spans="1:7" s="5" customFormat="1" x14ac:dyDescent="0.25">
      <c r="A469" s="124" t="s">
        <v>7519</v>
      </c>
      <c r="B469" s="48" t="s">
        <v>7520</v>
      </c>
      <c r="C469" s="10">
        <v>50000</v>
      </c>
      <c r="D469" s="10"/>
      <c r="E469" s="113">
        <f t="shared" ref="E469:E532" si="6">E468+D469-C469</f>
        <v>595699</v>
      </c>
      <c r="G469" s="10"/>
    </row>
    <row r="470" spans="1:7" s="5" customFormat="1" x14ac:dyDescent="0.25">
      <c r="A470" s="124" t="s">
        <v>7519</v>
      </c>
      <c r="B470" s="48" t="s">
        <v>7521</v>
      </c>
      <c r="C470" s="10">
        <v>5000</v>
      </c>
      <c r="D470" s="10"/>
      <c r="E470" s="113">
        <f t="shared" si="6"/>
        <v>590699</v>
      </c>
      <c r="G470" s="10"/>
    </row>
    <row r="471" spans="1:7" x14ac:dyDescent="0.25">
      <c r="A471" s="124" t="s">
        <v>7523</v>
      </c>
      <c r="B471" s="48" t="s">
        <v>7524</v>
      </c>
      <c r="C471" s="10">
        <v>30000</v>
      </c>
      <c r="E471" s="113">
        <f t="shared" si="6"/>
        <v>560699</v>
      </c>
    </row>
    <row r="472" spans="1:7" x14ac:dyDescent="0.25">
      <c r="A472" s="124" t="s">
        <v>7523</v>
      </c>
      <c r="B472" s="48" t="s">
        <v>295</v>
      </c>
      <c r="D472" s="10">
        <v>20000</v>
      </c>
      <c r="E472" s="113">
        <f t="shared" si="6"/>
        <v>580699</v>
      </c>
    </row>
    <row r="473" spans="1:7" x14ac:dyDescent="0.25">
      <c r="A473" s="124" t="s">
        <v>7532</v>
      </c>
      <c r="B473" s="48" t="s">
        <v>295</v>
      </c>
      <c r="D473" s="10">
        <v>15000</v>
      </c>
      <c r="E473" s="113">
        <f t="shared" si="6"/>
        <v>595699</v>
      </c>
    </row>
    <row r="474" spans="1:7" x14ac:dyDescent="0.25">
      <c r="A474" s="124" t="s">
        <v>7534</v>
      </c>
      <c r="B474" s="48" t="s">
        <v>4368</v>
      </c>
      <c r="C474" s="10">
        <v>10710</v>
      </c>
      <c r="E474" s="113">
        <f t="shared" si="6"/>
        <v>584989</v>
      </c>
    </row>
    <row r="475" spans="1:7" x14ac:dyDescent="0.25">
      <c r="A475" s="124" t="s">
        <v>7534</v>
      </c>
      <c r="B475" s="48" t="s">
        <v>5157</v>
      </c>
      <c r="C475" s="10">
        <v>2537</v>
      </c>
      <c r="E475" s="113">
        <f t="shared" si="6"/>
        <v>582452</v>
      </c>
    </row>
    <row r="476" spans="1:7" x14ac:dyDescent="0.25">
      <c r="A476" s="124" t="s">
        <v>7534</v>
      </c>
      <c r="B476" s="48" t="s">
        <v>7535</v>
      </c>
      <c r="C476" s="10">
        <v>12500</v>
      </c>
      <c r="E476" s="113">
        <f t="shared" si="6"/>
        <v>569952</v>
      </c>
    </row>
    <row r="477" spans="1:7" x14ac:dyDescent="0.25">
      <c r="A477" s="124" t="s">
        <v>7534</v>
      </c>
      <c r="B477" s="48" t="s">
        <v>6387</v>
      </c>
      <c r="C477" s="10">
        <v>16510</v>
      </c>
      <c r="E477" s="113">
        <f t="shared" si="6"/>
        <v>553442</v>
      </c>
    </row>
    <row r="478" spans="1:7" x14ac:dyDescent="0.25">
      <c r="A478" s="124" t="s">
        <v>7547</v>
      </c>
      <c r="B478" s="48" t="s">
        <v>295</v>
      </c>
      <c r="D478" s="10">
        <v>10000</v>
      </c>
      <c r="E478" s="113">
        <f t="shared" si="6"/>
        <v>563442</v>
      </c>
    </row>
    <row r="479" spans="1:7" x14ac:dyDescent="0.25">
      <c r="A479" s="124" t="s">
        <v>7593</v>
      </c>
      <c r="B479" s="48" t="s">
        <v>7594</v>
      </c>
      <c r="C479" s="10">
        <v>5000</v>
      </c>
      <c r="E479" s="113">
        <f t="shared" si="6"/>
        <v>558442</v>
      </c>
    </row>
    <row r="480" spans="1:7" x14ac:dyDescent="0.25">
      <c r="A480" s="124" t="s">
        <v>7595</v>
      </c>
      <c r="B480" s="48" t="s">
        <v>7596</v>
      </c>
      <c r="C480" s="10">
        <v>3100</v>
      </c>
      <c r="E480" s="113">
        <f t="shared" si="6"/>
        <v>555342</v>
      </c>
    </row>
    <row r="481" spans="1:7" x14ac:dyDescent="0.25">
      <c r="A481" s="124" t="s">
        <v>7599</v>
      </c>
      <c r="B481" s="48" t="s">
        <v>5870</v>
      </c>
      <c r="C481" s="10">
        <v>10000</v>
      </c>
      <c r="E481" s="113">
        <f t="shared" si="6"/>
        <v>545342</v>
      </c>
    </row>
    <row r="482" spans="1:7" x14ac:dyDescent="0.25">
      <c r="A482" s="124" t="s">
        <v>7599</v>
      </c>
      <c r="B482" s="48" t="s">
        <v>7600</v>
      </c>
      <c r="C482" s="10">
        <v>5000</v>
      </c>
      <c r="E482" s="113">
        <f t="shared" si="6"/>
        <v>540342</v>
      </c>
    </row>
    <row r="483" spans="1:7" x14ac:dyDescent="0.25">
      <c r="A483" s="124" t="s">
        <v>7599</v>
      </c>
      <c r="B483" s="264" t="s">
        <v>7601</v>
      </c>
      <c r="C483" s="265">
        <v>2000</v>
      </c>
      <c r="E483" s="113">
        <f t="shared" si="6"/>
        <v>538342</v>
      </c>
    </row>
    <row r="484" spans="1:7" x14ac:dyDescent="0.25">
      <c r="A484" s="124" t="s">
        <v>7599</v>
      </c>
      <c r="B484" s="264" t="s">
        <v>7620</v>
      </c>
      <c r="C484" s="265">
        <v>1000</v>
      </c>
      <c r="E484" s="113">
        <f t="shared" si="6"/>
        <v>537342</v>
      </c>
    </row>
    <row r="485" spans="1:7" x14ac:dyDescent="0.25">
      <c r="A485" s="151" t="s">
        <v>7634</v>
      </c>
      <c r="B485" s="48" t="s">
        <v>7635</v>
      </c>
      <c r="C485" s="10">
        <v>50000</v>
      </c>
      <c r="E485" s="261">
        <f>E484+D485-C485</f>
        <v>487342</v>
      </c>
    </row>
    <row r="486" spans="1:7" x14ac:dyDescent="0.25">
      <c r="A486" s="124" t="s">
        <v>7634</v>
      </c>
      <c r="B486" s="52" t="s">
        <v>7648</v>
      </c>
      <c r="C486" s="8">
        <v>500</v>
      </c>
      <c r="D486" s="8"/>
      <c r="E486" s="113">
        <f t="shared" si="6"/>
        <v>486842</v>
      </c>
    </row>
    <row r="487" spans="1:7" s="5" customFormat="1" x14ac:dyDescent="0.25">
      <c r="A487" s="124" t="s">
        <v>7634</v>
      </c>
      <c r="B487" s="56" t="s">
        <v>7650</v>
      </c>
      <c r="C487" s="57">
        <v>50000</v>
      </c>
      <c r="D487" s="8"/>
      <c r="E487" s="113">
        <f t="shared" ref="E487:E488" si="7">E486+D487-C487</f>
        <v>436842</v>
      </c>
      <c r="G487" s="10"/>
    </row>
    <row r="488" spans="1:7" s="5" customFormat="1" x14ac:dyDescent="0.25">
      <c r="A488" s="124" t="s">
        <v>7634</v>
      </c>
      <c r="B488" s="56" t="s">
        <v>7651</v>
      </c>
      <c r="C488" s="57">
        <v>5000</v>
      </c>
      <c r="D488" s="8"/>
      <c r="E488" s="113">
        <f t="shared" si="7"/>
        <v>431842</v>
      </c>
      <c r="G488" s="10"/>
    </row>
    <row r="489" spans="1:7" x14ac:dyDescent="0.25">
      <c r="A489" s="124" t="s">
        <v>7634</v>
      </c>
      <c r="B489" s="34" t="s">
        <v>7654</v>
      </c>
      <c r="C489" s="8">
        <v>15000</v>
      </c>
      <c r="D489" s="8"/>
      <c r="E489" s="113">
        <f t="shared" si="6"/>
        <v>416842</v>
      </c>
    </row>
    <row r="490" spans="1:7" x14ac:dyDescent="0.25">
      <c r="A490" s="124" t="s">
        <v>7634</v>
      </c>
      <c r="B490" s="34" t="s">
        <v>7655</v>
      </c>
      <c r="C490" s="8"/>
      <c r="D490" s="8">
        <v>1693</v>
      </c>
      <c r="E490" s="113">
        <f t="shared" si="6"/>
        <v>418535</v>
      </c>
    </row>
    <row r="491" spans="1:7" x14ac:dyDescent="0.25">
      <c r="A491" s="124" t="s">
        <v>7667</v>
      </c>
      <c r="B491" s="34" t="s">
        <v>7668</v>
      </c>
      <c r="C491" s="8">
        <v>5000</v>
      </c>
      <c r="D491" s="8"/>
      <c r="E491" s="113">
        <f t="shared" si="6"/>
        <v>413535</v>
      </c>
    </row>
    <row r="492" spans="1:7" x14ac:dyDescent="0.25">
      <c r="A492" s="124" t="s">
        <v>7667</v>
      </c>
      <c r="B492" s="34" t="s">
        <v>7669</v>
      </c>
      <c r="C492" s="8">
        <v>5000</v>
      </c>
      <c r="D492" s="8"/>
      <c r="E492" s="113">
        <f t="shared" si="6"/>
        <v>408535</v>
      </c>
    </row>
    <row r="493" spans="1:7" x14ac:dyDescent="0.25">
      <c r="A493" s="124" t="s">
        <v>7667</v>
      </c>
      <c r="B493" s="34" t="s">
        <v>7648</v>
      </c>
      <c r="C493" s="8">
        <v>2000</v>
      </c>
      <c r="D493" s="8"/>
      <c r="E493" s="113">
        <f t="shared" si="6"/>
        <v>406535</v>
      </c>
    </row>
    <row r="494" spans="1:7" x14ac:dyDescent="0.25">
      <c r="A494" s="124" t="s">
        <v>7667</v>
      </c>
      <c r="B494" s="34" t="s">
        <v>5401</v>
      </c>
      <c r="C494" s="8">
        <v>5000</v>
      </c>
      <c r="D494" s="8"/>
      <c r="E494" s="113">
        <f t="shared" si="6"/>
        <v>401535</v>
      </c>
    </row>
    <row r="495" spans="1:7" x14ac:dyDescent="0.25">
      <c r="A495" s="124" t="s">
        <v>7677</v>
      </c>
      <c r="B495" s="34" t="s">
        <v>7678</v>
      </c>
      <c r="C495" s="8">
        <v>3000</v>
      </c>
      <c r="D495" s="8"/>
      <c r="E495" s="113">
        <f t="shared" si="6"/>
        <v>398535</v>
      </c>
    </row>
    <row r="496" spans="1:7" x14ac:dyDescent="0.25">
      <c r="A496" s="124" t="s">
        <v>7677</v>
      </c>
      <c r="B496" s="34" t="s">
        <v>7679</v>
      </c>
      <c r="C496" s="8">
        <v>15000</v>
      </c>
      <c r="D496" s="8"/>
      <c r="E496" s="113">
        <f t="shared" si="6"/>
        <v>383535</v>
      </c>
    </row>
    <row r="497" spans="1:5" x14ac:dyDescent="0.25">
      <c r="A497" s="124" t="s">
        <v>7677</v>
      </c>
      <c r="B497" s="34" t="s">
        <v>7680</v>
      </c>
      <c r="C497" s="8">
        <v>20000</v>
      </c>
      <c r="D497" s="8"/>
      <c r="E497" s="113">
        <f t="shared" si="6"/>
        <v>363535</v>
      </c>
    </row>
    <row r="498" spans="1:5" x14ac:dyDescent="0.25">
      <c r="A498" s="124" t="s">
        <v>7677</v>
      </c>
      <c r="B498" s="34" t="s">
        <v>6503</v>
      </c>
      <c r="C498" s="8"/>
      <c r="D498" s="8">
        <v>50000</v>
      </c>
      <c r="E498" s="113">
        <f t="shared" si="6"/>
        <v>413535</v>
      </c>
    </row>
    <row r="499" spans="1:5" x14ac:dyDescent="0.25">
      <c r="A499" s="124" t="s">
        <v>7677</v>
      </c>
      <c r="B499" s="34" t="s">
        <v>6503</v>
      </c>
      <c r="C499" s="8"/>
      <c r="D499" s="8">
        <v>20000</v>
      </c>
      <c r="E499" s="113">
        <f t="shared" si="6"/>
        <v>433535</v>
      </c>
    </row>
    <row r="500" spans="1:5" x14ac:dyDescent="0.25">
      <c r="A500" s="124" t="s">
        <v>7699</v>
      </c>
      <c r="B500" s="34" t="s">
        <v>7465</v>
      </c>
      <c r="C500" s="8">
        <v>3400</v>
      </c>
      <c r="D500" s="8"/>
      <c r="E500" s="113">
        <f t="shared" si="6"/>
        <v>430135</v>
      </c>
    </row>
    <row r="501" spans="1:5" x14ac:dyDescent="0.25">
      <c r="A501" s="124" t="s">
        <v>7699</v>
      </c>
      <c r="B501" s="34" t="s">
        <v>7700</v>
      </c>
      <c r="C501" s="8">
        <v>20700</v>
      </c>
      <c r="D501" s="8"/>
      <c r="E501" s="113">
        <f t="shared" si="6"/>
        <v>409435</v>
      </c>
    </row>
    <row r="502" spans="1:5" x14ac:dyDescent="0.25">
      <c r="A502" s="124" t="s">
        <v>7699</v>
      </c>
      <c r="B502" s="34" t="s">
        <v>5001</v>
      </c>
      <c r="C502" s="8">
        <v>132870</v>
      </c>
      <c r="D502" s="8"/>
      <c r="E502" s="113">
        <f t="shared" si="6"/>
        <v>276565</v>
      </c>
    </row>
    <row r="503" spans="1:5" x14ac:dyDescent="0.25">
      <c r="A503" s="124" t="s">
        <v>7699</v>
      </c>
      <c r="B503" s="34" t="s">
        <v>4655</v>
      </c>
      <c r="C503" s="8">
        <v>1000</v>
      </c>
      <c r="D503" s="8"/>
      <c r="E503" s="113">
        <f t="shared" si="6"/>
        <v>275565</v>
      </c>
    </row>
    <row r="504" spans="1:5" x14ac:dyDescent="0.25">
      <c r="A504" s="124" t="s">
        <v>7699</v>
      </c>
      <c r="B504" s="34" t="s">
        <v>295</v>
      </c>
      <c r="C504" s="8"/>
      <c r="D504" s="8">
        <v>100000</v>
      </c>
      <c r="E504" s="113">
        <f t="shared" si="6"/>
        <v>375565</v>
      </c>
    </row>
    <row r="505" spans="1:5" x14ac:dyDescent="0.25">
      <c r="A505" s="124" t="s">
        <v>7699</v>
      </c>
      <c r="B505" s="34" t="s">
        <v>7756</v>
      </c>
      <c r="C505" s="8"/>
      <c r="D505" s="8">
        <v>20000</v>
      </c>
      <c r="E505" s="113">
        <f t="shared" si="6"/>
        <v>395565</v>
      </c>
    </row>
    <row r="506" spans="1:5" x14ac:dyDescent="0.25">
      <c r="A506" s="124" t="s">
        <v>7703</v>
      </c>
      <c r="B506" s="34" t="s">
        <v>7704</v>
      </c>
      <c r="C506" s="8">
        <v>6000</v>
      </c>
      <c r="D506" s="8"/>
      <c r="E506" s="113">
        <f t="shared" si="6"/>
        <v>389565</v>
      </c>
    </row>
    <row r="507" spans="1:5" x14ac:dyDescent="0.25">
      <c r="A507" s="124" t="s">
        <v>7718</v>
      </c>
      <c r="B507" s="34" t="s">
        <v>7719</v>
      </c>
      <c r="C507" s="8">
        <v>3000</v>
      </c>
      <c r="D507" s="8"/>
      <c r="E507" s="113">
        <f t="shared" si="6"/>
        <v>386565</v>
      </c>
    </row>
    <row r="508" spans="1:5" x14ac:dyDescent="0.25">
      <c r="A508" s="124" t="s">
        <v>7718</v>
      </c>
      <c r="B508" s="34" t="s">
        <v>7720</v>
      </c>
      <c r="C508" s="8"/>
      <c r="D508" s="8">
        <v>15000</v>
      </c>
      <c r="E508" s="113">
        <f t="shared" si="6"/>
        <v>401565</v>
      </c>
    </row>
    <row r="509" spans="1:5" x14ac:dyDescent="0.25">
      <c r="A509" s="124" t="s">
        <v>7724</v>
      </c>
      <c r="B509" s="34" t="s">
        <v>5870</v>
      </c>
      <c r="C509" s="8">
        <v>15000</v>
      </c>
      <c r="D509" s="8"/>
      <c r="E509" s="113">
        <f t="shared" si="6"/>
        <v>386565</v>
      </c>
    </row>
    <row r="510" spans="1:5" x14ac:dyDescent="0.25">
      <c r="A510" s="124" t="s">
        <v>7724</v>
      </c>
      <c r="B510" s="34" t="s">
        <v>5870</v>
      </c>
      <c r="C510" s="8">
        <v>7000</v>
      </c>
      <c r="D510" s="8"/>
      <c r="E510" s="113">
        <f t="shared" si="6"/>
        <v>379565</v>
      </c>
    </row>
    <row r="511" spans="1:5" x14ac:dyDescent="0.25">
      <c r="A511" s="124" t="s">
        <v>7724</v>
      </c>
      <c r="B511" s="34" t="s">
        <v>7726</v>
      </c>
      <c r="C511" s="8">
        <v>5000</v>
      </c>
      <c r="D511" s="8"/>
      <c r="E511" s="113">
        <f t="shared" si="6"/>
        <v>374565</v>
      </c>
    </row>
    <row r="512" spans="1:5" x14ac:dyDescent="0.25">
      <c r="A512" s="124" t="s">
        <v>7724</v>
      </c>
      <c r="B512" s="34" t="s">
        <v>295</v>
      </c>
      <c r="C512" s="8"/>
      <c r="D512" s="8">
        <v>45000</v>
      </c>
      <c r="E512" s="113">
        <f t="shared" si="6"/>
        <v>419565</v>
      </c>
    </row>
    <row r="513" spans="1:8" x14ac:dyDescent="0.25">
      <c r="A513" s="124" t="s">
        <v>7724</v>
      </c>
      <c r="B513" s="137" t="s">
        <v>4705</v>
      </c>
      <c r="C513" s="139">
        <v>35000</v>
      </c>
      <c r="D513" s="8"/>
      <c r="E513" s="113">
        <f t="shared" si="6"/>
        <v>384565</v>
      </c>
    </row>
    <row r="514" spans="1:8" x14ac:dyDescent="0.25">
      <c r="A514" s="124" t="s">
        <v>7724</v>
      </c>
      <c r="B514" s="137" t="s">
        <v>4705</v>
      </c>
      <c r="C514" s="8">
        <v>10000</v>
      </c>
      <c r="D514" s="8"/>
      <c r="E514" s="113">
        <f t="shared" si="6"/>
        <v>374565</v>
      </c>
    </row>
    <row r="515" spans="1:8" x14ac:dyDescent="0.25">
      <c r="A515" s="124" t="s">
        <v>7755</v>
      </c>
      <c r="B515" s="34" t="s">
        <v>295</v>
      </c>
      <c r="C515" s="8"/>
      <c r="D515" s="8">
        <v>100000</v>
      </c>
      <c r="E515" s="113">
        <f t="shared" si="6"/>
        <v>474565</v>
      </c>
    </row>
    <row r="516" spans="1:8" x14ac:dyDescent="0.25">
      <c r="A516" s="124" t="s">
        <v>7755</v>
      </c>
      <c r="B516" s="34" t="s">
        <v>7758</v>
      </c>
      <c r="C516" s="8">
        <v>25000</v>
      </c>
      <c r="D516" s="8"/>
      <c r="E516" s="113">
        <f t="shared" si="6"/>
        <v>449565</v>
      </c>
    </row>
    <row r="517" spans="1:8" x14ac:dyDescent="0.25">
      <c r="A517" s="124" t="s">
        <v>7755</v>
      </c>
      <c r="B517" s="34" t="s">
        <v>7759</v>
      </c>
      <c r="C517" s="8">
        <v>3000</v>
      </c>
      <c r="D517" s="8"/>
      <c r="E517" s="113">
        <f t="shared" si="6"/>
        <v>446565</v>
      </c>
    </row>
    <row r="518" spans="1:8" x14ac:dyDescent="0.25">
      <c r="A518" s="124" t="s">
        <v>7755</v>
      </c>
      <c r="B518" s="34" t="s">
        <v>7761</v>
      </c>
      <c r="C518" s="8">
        <v>10000</v>
      </c>
      <c r="D518" s="8"/>
      <c r="E518" s="113">
        <f t="shared" si="6"/>
        <v>436565</v>
      </c>
    </row>
    <row r="519" spans="1:8" x14ac:dyDescent="0.25">
      <c r="A519" s="124" t="s">
        <v>7755</v>
      </c>
      <c r="B519" s="34" t="s">
        <v>7760</v>
      </c>
      <c r="C519" s="8">
        <v>68800</v>
      </c>
      <c r="D519" s="8"/>
      <c r="E519" s="113">
        <f t="shared" si="6"/>
        <v>367765</v>
      </c>
    </row>
    <row r="520" spans="1:8" x14ac:dyDescent="0.25">
      <c r="A520" s="124" t="s">
        <v>7768</v>
      </c>
      <c r="B520" s="34" t="s">
        <v>7648</v>
      </c>
      <c r="C520" s="8">
        <v>6000</v>
      </c>
      <c r="D520" s="8"/>
      <c r="E520" s="113">
        <f t="shared" si="6"/>
        <v>361765</v>
      </c>
    </row>
    <row r="521" spans="1:8" x14ac:dyDescent="0.25">
      <c r="A521" s="124" t="s">
        <v>7794</v>
      </c>
      <c r="B521" s="137" t="s">
        <v>7795</v>
      </c>
      <c r="C521" s="139">
        <v>25000</v>
      </c>
      <c r="D521" s="8"/>
      <c r="E521" s="113">
        <f t="shared" si="6"/>
        <v>336765</v>
      </c>
    </row>
    <row r="522" spans="1:8" x14ac:dyDescent="0.25">
      <c r="A522" s="124" t="s">
        <v>7831</v>
      </c>
      <c r="B522" s="34" t="s">
        <v>7833</v>
      </c>
      <c r="C522" s="8">
        <v>2000</v>
      </c>
      <c r="D522" s="8"/>
      <c r="E522" s="113">
        <f t="shared" si="6"/>
        <v>334765</v>
      </c>
    </row>
    <row r="523" spans="1:8" x14ac:dyDescent="0.25">
      <c r="A523" s="124" t="s">
        <v>7831</v>
      </c>
      <c r="B523" s="34" t="s">
        <v>1192</v>
      </c>
      <c r="C523" s="8">
        <v>1500</v>
      </c>
      <c r="D523" s="8"/>
      <c r="E523" s="113">
        <f t="shared" si="6"/>
        <v>333265</v>
      </c>
    </row>
    <row r="524" spans="1:8" x14ac:dyDescent="0.25">
      <c r="A524" s="124" t="s">
        <v>7829</v>
      </c>
      <c r="B524" s="34" t="s">
        <v>7830</v>
      </c>
      <c r="C524" s="8">
        <v>10200</v>
      </c>
      <c r="D524" s="8"/>
      <c r="E524" s="113">
        <f t="shared" si="6"/>
        <v>323065</v>
      </c>
    </row>
    <row r="525" spans="1:8" x14ac:dyDescent="0.25">
      <c r="A525" s="124" t="s">
        <v>7829</v>
      </c>
      <c r="B525" s="48" t="s">
        <v>295</v>
      </c>
      <c r="D525" s="10">
        <v>10000</v>
      </c>
      <c r="E525" s="371">
        <f t="shared" si="6"/>
        <v>333065</v>
      </c>
    </row>
    <row r="526" spans="1:8" x14ac:dyDescent="0.25">
      <c r="A526" s="124" t="s">
        <v>7829</v>
      </c>
      <c r="B526" s="48" t="s">
        <v>7836</v>
      </c>
      <c r="C526" s="10">
        <v>1000</v>
      </c>
      <c r="E526" s="113">
        <f t="shared" si="6"/>
        <v>332065</v>
      </c>
    </row>
    <row r="527" spans="1:8" x14ac:dyDescent="0.25">
      <c r="A527" s="124" t="s">
        <v>7829</v>
      </c>
      <c r="B527" s="48" t="s">
        <v>295</v>
      </c>
      <c r="D527" s="10">
        <v>25000</v>
      </c>
      <c r="E527" s="113">
        <f t="shared" si="6"/>
        <v>357065</v>
      </c>
      <c r="H527" s="373"/>
    </row>
    <row r="528" spans="1:8" x14ac:dyDescent="0.25">
      <c r="A528" s="124" t="s">
        <v>7877</v>
      </c>
      <c r="B528" s="48" t="s">
        <v>295</v>
      </c>
      <c r="D528" s="10">
        <v>1500</v>
      </c>
      <c r="E528" s="113">
        <f t="shared" si="6"/>
        <v>358565</v>
      </c>
      <c r="H528" s="10"/>
    </row>
    <row r="529" spans="1:8" x14ac:dyDescent="0.25">
      <c r="A529" s="124" t="s">
        <v>7877</v>
      </c>
      <c r="B529" s="48" t="s">
        <v>4705</v>
      </c>
      <c r="C529" s="10">
        <v>1000</v>
      </c>
      <c r="E529" s="113">
        <f t="shared" si="6"/>
        <v>357565</v>
      </c>
      <c r="H529" s="10"/>
    </row>
    <row r="530" spans="1:8" x14ac:dyDescent="0.25">
      <c r="A530" s="124" t="s">
        <v>7880</v>
      </c>
      <c r="B530" s="48" t="s">
        <v>295</v>
      </c>
      <c r="D530" s="10">
        <v>15000</v>
      </c>
      <c r="E530" s="113">
        <f t="shared" si="6"/>
        <v>372565</v>
      </c>
      <c r="H530" s="281"/>
    </row>
    <row r="531" spans="1:8" x14ac:dyDescent="0.25">
      <c r="A531" s="124" t="s">
        <v>7883</v>
      </c>
      <c r="B531" s="375" t="s">
        <v>7887</v>
      </c>
      <c r="C531" s="119">
        <v>1000</v>
      </c>
      <c r="E531" s="113">
        <f t="shared" si="6"/>
        <v>371565</v>
      </c>
      <c r="H531" s="292"/>
    </row>
    <row r="532" spans="1:8" x14ac:dyDescent="0.25">
      <c r="A532" s="124" t="s">
        <v>7883</v>
      </c>
      <c r="B532" s="374" t="s">
        <v>7888</v>
      </c>
      <c r="C532" s="119">
        <v>7000</v>
      </c>
      <c r="E532" s="113">
        <f t="shared" si="6"/>
        <v>364565</v>
      </c>
    </row>
    <row r="533" spans="1:8" x14ac:dyDescent="0.25">
      <c r="A533" s="124" t="s">
        <v>7889</v>
      </c>
      <c r="B533" s="48" t="s">
        <v>295</v>
      </c>
      <c r="D533" s="10">
        <v>5000</v>
      </c>
      <c r="E533" s="113">
        <f t="shared" ref="E533:E593" si="8">E532+D533-C533</f>
        <v>369565</v>
      </c>
    </row>
    <row r="534" spans="1:8" x14ac:dyDescent="0.25">
      <c r="A534" s="124" t="s">
        <v>7911</v>
      </c>
      <c r="B534" s="48" t="s">
        <v>7830</v>
      </c>
      <c r="C534" s="10">
        <v>44030</v>
      </c>
      <c r="E534" s="113">
        <f t="shared" si="8"/>
        <v>325535</v>
      </c>
    </row>
    <row r="535" spans="1:8" x14ac:dyDescent="0.25">
      <c r="A535" s="124" t="s">
        <v>7930</v>
      </c>
      <c r="B535" s="26" t="s">
        <v>7929</v>
      </c>
      <c r="D535" s="10">
        <v>20000</v>
      </c>
      <c r="E535" s="113">
        <f t="shared" si="8"/>
        <v>345535</v>
      </c>
    </row>
    <row r="536" spans="1:8" x14ac:dyDescent="0.25">
      <c r="A536" s="124" t="s">
        <v>7931</v>
      </c>
      <c r="B536" s="39" t="s">
        <v>295</v>
      </c>
      <c r="D536" s="10">
        <v>15000</v>
      </c>
      <c r="E536" s="113">
        <f t="shared" si="8"/>
        <v>360535</v>
      </c>
    </row>
    <row r="537" spans="1:8" x14ac:dyDescent="0.25">
      <c r="A537" s="124" t="s">
        <v>7941</v>
      </c>
      <c r="B537" s="56" t="s">
        <v>7942</v>
      </c>
      <c r="C537" s="57">
        <v>50000</v>
      </c>
      <c r="E537" s="113">
        <f t="shared" si="8"/>
        <v>310535</v>
      </c>
    </row>
    <row r="538" spans="1:8" x14ac:dyDescent="0.25">
      <c r="A538" s="124" t="s">
        <v>7941</v>
      </c>
      <c r="B538" s="56" t="s">
        <v>7943</v>
      </c>
      <c r="C538" s="57">
        <v>5000</v>
      </c>
      <c r="E538" s="113">
        <f t="shared" si="8"/>
        <v>305535</v>
      </c>
    </row>
    <row r="539" spans="1:8" x14ac:dyDescent="0.25">
      <c r="A539" s="124" t="s">
        <v>7941</v>
      </c>
      <c r="B539" s="264" t="s">
        <v>5231</v>
      </c>
      <c r="C539" s="265">
        <v>1000</v>
      </c>
      <c r="E539" s="113">
        <f t="shared" si="8"/>
        <v>304535</v>
      </c>
    </row>
    <row r="540" spans="1:8" x14ac:dyDescent="0.25">
      <c r="A540" s="124" t="s">
        <v>7941</v>
      </c>
      <c r="B540" t="s">
        <v>7429</v>
      </c>
      <c r="C540" s="10">
        <v>7650</v>
      </c>
      <c r="E540" s="113">
        <f t="shared" si="8"/>
        <v>296885</v>
      </c>
    </row>
    <row r="541" spans="1:8" x14ac:dyDescent="0.25">
      <c r="A541" s="124" t="s">
        <v>7941</v>
      </c>
      <c r="B541" s="5" t="s">
        <v>5001</v>
      </c>
      <c r="C541" s="10">
        <v>3000</v>
      </c>
      <c r="E541" s="113">
        <f t="shared" si="8"/>
        <v>293885</v>
      </c>
    </row>
    <row r="542" spans="1:8" x14ac:dyDescent="0.25">
      <c r="A542" s="124" t="s">
        <v>7967</v>
      </c>
      <c r="B542" t="s">
        <v>295</v>
      </c>
      <c r="D542" s="10">
        <v>15000</v>
      </c>
      <c r="E542" s="113">
        <f t="shared" si="8"/>
        <v>308885</v>
      </c>
    </row>
    <row r="543" spans="1:8" x14ac:dyDescent="0.25">
      <c r="A543" s="124" t="s">
        <v>7990</v>
      </c>
      <c r="B543" t="s">
        <v>7991</v>
      </c>
      <c r="C543" s="10">
        <v>4000</v>
      </c>
      <c r="E543" s="113">
        <f t="shared" si="8"/>
        <v>304885</v>
      </c>
    </row>
    <row r="544" spans="1:8" x14ac:dyDescent="0.25">
      <c r="A544" s="124" t="s">
        <v>8024</v>
      </c>
      <c r="B544" t="s">
        <v>7648</v>
      </c>
      <c r="C544" s="10">
        <v>1000</v>
      </c>
      <c r="E544" s="113">
        <f t="shared" si="8"/>
        <v>303885</v>
      </c>
    </row>
    <row r="545" spans="1:7" x14ac:dyDescent="0.25">
      <c r="A545" s="124" t="s">
        <v>8037</v>
      </c>
      <c r="B545" t="s">
        <v>8038</v>
      </c>
      <c r="D545" s="10">
        <v>6503</v>
      </c>
      <c r="E545" s="113">
        <f t="shared" si="8"/>
        <v>310388</v>
      </c>
    </row>
    <row r="546" spans="1:7" x14ac:dyDescent="0.25">
      <c r="A546" s="124" t="s">
        <v>8064</v>
      </c>
      <c r="B546" t="s">
        <v>8065</v>
      </c>
      <c r="C546" s="10">
        <v>5000</v>
      </c>
      <c r="E546" s="113">
        <f t="shared" si="8"/>
        <v>305388</v>
      </c>
    </row>
    <row r="547" spans="1:7" x14ac:dyDescent="0.25">
      <c r="A547" s="124" t="s">
        <v>8079</v>
      </c>
      <c r="B547" t="s">
        <v>8080</v>
      </c>
      <c r="C547" s="10">
        <v>3000</v>
      </c>
      <c r="E547" s="113">
        <f t="shared" si="8"/>
        <v>302388</v>
      </c>
    </row>
    <row r="548" spans="1:7" x14ac:dyDescent="0.25">
      <c r="A548" s="124" t="s">
        <v>8079</v>
      </c>
      <c r="B548" t="s">
        <v>8081</v>
      </c>
      <c r="C548" s="10">
        <v>4200</v>
      </c>
      <c r="E548" s="113">
        <f t="shared" si="8"/>
        <v>298188</v>
      </c>
    </row>
    <row r="549" spans="1:7" x14ac:dyDescent="0.25">
      <c r="A549" s="124" t="s">
        <v>8079</v>
      </c>
      <c r="B549" t="s">
        <v>5337</v>
      </c>
      <c r="C549" s="10">
        <v>2000</v>
      </c>
      <c r="E549" s="113">
        <f t="shared" si="8"/>
        <v>296188</v>
      </c>
    </row>
    <row r="550" spans="1:7" s="5" customFormat="1" x14ac:dyDescent="0.25">
      <c r="A550" s="124" t="s">
        <v>8079</v>
      </c>
      <c r="B550" s="56" t="s">
        <v>8082</v>
      </c>
      <c r="C550" s="57">
        <v>50000</v>
      </c>
      <c r="D550" s="10"/>
      <c r="E550" s="113">
        <f t="shared" si="8"/>
        <v>246188</v>
      </c>
      <c r="G550" s="10"/>
    </row>
    <row r="551" spans="1:7" s="5" customFormat="1" x14ac:dyDescent="0.25">
      <c r="A551" s="124" t="s">
        <v>8079</v>
      </c>
      <c r="B551" s="56" t="s">
        <v>8083</v>
      </c>
      <c r="C551" s="57">
        <v>5000</v>
      </c>
      <c r="D551" s="10"/>
      <c r="E551" s="113">
        <f t="shared" si="8"/>
        <v>241188</v>
      </c>
      <c r="G551" s="10"/>
    </row>
    <row r="552" spans="1:7" x14ac:dyDescent="0.25">
      <c r="A552" s="124" t="s">
        <v>8079</v>
      </c>
      <c r="B552" t="s">
        <v>295</v>
      </c>
      <c r="D552" s="10">
        <v>10000</v>
      </c>
      <c r="E552" s="113">
        <f t="shared" si="8"/>
        <v>251188</v>
      </c>
    </row>
    <row r="553" spans="1:7" x14ac:dyDescent="0.25">
      <c r="A553" s="124" t="s">
        <v>8090</v>
      </c>
      <c r="B553" s="5" t="s">
        <v>8089</v>
      </c>
      <c r="D553" s="10">
        <v>15000</v>
      </c>
      <c r="E553" s="113">
        <f t="shared" si="8"/>
        <v>266188</v>
      </c>
    </row>
    <row r="554" spans="1:7" x14ac:dyDescent="0.25">
      <c r="A554" s="124" t="s">
        <v>8100</v>
      </c>
      <c r="B554" s="5" t="s">
        <v>295</v>
      </c>
      <c r="D554" s="10">
        <v>20000</v>
      </c>
      <c r="E554" s="113">
        <f t="shared" si="8"/>
        <v>286188</v>
      </c>
    </row>
    <row r="555" spans="1:7" x14ac:dyDescent="0.25">
      <c r="A555" s="124" t="s">
        <v>8122</v>
      </c>
      <c r="B555" s="3" t="s">
        <v>8123</v>
      </c>
      <c r="C555" s="10">
        <v>15000</v>
      </c>
      <c r="E555" s="113">
        <f t="shared" si="8"/>
        <v>271188</v>
      </c>
    </row>
    <row r="556" spans="1:7" x14ac:dyDescent="0.25">
      <c r="A556" s="124" t="s">
        <v>8173</v>
      </c>
      <c r="B556" s="5" t="s">
        <v>295</v>
      </c>
      <c r="D556" s="10">
        <v>5000</v>
      </c>
      <c r="E556" s="113">
        <f t="shared" si="8"/>
        <v>276188</v>
      </c>
    </row>
    <row r="557" spans="1:7" x14ac:dyDescent="0.25">
      <c r="A557" s="124" t="s">
        <v>8174</v>
      </c>
      <c r="B557" s="5" t="s">
        <v>295</v>
      </c>
      <c r="D557" s="10">
        <v>5000</v>
      </c>
      <c r="E557" s="113">
        <f t="shared" si="8"/>
        <v>281188</v>
      </c>
    </row>
    <row r="558" spans="1:7" x14ac:dyDescent="0.25">
      <c r="A558" s="124" t="s">
        <v>8177</v>
      </c>
      <c r="B558" t="s">
        <v>8178</v>
      </c>
      <c r="D558" s="10">
        <v>32235</v>
      </c>
      <c r="E558" s="113">
        <f t="shared" si="8"/>
        <v>313423</v>
      </c>
    </row>
    <row r="559" spans="1:7" s="5" customFormat="1" x14ac:dyDescent="0.25">
      <c r="A559" s="124" t="s">
        <v>8181</v>
      </c>
      <c r="B559" s="56" t="s">
        <v>8182</v>
      </c>
      <c r="C559" s="57">
        <v>50000</v>
      </c>
      <c r="D559" s="10"/>
      <c r="E559" s="113">
        <f t="shared" si="8"/>
        <v>263423</v>
      </c>
      <c r="G559" s="10"/>
    </row>
    <row r="560" spans="1:7" s="5" customFormat="1" x14ac:dyDescent="0.25">
      <c r="A560" s="124" t="s">
        <v>8181</v>
      </c>
      <c r="B560" s="56" t="s">
        <v>8183</v>
      </c>
      <c r="C560" s="57">
        <v>5000</v>
      </c>
      <c r="D560" s="10"/>
      <c r="E560" s="113">
        <f t="shared" si="8"/>
        <v>258423</v>
      </c>
      <c r="G560" s="10"/>
    </row>
    <row r="561" spans="1:7" x14ac:dyDescent="0.25">
      <c r="A561" s="124" t="s">
        <v>8190</v>
      </c>
      <c r="B561" t="s">
        <v>8191</v>
      </c>
      <c r="D561" s="10">
        <v>20000</v>
      </c>
      <c r="E561" s="113">
        <f t="shared" si="8"/>
        <v>278423</v>
      </c>
    </row>
    <row r="562" spans="1:7" x14ac:dyDescent="0.25">
      <c r="A562" s="124" t="s">
        <v>8225</v>
      </c>
      <c r="B562" s="5" t="s">
        <v>8228</v>
      </c>
      <c r="C562" s="10">
        <v>2000</v>
      </c>
      <c r="E562" s="113">
        <f t="shared" si="8"/>
        <v>276423</v>
      </c>
    </row>
    <row r="563" spans="1:7" x14ac:dyDescent="0.25">
      <c r="A563" s="124" t="s">
        <v>8231</v>
      </c>
      <c r="B563" s="3" t="s">
        <v>8232</v>
      </c>
      <c r="D563" s="10">
        <v>50000</v>
      </c>
      <c r="E563" s="113">
        <f t="shared" si="8"/>
        <v>326423</v>
      </c>
    </row>
    <row r="564" spans="1:7" x14ac:dyDescent="0.25">
      <c r="A564" s="124" t="s">
        <v>8244</v>
      </c>
      <c r="B564" s="3" t="s">
        <v>5150</v>
      </c>
      <c r="C564" s="10">
        <v>10000</v>
      </c>
      <c r="E564" s="113">
        <f t="shared" si="8"/>
        <v>316423</v>
      </c>
    </row>
    <row r="565" spans="1:7" x14ac:dyDescent="0.25">
      <c r="A565" s="124" t="s">
        <v>8262</v>
      </c>
      <c r="B565" s="3" t="s">
        <v>4369</v>
      </c>
      <c r="D565" s="10">
        <v>5000</v>
      </c>
      <c r="E565" s="113">
        <f t="shared" si="8"/>
        <v>321423</v>
      </c>
    </row>
    <row r="566" spans="1:7" x14ac:dyDescent="0.25">
      <c r="A566" s="124" t="s">
        <v>8304</v>
      </c>
      <c r="B566" s="5" t="s">
        <v>295</v>
      </c>
      <c r="D566" s="10">
        <v>5000</v>
      </c>
      <c r="E566" s="113">
        <f t="shared" si="8"/>
        <v>326423</v>
      </c>
    </row>
    <row r="567" spans="1:7" x14ac:dyDescent="0.25">
      <c r="A567" s="124" t="s">
        <v>8380</v>
      </c>
      <c r="B567" s="5" t="s">
        <v>7756</v>
      </c>
      <c r="D567" s="10">
        <v>20000</v>
      </c>
      <c r="E567" s="113">
        <f t="shared" si="8"/>
        <v>346423</v>
      </c>
    </row>
    <row r="568" spans="1:7" x14ac:dyDescent="0.25">
      <c r="A568" s="124" t="s">
        <v>8381</v>
      </c>
      <c r="B568" s="5" t="s">
        <v>295</v>
      </c>
      <c r="D568" s="10">
        <v>5000</v>
      </c>
      <c r="E568" s="113">
        <f t="shared" si="8"/>
        <v>351423</v>
      </c>
    </row>
    <row r="569" spans="1:7" x14ac:dyDescent="0.25">
      <c r="A569" s="124" t="s">
        <v>8387</v>
      </c>
      <c r="B569" t="s">
        <v>7201</v>
      </c>
      <c r="C569" s="10">
        <v>5000</v>
      </c>
      <c r="E569" s="113">
        <f t="shared" si="8"/>
        <v>346423</v>
      </c>
    </row>
    <row r="570" spans="1:7" s="5" customFormat="1" x14ac:dyDescent="0.25">
      <c r="A570" s="124" t="s">
        <v>8389</v>
      </c>
      <c r="B570" s="56" t="s">
        <v>8390</v>
      </c>
      <c r="C570" s="57">
        <v>50000</v>
      </c>
      <c r="D570" s="10"/>
      <c r="E570" s="113">
        <f t="shared" ref="E570:E571" si="9">E569+D570-C570</f>
        <v>296423</v>
      </c>
      <c r="G570" s="10"/>
    </row>
    <row r="571" spans="1:7" s="5" customFormat="1" x14ac:dyDescent="0.25">
      <c r="A571" s="124" t="s">
        <v>8389</v>
      </c>
      <c r="B571" s="56" t="s">
        <v>8391</v>
      </c>
      <c r="C571" s="57">
        <v>5000</v>
      </c>
      <c r="D571" s="10"/>
      <c r="E571" s="113">
        <f t="shared" si="9"/>
        <v>291423</v>
      </c>
      <c r="G571" s="10"/>
    </row>
    <row r="572" spans="1:7" x14ac:dyDescent="0.25">
      <c r="A572" s="124" t="s">
        <v>8389</v>
      </c>
      <c r="B572" s="26" t="s">
        <v>8392</v>
      </c>
      <c r="C572" s="8"/>
      <c r="D572" s="10">
        <v>16341</v>
      </c>
      <c r="E572" s="113">
        <f t="shared" si="8"/>
        <v>307764</v>
      </c>
    </row>
    <row r="573" spans="1:7" x14ac:dyDescent="0.25">
      <c r="A573" s="124" t="s">
        <v>8389</v>
      </c>
      <c r="B573" s="444" t="s">
        <v>8396</v>
      </c>
      <c r="D573" s="10">
        <v>25000</v>
      </c>
      <c r="E573" s="113">
        <f t="shared" si="8"/>
        <v>332764</v>
      </c>
    </row>
    <row r="574" spans="1:7" x14ac:dyDescent="0.25">
      <c r="A574" s="124" t="s">
        <v>8401</v>
      </c>
      <c r="B574" s="444" t="s">
        <v>4705</v>
      </c>
      <c r="C574" s="10">
        <v>5000</v>
      </c>
      <c r="E574" s="113">
        <f t="shared" si="8"/>
        <v>327764</v>
      </c>
    </row>
    <row r="575" spans="1:7" x14ac:dyDescent="0.25">
      <c r="A575" s="124" t="s">
        <v>8401</v>
      </c>
      <c r="B575" s="444" t="s">
        <v>295</v>
      </c>
      <c r="D575" s="10">
        <v>10000</v>
      </c>
      <c r="E575" s="113">
        <f t="shared" si="8"/>
        <v>337764</v>
      </c>
    </row>
    <row r="576" spans="1:7" x14ac:dyDescent="0.25">
      <c r="A576" s="124"/>
      <c r="E576" s="113">
        <f t="shared" si="8"/>
        <v>337764</v>
      </c>
    </row>
    <row r="577" spans="5:5" x14ac:dyDescent="0.25">
      <c r="E577" s="113">
        <f t="shared" si="8"/>
        <v>337764</v>
      </c>
    </row>
    <row r="578" spans="5:5" x14ac:dyDescent="0.25">
      <c r="E578" s="113">
        <f t="shared" si="8"/>
        <v>337764</v>
      </c>
    </row>
    <row r="579" spans="5:5" x14ac:dyDescent="0.25">
      <c r="E579" s="113">
        <f t="shared" si="8"/>
        <v>337764</v>
      </c>
    </row>
    <row r="580" spans="5:5" x14ac:dyDescent="0.25">
      <c r="E580" s="113">
        <f t="shared" si="8"/>
        <v>337764</v>
      </c>
    </row>
    <row r="581" spans="5:5" x14ac:dyDescent="0.25">
      <c r="E581" s="113">
        <f t="shared" si="8"/>
        <v>337764</v>
      </c>
    </row>
    <row r="582" spans="5:5" x14ac:dyDescent="0.25">
      <c r="E582" s="113">
        <f t="shared" si="8"/>
        <v>337764</v>
      </c>
    </row>
    <row r="583" spans="5:5" x14ac:dyDescent="0.25">
      <c r="E583" s="113">
        <f t="shared" si="8"/>
        <v>337764</v>
      </c>
    </row>
    <row r="584" spans="5:5" x14ac:dyDescent="0.25">
      <c r="E584" s="113">
        <f t="shared" si="8"/>
        <v>337764</v>
      </c>
    </row>
    <row r="585" spans="5:5" x14ac:dyDescent="0.25">
      <c r="E585" s="113">
        <f t="shared" si="8"/>
        <v>337764</v>
      </c>
    </row>
    <row r="586" spans="5:5" x14ac:dyDescent="0.25">
      <c r="E586" s="113">
        <f t="shared" si="8"/>
        <v>337764</v>
      </c>
    </row>
    <row r="587" spans="5:5" x14ac:dyDescent="0.25">
      <c r="E587" s="113">
        <f t="shared" si="8"/>
        <v>337764</v>
      </c>
    </row>
    <row r="588" spans="5:5" x14ac:dyDescent="0.25">
      <c r="E588" s="113">
        <f t="shared" si="8"/>
        <v>337764</v>
      </c>
    </row>
    <row r="589" spans="5:5" x14ac:dyDescent="0.25">
      <c r="E589" s="113">
        <f t="shared" si="8"/>
        <v>337764</v>
      </c>
    </row>
    <row r="590" spans="5:5" x14ac:dyDescent="0.25">
      <c r="E590" s="113">
        <f t="shared" si="8"/>
        <v>337764</v>
      </c>
    </row>
    <row r="591" spans="5:5" x14ac:dyDescent="0.25">
      <c r="E591" s="113">
        <f t="shared" si="8"/>
        <v>337764</v>
      </c>
    </row>
    <row r="592" spans="5:5" x14ac:dyDescent="0.25">
      <c r="E592" s="113">
        <f t="shared" si="8"/>
        <v>337764</v>
      </c>
    </row>
    <row r="593" spans="5:5" x14ac:dyDescent="0.25">
      <c r="E593" s="113">
        <f t="shared" si="8"/>
        <v>337764</v>
      </c>
    </row>
    <row r="594" spans="5:5" x14ac:dyDescent="0.25">
      <c r="E594" s="113">
        <f t="shared" ref="E594:E657" si="10">E593+D594-C594</f>
        <v>337764</v>
      </c>
    </row>
    <row r="595" spans="5:5" x14ac:dyDescent="0.25">
      <c r="E595" s="113">
        <f t="shared" si="10"/>
        <v>337764</v>
      </c>
    </row>
    <row r="596" spans="5:5" x14ac:dyDescent="0.25">
      <c r="E596" s="113">
        <f t="shared" si="10"/>
        <v>337764</v>
      </c>
    </row>
    <row r="597" spans="5:5" x14ac:dyDescent="0.25">
      <c r="E597" s="113">
        <f t="shared" si="10"/>
        <v>337764</v>
      </c>
    </row>
    <row r="598" spans="5:5" x14ac:dyDescent="0.25">
      <c r="E598" s="113">
        <f t="shared" si="10"/>
        <v>337764</v>
      </c>
    </row>
    <row r="599" spans="5:5" x14ac:dyDescent="0.25">
      <c r="E599" s="113">
        <f t="shared" si="10"/>
        <v>337764</v>
      </c>
    </row>
    <row r="600" spans="5:5" x14ac:dyDescent="0.25">
      <c r="E600" s="113">
        <f t="shared" si="10"/>
        <v>337764</v>
      </c>
    </row>
    <row r="601" spans="5:5" x14ac:dyDescent="0.25">
      <c r="E601" s="113">
        <f t="shared" si="10"/>
        <v>337764</v>
      </c>
    </row>
    <row r="602" spans="5:5" x14ac:dyDescent="0.25">
      <c r="E602" s="113">
        <f t="shared" si="10"/>
        <v>337764</v>
      </c>
    </row>
    <row r="603" spans="5:5" x14ac:dyDescent="0.25">
      <c r="E603" s="113">
        <f t="shared" si="10"/>
        <v>337764</v>
      </c>
    </row>
    <row r="604" spans="5:5" x14ac:dyDescent="0.25">
      <c r="E604" s="113">
        <f t="shared" si="10"/>
        <v>337764</v>
      </c>
    </row>
    <row r="605" spans="5:5" x14ac:dyDescent="0.25">
      <c r="E605" s="113">
        <f t="shared" si="10"/>
        <v>337764</v>
      </c>
    </row>
    <row r="606" spans="5:5" x14ac:dyDescent="0.25">
      <c r="E606" s="113">
        <f t="shared" si="10"/>
        <v>337764</v>
      </c>
    </row>
    <row r="607" spans="5:5" x14ac:dyDescent="0.25">
      <c r="E607" s="113">
        <f t="shared" si="10"/>
        <v>337764</v>
      </c>
    </row>
    <row r="608" spans="5:5" x14ac:dyDescent="0.25">
      <c r="E608" s="113">
        <f t="shared" si="10"/>
        <v>337764</v>
      </c>
    </row>
    <row r="609" spans="5:5" x14ac:dyDescent="0.25">
      <c r="E609" s="113">
        <f t="shared" si="10"/>
        <v>337764</v>
      </c>
    </row>
    <row r="610" spans="5:5" x14ac:dyDescent="0.25">
      <c r="E610" s="113">
        <f t="shared" si="10"/>
        <v>337764</v>
      </c>
    </row>
    <row r="611" spans="5:5" x14ac:dyDescent="0.25">
      <c r="E611" s="113">
        <f t="shared" si="10"/>
        <v>337764</v>
      </c>
    </row>
    <row r="612" spans="5:5" x14ac:dyDescent="0.25">
      <c r="E612" s="113">
        <f t="shared" si="10"/>
        <v>337764</v>
      </c>
    </row>
    <row r="613" spans="5:5" x14ac:dyDescent="0.25">
      <c r="E613" s="113">
        <f t="shared" si="10"/>
        <v>337764</v>
      </c>
    </row>
    <row r="614" spans="5:5" x14ac:dyDescent="0.25">
      <c r="E614" s="113">
        <f t="shared" si="10"/>
        <v>337764</v>
      </c>
    </row>
    <row r="615" spans="5:5" x14ac:dyDescent="0.25">
      <c r="E615" s="113">
        <f t="shared" si="10"/>
        <v>337764</v>
      </c>
    </row>
    <row r="616" spans="5:5" x14ac:dyDescent="0.25">
      <c r="E616" s="113">
        <f t="shared" si="10"/>
        <v>337764</v>
      </c>
    </row>
    <row r="617" spans="5:5" x14ac:dyDescent="0.25">
      <c r="E617" s="113">
        <f t="shared" si="10"/>
        <v>337764</v>
      </c>
    </row>
    <row r="618" spans="5:5" x14ac:dyDescent="0.25">
      <c r="E618" s="113">
        <f t="shared" si="10"/>
        <v>337764</v>
      </c>
    </row>
    <row r="619" spans="5:5" x14ac:dyDescent="0.25">
      <c r="E619" s="113">
        <f t="shared" si="10"/>
        <v>337764</v>
      </c>
    </row>
    <row r="620" spans="5:5" x14ac:dyDescent="0.25">
      <c r="E620" s="113">
        <f t="shared" si="10"/>
        <v>337764</v>
      </c>
    </row>
    <row r="621" spans="5:5" x14ac:dyDescent="0.25">
      <c r="E621" s="113">
        <f t="shared" si="10"/>
        <v>337764</v>
      </c>
    </row>
    <row r="622" spans="5:5" x14ac:dyDescent="0.25">
      <c r="E622" s="113">
        <f t="shared" si="10"/>
        <v>337764</v>
      </c>
    </row>
    <row r="623" spans="5:5" x14ac:dyDescent="0.25">
      <c r="E623" s="113">
        <f t="shared" si="10"/>
        <v>337764</v>
      </c>
    </row>
    <row r="624" spans="5:5" x14ac:dyDescent="0.25">
      <c r="E624" s="113">
        <f t="shared" si="10"/>
        <v>337764</v>
      </c>
    </row>
    <row r="625" spans="5:5" x14ac:dyDescent="0.25">
      <c r="E625" s="113">
        <f t="shared" si="10"/>
        <v>337764</v>
      </c>
    </row>
    <row r="626" spans="5:5" x14ac:dyDescent="0.25">
      <c r="E626" s="113">
        <f t="shared" si="10"/>
        <v>337764</v>
      </c>
    </row>
    <row r="627" spans="5:5" x14ac:dyDescent="0.25">
      <c r="E627" s="113">
        <f t="shared" si="10"/>
        <v>337764</v>
      </c>
    </row>
    <row r="628" spans="5:5" x14ac:dyDescent="0.25">
      <c r="E628" s="113">
        <f t="shared" si="10"/>
        <v>337764</v>
      </c>
    </row>
    <row r="629" spans="5:5" x14ac:dyDescent="0.25">
      <c r="E629" s="113">
        <f t="shared" si="10"/>
        <v>337764</v>
      </c>
    </row>
    <row r="630" spans="5:5" x14ac:dyDescent="0.25">
      <c r="E630" s="113">
        <f t="shared" si="10"/>
        <v>337764</v>
      </c>
    </row>
    <row r="631" spans="5:5" x14ac:dyDescent="0.25">
      <c r="E631" s="113">
        <f t="shared" si="10"/>
        <v>337764</v>
      </c>
    </row>
    <row r="632" spans="5:5" x14ac:dyDescent="0.25">
      <c r="E632" s="113">
        <f t="shared" si="10"/>
        <v>337764</v>
      </c>
    </row>
    <row r="633" spans="5:5" x14ac:dyDescent="0.25">
      <c r="E633" s="113">
        <f t="shared" si="10"/>
        <v>337764</v>
      </c>
    </row>
    <row r="634" spans="5:5" x14ac:dyDescent="0.25">
      <c r="E634" s="113">
        <f t="shared" si="10"/>
        <v>337764</v>
      </c>
    </row>
    <row r="635" spans="5:5" x14ac:dyDescent="0.25">
      <c r="E635" s="113">
        <f t="shared" si="10"/>
        <v>337764</v>
      </c>
    </row>
    <row r="636" spans="5:5" x14ac:dyDescent="0.25">
      <c r="E636" s="113">
        <f t="shared" si="10"/>
        <v>337764</v>
      </c>
    </row>
    <row r="637" spans="5:5" x14ac:dyDescent="0.25">
      <c r="E637" s="113">
        <f t="shared" si="10"/>
        <v>337764</v>
      </c>
    </row>
    <row r="638" spans="5:5" x14ac:dyDescent="0.25">
      <c r="E638" s="113">
        <f t="shared" si="10"/>
        <v>337764</v>
      </c>
    </row>
    <row r="639" spans="5:5" x14ac:dyDescent="0.25">
      <c r="E639" s="113">
        <f t="shared" si="10"/>
        <v>337764</v>
      </c>
    </row>
    <row r="640" spans="5:5" x14ac:dyDescent="0.25">
      <c r="E640" s="113">
        <f t="shared" si="10"/>
        <v>337764</v>
      </c>
    </row>
    <row r="641" spans="5:5" x14ac:dyDescent="0.25">
      <c r="E641" s="113">
        <f t="shared" si="10"/>
        <v>337764</v>
      </c>
    </row>
    <row r="642" spans="5:5" x14ac:dyDescent="0.25">
      <c r="E642" s="113">
        <f t="shared" si="10"/>
        <v>337764</v>
      </c>
    </row>
    <row r="643" spans="5:5" x14ac:dyDescent="0.25">
      <c r="E643" s="113">
        <f t="shared" si="10"/>
        <v>337764</v>
      </c>
    </row>
    <row r="644" spans="5:5" x14ac:dyDescent="0.25">
      <c r="E644" s="113">
        <f t="shared" si="10"/>
        <v>337764</v>
      </c>
    </row>
    <row r="645" spans="5:5" x14ac:dyDescent="0.25">
      <c r="E645" s="113">
        <f t="shared" si="10"/>
        <v>337764</v>
      </c>
    </row>
    <row r="646" spans="5:5" x14ac:dyDescent="0.25">
      <c r="E646" s="113">
        <f t="shared" si="10"/>
        <v>337764</v>
      </c>
    </row>
    <row r="647" spans="5:5" x14ac:dyDescent="0.25">
      <c r="E647" s="113">
        <f t="shared" si="10"/>
        <v>337764</v>
      </c>
    </row>
    <row r="648" spans="5:5" x14ac:dyDescent="0.25">
      <c r="E648" s="113">
        <f t="shared" si="10"/>
        <v>337764</v>
      </c>
    </row>
    <row r="649" spans="5:5" x14ac:dyDescent="0.25">
      <c r="E649" s="113">
        <f t="shared" si="10"/>
        <v>337764</v>
      </c>
    </row>
    <row r="650" spans="5:5" x14ac:dyDescent="0.25">
      <c r="E650" s="113">
        <f t="shared" si="10"/>
        <v>337764</v>
      </c>
    </row>
    <row r="651" spans="5:5" x14ac:dyDescent="0.25">
      <c r="E651" s="113">
        <f t="shared" si="10"/>
        <v>337764</v>
      </c>
    </row>
    <row r="652" spans="5:5" x14ac:dyDescent="0.25">
      <c r="E652" s="113">
        <f t="shared" si="10"/>
        <v>337764</v>
      </c>
    </row>
    <row r="653" spans="5:5" x14ac:dyDescent="0.25">
      <c r="E653" s="113">
        <f t="shared" si="10"/>
        <v>337764</v>
      </c>
    </row>
    <row r="654" spans="5:5" x14ac:dyDescent="0.25">
      <c r="E654" s="113">
        <f t="shared" si="10"/>
        <v>337764</v>
      </c>
    </row>
    <row r="655" spans="5:5" x14ac:dyDescent="0.25">
      <c r="E655" s="113">
        <f t="shared" si="10"/>
        <v>337764</v>
      </c>
    </row>
    <row r="656" spans="5:5" x14ac:dyDescent="0.25">
      <c r="E656" s="113">
        <f t="shared" si="10"/>
        <v>337764</v>
      </c>
    </row>
    <row r="657" spans="5:5" x14ac:dyDescent="0.25">
      <c r="E657" s="113">
        <f t="shared" si="10"/>
        <v>337764</v>
      </c>
    </row>
    <row r="658" spans="5:5" x14ac:dyDescent="0.25">
      <c r="E658" s="113">
        <f t="shared" ref="E658:E721" si="11">E657+D658-C658</f>
        <v>337764</v>
      </c>
    </row>
    <row r="659" spans="5:5" x14ac:dyDescent="0.25">
      <c r="E659" s="113">
        <f t="shared" si="11"/>
        <v>337764</v>
      </c>
    </row>
    <row r="660" spans="5:5" x14ac:dyDescent="0.25">
      <c r="E660" s="113">
        <f t="shared" si="11"/>
        <v>337764</v>
      </c>
    </row>
    <row r="661" spans="5:5" x14ac:dyDescent="0.25">
      <c r="E661" s="113">
        <f t="shared" si="11"/>
        <v>337764</v>
      </c>
    </row>
    <row r="662" spans="5:5" x14ac:dyDescent="0.25">
      <c r="E662" s="113">
        <f t="shared" si="11"/>
        <v>337764</v>
      </c>
    </row>
    <row r="663" spans="5:5" x14ac:dyDescent="0.25">
      <c r="E663" s="113">
        <f t="shared" si="11"/>
        <v>337764</v>
      </c>
    </row>
    <row r="664" spans="5:5" x14ac:dyDescent="0.25">
      <c r="E664" s="113">
        <f t="shared" si="11"/>
        <v>337764</v>
      </c>
    </row>
    <row r="665" spans="5:5" x14ac:dyDescent="0.25">
      <c r="E665" s="113">
        <f t="shared" si="11"/>
        <v>337764</v>
      </c>
    </row>
    <row r="666" spans="5:5" x14ac:dyDescent="0.25">
      <c r="E666" s="113">
        <f t="shared" si="11"/>
        <v>337764</v>
      </c>
    </row>
    <row r="667" spans="5:5" x14ac:dyDescent="0.25">
      <c r="E667" s="113">
        <f t="shared" si="11"/>
        <v>337764</v>
      </c>
    </row>
    <row r="668" spans="5:5" x14ac:dyDescent="0.25">
      <c r="E668" s="113">
        <f t="shared" si="11"/>
        <v>337764</v>
      </c>
    </row>
    <row r="669" spans="5:5" x14ac:dyDescent="0.25">
      <c r="E669" s="113">
        <f t="shared" si="11"/>
        <v>337764</v>
      </c>
    </row>
    <row r="670" spans="5:5" x14ac:dyDescent="0.25">
      <c r="E670" s="113">
        <f t="shared" si="11"/>
        <v>337764</v>
      </c>
    </row>
    <row r="671" spans="5:5" x14ac:dyDescent="0.25">
      <c r="E671" s="113">
        <f t="shared" si="11"/>
        <v>337764</v>
      </c>
    </row>
    <row r="672" spans="5:5" x14ac:dyDescent="0.25">
      <c r="E672" s="113">
        <f t="shared" si="11"/>
        <v>337764</v>
      </c>
    </row>
    <row r="673" spans="5:5" x14ac:dyDescent="0.25">
      <c r="E673" s="113">
        <f t="shared" si="11"/>
        <v>337764</v>
      </c>
    </row>
    <row r="674" spans="5:5" x14ac:dyDescent="0.25">
      <c r="E674" s="113">
        <f t="shared" si="11"/>
        <v>337764</v>
      </c>
    </row>
    <row r="675" spans="5:5" x14ac:dyDescent="0.25">
      <c r="E675" s="113">
        <f t="shared" si="11"/>
        <v>337764</v>
      </c>
    </row>
    <row r="676" spans="5:5" x14ac:dyDescent="0.25">
      <c r="E676" s="113">
        <f t="shared" si="11"/>
        <v>337764</v>
      </c>
    </row>
    <row r="677" spans="5:5" x14ac:dyDescent="0.25">
      <c r="E677" s="113">
        <f t="shared" si="11"/>
        <v>337764</v>
      </c>
    </row>
    <row r="678" spans="5:5" x14ac:dyDescent="0.25">
      <c r="E678" s="113">
        <f t="shared" si="11"/>
        <v>337764</v>
      </c>
    </row>
    <row r="679" spans="5:5" x14ac:dyDescent="0.25">
      <c r="E679" s="113">
        <f t="shared" si="11"/>
        <v>337764</v>
      </c>
    </row>
    <row r="680" spans="5:5" x14ac:dyDescent="0.25">
      <c r="E680" s="113">
        <f t="shared" si="11"/>
        <v>337764</v>
      </c>
    </row>
    <row r="681" spans="5:5" x14ac:dyDescent="0.25">
      <c r="E681" s="113">
        <f t="shared" si="11"/>
        <v>337764</v>
      </c>
    </row>
    <row r="682" spans="5:5" x14ac:dyDescent="0.25">
      <c r="E682" s="113">
        <f t="shared" si="11"/>
        <v>337764</v>
      </c>
    </row>
    <row r="683" spans="5:5" x14ac:dyDescent="0.25">
      <c r="E683" s="113">
        <f t="shared" si="11"/>
        <v>337764</v>
      </c>
    </row>
    <row r="684" spans="5:5" x14ac:dyDescent="0.25">
      <c r="E684" s="113">
        <f t="shared" si="11"/>
        <v>337764</v>
      </c>
    </row>
    <row r="685" spans="5:5" x14ac:dyDescent="0.25">
      <c r="E685" s="113">
        <f t="shared" si="11"/>
        <v>337764</v>
      </c>
    </row>
    <row r="686" spans="5:5" x14ac:dyDescent="0.25">
      <c r="E686" s="113">
        <f t="shared" si="11"/>
        <v>337764</v>
      </c>
    </row>
    <row r="687" spans="5:5" x14ac:dyDescent="0.25">
      <c r="E687" s="113">
        <f t="shared" si="11"/>
        <v>337764</v>
      </c>
    </row>
    <row r="688" spans="5:5" x14ac:dyDescent="0.25">
      <c r="E688" s="113">
        <f t="shared" si="11"/>
        <v>337764</v>
      </c>
    </row>
    <row r="689" spans="5:5" x14ac:dyDescent="0.25">
      <c r="E689" s="113">
        <f t="shared" si="11"/>
        <v>337764</v>
      </c>
    </row>
    <row r="690" spans="5:5" x14ac:dyDescent="0.25">
      <c r="E690" s="113">
        <f t="shared" si="11"/>
        <v>337764</v>
      </c>
    </row>
    <row r="691" spans="5:5" x14ac:dyDescent="0.25">
      <c r="E691" s="113">
        <f t="shared" si="11"/>
        <v>337764</v>
      </c>
    </row>
    <row r="692" spans="5:5" x14ac:dyDescent="0.25">
      <c r="E692" s="113">
        <f t="shared" si="11"/>
        <v>337764</v>
      </c>
    </row>
    <row r="693" spans="5:5" x14ac:dyDescent="0.25">
      <c r="E693" s="113">
        <f t="shared" si="11"/>
        <v>337764</v>
      </c>
    </row>
    <row r="694" spans="5:5" x14ac:dyDescent="0.25">
      <c r="E694" s="113">
        <f t="shared" si="11"/>
        <v>337764</v>
      </c>
    </row>
    <row r="695" spans="5:5" x14ac:dyDescent="0.25">
      <c r="E695" s="113">
        <f t="shared" si="11"/>
        <v>337764</v>
      </c>
    </row>
    <row r="696" spans="5:5" x14ac:dyDescent="0.25">
      <c r="E696" s="113">
        <f t="shared" si="11"/>
        <v>337764</v>
      </c>
    </row>
    <row r="697" spans="5:5" x14ac:dyDescent="0.25">
      <c r="E697" s="113">
        <f t="shared" si="11"/>
        <v>337764</v>
      </c>
    </row>
    <row r="698" spans="5:5" x14ac:dyDescent="0.25">
      <c r="E698" s="113">
        <f t="shared" si="11"/>
        <v>337764</v>
      </c>
    </row>
    <row r="699" spans="5:5" x14ac:dyDescent="0.25">
      <c r="E699" s="113">
        <f t="shared" si="11"/>
        <v>337764</v>
      </c>
    </row>
    <row r="700" spans="5:5" x14ac:dyDescent="0.25">
      <c r="E700" s="113">
        <f t="shared" si="11"/>
        <v>337764</v>
      </c>
    </row>
    <row r="701" spans="5:5" x14ac:dyDescent="0.25">
      <c r="E701" s="113">
        <f t="shared" si="11"/>
        <v>337764</v>
      </c>
    </row>
    <row r="702" spans="5:5" x14ac:dyDescent="0.25">
      <c r="E702" s="113">
        <f t="shared" si="11"/>
        <v>337764</v>
      </c>
    </row>
    <row r="703" spans="5:5" x14ac:dyDescent="0.25">
      <c r="E703" s="113">
        <f t="shared" si="11"/>
        <v>337764</v>
      </c>
    </row>
    <row r="704" spans="5:5" x14ac:dyDescent="0.25">
      <c r="E704" s="113">
        <f t="shared" si="11"/>
        <v>337764</v>
      </c>
    </row>
    <row r="705" spans="5:5" x14ac:dyDescent="0.25">
      <c r="E705" s="113">
        <f t="shared" si="11"/>
        <v>337764</v>
      </c>
    </row>
    <row r="706" spans="5:5" x14ac:dyDescent="0.25">
      <c r="E706" s="113">
        <f t="shared" si="11"/>
        <v>337764</v>
      </c>
    </row>
    <row r="707" spans="5:5" x14ac:dyDescent="0.25">
      <c r="E707" s="113">
        <f t="shared" si="11"/>
        <v>337764</v>
      </c>
    </row>
    <row r="708" spans="5:5" x14ac:dyDescent="0.25">
      <c r="E708" s="113">
        <f t="shared" si="11"/>
        <v>337764</v>
      </c>
    </row>
    <row r="709" spans="5:5" x14ac:dyDescent="0.25">
      <c r="E709" s="113">
        <f t="shared" si="11"/>
        <v>337764</v>
      </c>
    </row>
    <row r="710" spans="5:5" x14ac:dyDescent="0.25">
      <c r="E710" s="113">
        <f t="shared" si="11"/>
        <v>337764</v>
      </c>
    </row>
    <row r="711" spans="5:5" x14ac:dyDescent="0.25">
      <c r="E711" s="113">
        <f t="shared" si="11"/>
        <v>337764</v>
      </c>
    </row>
    <row r="712" spans="5:5" x14ac:dyDescent="0.25">
      <c r="E712" s="113">
        <f t="shared" si="11"/>
        <v>337764</v>
      </c>
    </row>
    <row r="713" spans="5:5" x14ac:dyDescent="0.25">
      <c r="E713" s="113">
        <f t="shared" si="11"/>
        <v>337764</v>
      </c>
    </row>
    <row r="714" spans="5:5" x14ac:dyDescent="0.25">
      <c r="E714" s="113">
        <f t="shared" si="11"/>
        <v>337764</v>
      </c>
    </row>
    <row r="715" spans="5:5" x14ac:dyDescent="0.25">
      <c r="E715" s="113">
        <f t="shared" si="11"/>
        <v>337764</v>
      </c>
    </row>
    <row r="716" spans="5:5" x14ac:dyDescent="0.25">
      <c r="E716" s="113">
        <f t="shared" si="11"/>
        <v>337764</v>
      </c>
    </row>
    <row r="717" spans="5:5" x14ac:dyDescent="0.25">
      <c r="E717" s="113">
        <f t="shared" si="11"/>
        <v>337764</v>
      </c>
    </row>
    <row r="718" spans="5:5" x14ac:dyDescent="0.25">
      <c r="E718" s="113">
        <f t="shared" si="11"/>
        <v>337764</v>
      </c>
    </row>
    <row r="719" spans="5:5" x14ac:dyDescent="0.25">
      <c r="E719" s="113">
        <f t="shared" si="11"/>
        <v>337764</v>
      </c>
    </row>
    <row r="720" spans="5:5" x14ac:dyDescent="0.25">
      <c r="E720" s="113">
        <f t="shared" si="11"/>
        <v>337764</v>
      </c>
    </row>
    <row r="721" spans="5:5" x14ac:dyDescent="0.25">
      <c r="E721" s="113">
        <f t="shared" si="11"/>
        <v>337764</v>
      </c>
    </row>
    <row r="722" spans="5:5" x14ac:dyDescent="0.25">
      <c r="E722" s="113">
        <f t="shared" ref="E722:E785" si="12">E721+D722-C722</f>
        <v>337764</v>
      </c>
    </row>
    <row r="723" spans="5:5" x14ac:dyDescent="0.25">
      <c r="E723" s="113">
        <f t="shared" si="12"/>
        <v>337764</v>
      </c>
    </row>
    <row r="724" spans="5:5" x14ac:dyDescent="0.25">
      <c r="E724" s="113">
        <f t="shared" si="12"/>
        <v>337764</v>
      </c>
    </row>
    <row r="725" spans="5:5" x14ac:dyDescent="0.25">
      <c r="E725" s="113">
        <f t="shared" si="12"/>
        <v>337764</v>
      </c>
    </row>
    <row r="726" spans="5:5" x14ac:dyDescent="0.25">
      <c r="E726" s="113">
        <f t="shared" si="12"/>
        <v>337764</v>
      </c>
    </row>
    <row r="727" spans="5:5" x14ac:dyDescent="0.25">
      <c r="E727" s="113">
        <f t="shared" si="12"/>
        <v>337764</v>
      </c>
    </row>
    <row r="728" spans="5:5" x14ac:dyDescent="0.25">
      <c r="E728" s="113">
        <f t="shared" si="12"/>
        <v>337764</v>
      </c>
    </row>
    <row r="729" spans="5:5" x14ac:dyDescent="0.25">
      <c r="E729" s="113">
        <f t="shared" si="12"/>
        <v>337764</v>
      </c>
    </row>
    <row r="730" spans="5:5" x14ac:dyDescent="0.25">
      <c r="E730" s="113">
        <f t="shared" si="12"/>
        <v>337764</v>
      </c>
    </row>
    <row r="731" spans="5:5" x14ac:dyDescent="0.25">
      <c r="E731" s="113">
        <f t="shared" si="12"/>
        <v>337764</v>
      </c>
    </row>
    <row r="732" spans="5:5" x14ac:dyDescent="0.25">
      <c r="E732" s="113">
        <f t="shared" si="12"/>
        <v>337764</v>
      </c>
    </row>
    <row r="733" spans="5:5" x14ac:dyDescent="0.25">
      <c r="E733" s="113">
        <f t="shared" si="12"/>
        <v>337764</v>
      </c>
    </row>
    <row r="734" spans="5:5" x14ac:dyDescent="0.25">
      <c r="E734" s="113">
        <f t="shared" si="12"/>
        <v>337764</v>
      </c>
    </row>
    <row r="735" spans="5:5" x14ac:dyDescent="0.25">
      <c r="E735" s="113">
        <f t="shared" si="12"/>
        <v>337764</v>
      </c>
    </row>
    <row r="736" spans="5:5" x14ac:dyDescent="0.25">
      <c r="E736" s="113">
        <f t="shared" si="12"/>
        <v>337764</v>
      </c>
    </row>
    <row r="737" spans="5:5" x14ac:dyDescent="0.25">
      <c r="E737" s="113">
        <f t="shared" si="12"/>
        <v>337764</v>
      </c>
    </row>
    <row r="738" spans="5:5" x14ac:dyDescent="0.25">
      <c r="E738" s="113">
        <f t="shared" si="12"/>
        <v>337764</v>
      </c>
    </row>
    <row r="739" spans="5:5" x14ac:dyDescent="0.25">
      <c r="E739" s="113">
        <f t="shared" si="12"/>
        <v>337764</v>
      </c>
    </row>
    <row r="740" spans="5:5" x14ac:dyDescent="0.25">
      <c r="E740" s="113">
        <f t="shared" si="12"/>
        <v>337764</v>
      </c>
    </row>
    <row r="741" spans="5:5" x14ac:dyDescent="0.25">
      <c r="E741" s="113">
        <f t="shared" si="12"/>
        <v>337764</v>
      </c>
    </row>
    <row r="742" spans="5:5" x14ac:dyDescent="0.25">
      <c r="E742" s="113">
        <f t="shared" si="12"/>
        <v>337764</v>
      </c>
    </row>
    <row r="743" spans="5:5" x14ac:dyDescent="0.25">
      <c r="E743" s="113">
        <f t="shared" si="12"/>
        <v>337764</v>
      </c>
    </row>
    <row r="744" spans="5:5" x14ac:dyDescent="0.25">
      <c r="E744" s="113">
        <f t="shared" si="12"/>
        <v>337764</v>
      </c>
    </row>
    <row r="745" spans="5:5" x14ac:dyDescent="0.25">
      <c r="E745" s="113">
        <f t="shared" si="12"/>
        <v>337764</v>
      </c>
    </row>
    <row r="746" spans="5:5" x14ac:dyDescent="0.25">
      <c r="E746" s="113">
        <f t="shared" si="12"/>
        <v>337764</v>
      </c>
    </row>
    <row r="747" spans="5:5" x14ac:dyDescent="0.25">
      <c r="E747" s="113">
        <f t="shared" si="12"/>
        <v>337764</v>
      </c>
    </row>
    <row r="748" spans="5:5" x14ac:dyDescent="0.25">
      <c r="E748" s="113">
        <f t="shared" si="12"/>
        <v>337764</v>
      </c>
    </row>
    <row r="749" spans="5:5" x14ac:dyDescent="0.25">
      <c r="E749" s="113">
        <f t="shared" si="12"/>
        <v>337764</v>
      </c>
    </row>
    <row r="750" spans="5:5" x14ac:dyDescent="0.25">
      <c r="E750" s="113">
        <f t="shared" si="12"/>
        <v>337764</v>
      </c>
    </row>
    <row r="751" spans="5:5" x14ac:dyDescent="0.25">
      <c r="E751" s="113">
        <f t="shared" si="12"/>
        <v>337764</v>
      </c>
    </row>
    <row r="752" spans="5:5" x14ac:dyDescent="0.25">
      <c r="E752" s="113">
        <f t="shared" si="12"/>
        <v>337764</v>
      </c>
    </row>
    <row r="753" spans="5:5" x14ac:dyDescent="0.25">
      <c r="E753" s="113">
        <f t="shared" si="12"/>
        <v>337764</v>
      </c>
    </row>
    <row r="754" spans="5:5" x14ac:dyDescent="0.25">
      <c r="E754" s="113">
        <f t="shared" si="12"/>
        <v>337764</v>
      </c>
    </row>
    <row r="755" spans="5:5" x14ac:dyDescent="0.25">
      <c r="E755" s="113">
        <f t="shared" si="12"/>
        <v>337764</v>
      </c>
    </row>
    <row r="756" spans="5:5" x14ac:dyDescent="0.25">
      <c r="E756" s="113">
        <f t="shared" si="12"/>
        <v>337764</v>
      </c>
    </row>
    <row r="757" spans="5:5" x14ac:dyDescent="0.25">
      <c r="E757" s="113">
        <f t="shared" si="12"/>
        <v>337764</v>
      </c>
    </row>
    <row r="758" spans="5:5" x14ac:dyDescent="0.25">
      <c r="E758" s="113">
        <f t="shared" si="12"/>
        <v>337764</v>
      </c>
    </row>
    <row r="759" spans="5:5" x14ac:dyDescent="0.25">
      <c r="E759" s="113">
        <f t="shared" si="12"/>
        <v>337764</v>
      </c>
    </row>
    <row r="760" spans="5:5" x14ac:dyDescent="0.25">
      <c r="E760" s="113">
        <f t="shared" si="12"/>
        <v>337764</v>
      </c>
    </row>
    <row r="761" spans="5:5" x14ac:dyDescent="0.25">
      <c r="E761" s="113">
        <f t="shared" si="12"/>
        <v>337764</v>
      </c>
    </row>
    <row r="762" spans="5:5" x14ac:dyDescent="0.25">
      <c r="E762" s="113">
        <f t="shared" si="12"/>
        <v>337764</v>
      </c>
    </row>
    <row r="763" spans="5:5" x14ac:dyDescent="0.25">
      <c r="E763" s="113">
        <f t="shared" si="12"/>
        <v>337764</v>
      </c>
    </row>
    <row r="764" spans="5:5" x14ac:dyDescent="0.25">
      <c r="E764" s="113">
        <f t="shared" si="12"/>
        <v>337764</v>
      </c>
    </row>
    <row r="765" spans="5:5" x14ac:dyDescent="0.25">
      <c r="E765" s="113">
        <f t="shared" si="12"/>
        <v>337764</v>
      </c>
    </row>
    <row r="766" spans="5:5" x14ac:dyDescent="0.25">
      <c r="E766" s="113">
        <f t="shared" si="12"/>
        <v>337764</v>
      </c>
    </row>
    <row r="767" spans="5:5" x14ac:dyDescent="0.25">
      <c r="E767" s="113">
        <f t="shared" si="12"/>
        <v>337764</v>
      </c>
    </row>
    <row r="768" spans="5:5" x14ac:dyDescent="0.25">
      <c r="E768" s="113">
        <f t="shared" si="12"/>
        <v>337764</v>
      </c>
    </row>
    <row r="769" spans="5:5" x14ac:dyDescent="0.25">
      <c r="E769" s="113">
        <f t="shared" si="12"/>
        <v>337764</v>
      </c>
    </row>
    <row r="770" spans="5:5" x14ac:dyDescent="0.25">
      <c r="E770" s="113">
        <f t="shared" si="12"/>
        <v>337764</v>
      </c>
    </row>
    <row r="771" spans="5:5" x14ac:dyDescent="0.25">
      <c r="E771" s="113">
        <f t="shared" si="12"/>
        <v>337764</v>
      </c>
    </row>
    <row r="772" spans="5:5" x14ac:dyDescent="0.25">
      <c r="E772" s="113">
        <f t="shared" si="12"/>
        <v>337764</v>
      </c>
    </row>
    <row r="773" spans="5:5" x14ac:dyDescent="0.25">
      <c r="E773" s="113">
        <f t="shared" si="12"/>
        <v>337764</v>
      </c>
    </row>
    <row r="774" spans="5:5" x14ac:dyDescent="0.25">
      <c r="E774" s="113">
        <f t="shared" si="12"/>
        <v>337764</v>
      </c>
    </row>
    <row r="775" spans="5:5" x14ac:dyDescent="0.25">
      <c r="E775" s="113">
        <f t="shared" si="12"/>
        <v>337764</v>
      </c>
    </row>
    <row r="776" spans="5:5" x14ac:dyDescent="0.25">
      <c r="E776" s="113">
        <f t="shared" si="12"/>
        <v>337764</v>
      </c>
    </row>
    <row r="777" spans="5:5" x14ac:dyDescent="0.25">
      <c r="E777" s="113">
        <f t="shared" si="12"/>
        <v>337764</v>
      </c>
    </row>
    <row r="778" spans="5:5" x14ac:dyDescent="0.25">
      <c r="E778" s="113">
        <f t="shared" si="12"/>
        <v>337764</v>
      </c>
    </row>
    <row r="779" spans="5:5" x14ac:dyDescent="0.25">
      <c r="E779" s="113">
        <f t="shared" si="12"/>
        <v>337764</v>
      </c>
    </row>
    <row r="780" spans="5:5" x14ac:dyDescent="0.25">
      <c r="E780" s="113">
        <f t="shared" si="12"/>
        <v>337764</v>
      </c>
    </row>
    <row r="781" spans="5:5" x14ac:dyDescent="0.25">
      <c r="E781" s="113">
        <f t="shared" si="12"/>
        <v>337764</v>
      </c>
    </row>
    <row r="782" spans="5:5" x14ac:dyDescent="0.25">
      <c r="E782" s="113">
        <f t="shared" si="12"/>
        <v>337764</v>
      </c>
    </row>
    <row r="783" spans="5:5" x14ac:dyDescent="0.25">
      <c r="E783" s="113">
        <f t="shared" si="12"/>
        <v>337764</v>
      </c>
    </row>
    <row r="784" spans="5:5" x14ac:dyDescent="0.25">
      <c r="E784" s="113">
        <f t="shared" si="12"/>
        <v>337764</v>
      </c>
    </row>
    <row r="785" spans="5:5" x14ac:dyDescent="0.25">
      <c r="E785" s="113">
        <f t="shared" si="12"/>
        <v>337764</v>
      </c>
    </row>
    <row r="786" spans="5:5" x14ac:dyDescent="0.25">
      <c r="E786" s="113">
        <f t="shared" ref="E786:E849" si="13">E785+D786-C786</f>
        <v>337764</v>
      </c>
    </row>
    <row r="787" spans="5:5" x14ac:dyDescent="0.25">
      <c r="E787" s="113">
        <f t="shared" si="13"/>
        <v>337764</v>
      </c>
    </row>
    <row r="788" spans="5:5" x14ac:dyDescent="0.25">
      <c r="E788" s="113">
        <f t="shared" si="13"/>
        <v>337764</v>
      </c>
    </row>
    <row r="789" spans="5:5" x14ac:dyDescent="0.25">
      <c r="E789" s="113">
        <f t="shared" si="13"/>
        <v>337764</v>
      </c>
    </row>
    <row r="790" spans="5:5" x14ac:dyDescent="0.25">
      <c r="E790" s="113">
        <f t="shared" si="13"/>
        <v>337764</v>
      </c>
    </row>
    <row r="791" spans="5:5" x14ac:dyDescent="0.25">
      <c r="E791" s="113">
        <f t="shared" si="13"/>
        <v>337764</v>
      </c>
    </row>
    <row r="792" spans="5:5" x14ac:dyDescent="0.25">
      <c r="E792" s="113">
        <f t="shared" si="13"/>
        <v>337764</v>
      </c>
    </row>
    <row r="793" spans="5:5" x14ac:dyDescent="0.25">
      <c r="E793" s="113">
        <f t="shared" si="13"/>
        <v>337764</v>
      </c>
    </row>
    <row r="794" spans="5:5" x14ac:dyDescent="0.25">
      <c r="E794" s="113">
        <f t="shared" si="13"/>
        <v>337764</v>
      </c>
    </row>
    <row r="795" spans="5:5" x14ac:dyDescent="0.25">
      <c r="E795" s="113">
        <f t="shared" si="13"/>
        <v>337764</v>
      </c>
    </row>
    <row r="796" spans="5:5" x14ac:dyDescent="0.25">
      <c r="E796" s="113">
        <f t="shared" si="13"/>
        <v>337764</v>
      </c>
    </row>
    <row r="797" spans="5:5" x14ac:dyDescent="0.25">
      <c r="E797" s="113">
        <f t="shared" si="13"/>
        <v>337764</v>
      </c>
    </row>
    <row r="798" spans="5:5" x14ac:dyDescent="0.25">
      <c r="E798" s="113">
        <f t="shared" si="13"/>
        <v>337764</v>
      </c>
    </row>
    <row r="799" spans="5:5" x14ac:dyDescent="0.25">
      <c r="E799" s="113">
        <f t="shared" si="13"/>
        <v>337764</v>
      </c>
    </row>
    <row r="800" spans="5:5" x14ac:dyDescent="0.25">
      <c r="E800" s="113">
        <f t="shared" si="13"/>
        <v>337764</v>
      </c>
    </row>
    <row r="801" spans="5:5" x14ac:dyDescent="0.25">
      <c r="E801" s="113">
        <f t="shared" si="13"/>
        <v>337764</v>
      </c>
    </row>
    <row r="802" spans="5:5" x14ac:dyDescent="0.25">
      <c r="E802" s="113">
        <f t="shared" si="13"/>
        <v>337764</v>
      </c>
    </row>
    <row r="803" spans="5:5" x14ac:dyDescent="0.25">
      <c r="E803" s="113">
        <f t="shared" si="13"/>
        <v>337764</v>
      </c>
    </row>
    <row r="804" spans="5:5" x14ac:dyDescent="0.25">
      <c r="E804" s="113">
        <f t="shared" si="13"/>
        <v>337764</v>
      </c>
    </row>
    <row r="805" spans="5:5" x14ac:dyDescent="0.25">
      <c r="E805" s="113">
        <f t="shared" si="13"/>
        <v>337764</v>
      </c>
    </row>
    <row r="806" spans="5:5" x14ac:dyDescent="0.25">
      <c r="E806" s="113">
        <f t="shared" si="13"/>
        <v>337764</v>
      </c>
    </row>
    <row r="807" spans="5:5" x14ac:dyDescent="0.25">
      <c r="E807" s="113">
        <f t="shared" si="13"/>
        <v>337764</v>
      </c>
    </row>
    <row r="808" spans="5:5" x14ac:dyDescent="0.25">
      <c r="E808" s="113">
        <f t="shared" si="13"/>
        <v>337764</v>
      </c>
    </row>
    <row r="809" spans="5:5" x14ac:dyDescent="0.25">
      <c r="E809" s="113">
        <f t="shared" si="13"/>
        <v>337764</v>
      </c>
    </row>
    <row r="810" spans="5:5" x14ac:dyDescent="0.25">
      <c r="E810" s="113">
        <f t="shared" si="13"/>
        <v>337764</v>
      </c>
    </row>
    <row r="811" spans="5:5" x14ac:dyDescent="0.25">
      <c r="E811" s="113">
        <f t="shared" si="13"/>
        <v>337764</v>
      </c>
    </row>
    <row r="812" spans="5:5" x14ac:dyDescent="0.25">
      <c r="E812" s="113">
        <f t="shared" si="13"/>
        <v>337764</v>
      </c>
    </row>
    <row r="813" spans="5:5" x14ac:dyDescent="0.25">
      <c r="E813" s="113">
        <f t="shared" si="13"/>
        <v>337764</v>
      </c>
    </row>
    <row r="814" spans="5:5" x14ac:dyDescent="0.25">
      <c r="E814" s="113">
        <f t="shared" si="13"/>
        <v>337764</v>
      </c>
    </row>
    <row r="815" spans="5:5" x14ac:dyDescent="0.25">
      <c r="E815" s="113">
        <f t="shared" si="13"/>
        <v>337764</v>
      </c>
    </row>
    <row r="816" spans="5:5" x14ac:dyDescent="0.25">
      <c r="E816" s="113">
        <f t="shared" si="13"/>
        <v>337764</v>
      </c>
    </row>
    <row r="817" spans="5:5" x14ac:dyDescent="0.25">
      <c r="E817" s="113">
        <f t="shared" si="13"/>
        <v>337764</v>
      </c>
    </row>
    <row r="818" spans="5:5" x14ac:dyDescent="0.25">
      <c r="E818" s="113">
        <f t="shared" si="13"/>
        <v>337764</v>
      </c>
    </row>
    <row r="819" spans="5:5" x14ac:dyDescent="0.25">
      <c r="E819" s="113">
        <f t="shared" si="13"/>
        <v>337764</v>
      </c>
    </row>
    <row r="820" spans="5:5" x14ac:dyDescent="0.25">
      <c r="E820" s="113">
        <f t="shared" si="13"/>
        <v>337764</v>
      </c>
    </row>
    <row r="821" spans="5:5" x14ac:dyDescent="0.25">
      <c r="E821" s="113">
        <f t="shared" si="13"/>
        <v>337764</v>
      </c>
    </row>
    <row r="822" spans="5:5" x14ac:dyDescent="0.25">
      <c r="E822" s="113">
        <f t="shared" si="13"/>
        <v>337764</v>
      </c>
    </row>
    <row r="823" spans="5:5" x14ac:dyDescent="0.25">
      <c r="E823" s="113">
        <f t="shared" si="13"/>
        <v>337764</v>
      </c>
    </row>
    <row r="824" spans="5:5" x14ac:dyDescent="0.25">
      <c r="E824" s="113">
        <f t="shared" si="13"/>
        <v>337764</v>
      </c>
    </row>
    <row r="825" spans="5:5" x14ac:dyDescent="0.25">
      <c r="E825" s="113">
        <f t="shared" si="13"/>
        <v>337764</v>
      </c>
    </row>
    <row r="826" spans="5:5" x14ac:dyDescent="0.25">
      <c r="E826" s="113">
        <f t="shared" si="13"/>
        <v>337764</v>
      </c>
    </row>
    <row r="827" spans="5:5" x14ac:dyDescent="0.25">
      <c r="E827" s="113">
        <f t="shared" si="13"/>
        <v>337764</v>
      </c>
    </row>
    <row r="828" spans="5:5" x14ac:dyDescent="0.25">
      <c r="E828" s="113">
        <f t="shared" si="13"/>
        <v>337764</v>
      </c>
    </row>
    <row r="829" spans="5:5" x14ac:dyDescent="0.25">
      <c r="E829" s="113">
        <f t="shared" si="13"/>
        <v>337764</v>
      </c>
    </row>
    <row r="830" spans="5:5" x14ac:dyDescent="0.25">
      <c r="E830" s="113">
        <f t="shared" si="13"/>
        <v>337764</v>
      </c>
    </row>
    <row r="831" spans="5:5" x14ac:dyDescent="0.25">
      <c r="E831" s="113">
        <f t="shared" si="13"/>
        <v>337764</v>
      </c>
    </row>
    <row r="832" spans="5:5" x14ac:dyDescent="0.25">
      <c r="E832" s="113">
        <f t="shared" si="13"/>
        <v>337764</v>
      </c>
    </row>
    <row r="833" spans="5:5" x14ac:dyDescent="0.25">
      <c r="E833" s="113">
        <f t="shared" si="13"/>
        <v>337764</v>
      </c>
    </row>
    <row r="834" spans="5:5" x14ac:dyDescent="0.25">
      <c r="E834" s="113">
        <f t="shared" si="13"/>
        <v>337764</v>
      </c>
    </row>
    <row r="835" spans="5:5" x14ac:dyDescent="0.25">
      <c r="E835" s="113">
        <f t="shared" si="13"/>
        <v>337764</v>
      </c>
    </row>
    <row r="836" spans="5:5" x14ac:dyDescent="0.25">
      <c r="E836" s="113">
        <f t="shared" si="13"/>
        <v>337764</v>
      </c>
    </row>
    <row r="837" spans="5:5" x14ac:dyDescent="0.25">
      <c r="E837" s="113">
        <f t="shared" si="13"/>
        <v>337764</v>
      </c>
    </row>
    <row r="838" spans="5:5" x14ac:dyDescent="0.25">
      <c r="E838" s="113">
        <f t="shared" si="13"/>
        <v>337764</v>
      </c>
    </row>
    <row r="839" spans="5:5" x14ac:dyDescent="0.25">
      <c r="E839" s="113">
        <f t="shared" si="13"/>
        <v>337764</v>
      </c>
    </row>
    <row r="840" spans="5:5" x14ac:dyDescent="0.25">
      <c r="E840" s="113">
        <f t="shared" si="13"/>
        <v>337764</v>
      </c>
    </row>
    <row r="841" spans="5:5" x14ac:dyDescent="0.25">
      <c r="E841" s="113">
        <f t="shared" si="13"/>
        <v>337764</v>
      </c>
    </row>
    <row r="842" spans="5:5" x14ac:dyDescent="0.25">
      <c r="E842" s="113">
        <f t="shared" si="13"/>
        <v>337764</v>
      </c>
    </row>
    <row r="843" spans="5:5" x14ac:dyDescent="0.25">
      <c r="E843" s="113">
        <f t="shared" si="13"/>
        <v>337764</v>
      </c>
    </row>
    <row r="844" spans="5:5" x14ac:dyDescent="0.25">
      <c r="E844" s="113">
        <f t="shared" si="13"/>
        <v>337764</v>
      </c>
    </row>
    <row r="845" spans="5:5" x14ac:dyDescent="0.25">
      <c r="E845" s="113">
        <f t="shared" si="13"/>
        <v>337764</v>
      </c>
    </row>
    <row r="846" spans="5:5" x14ac:dyDescent="0.25">
      <c r="E846" s="113">
        <f t="shared" si="13"/>
        <v>337764</v>
      </c>
    </row>
    <row r="847" spans="5:5" x14ac:dyDescent="0.25">
      <c r="E847" s="113">
        <f t="shared" si="13"/>
        <v>337764</v>
      </c>
    </row>
    <row r="848" spans="5:5" x14ac:dyDescent="0.25">
      <c r="E848" s="113">
        <f t="shared" si="13"/>
        <v>337764</v>
      </c>
    </row>
    <row r="849" spans="5:5" x14ac:dyDescent="0.25">
      <c r="E849" s="113">
        <f t="shared" si="13"/>
        <v>337764</v>
      </c>
    </row>
    <row r="850" spans="5:5" x14ac:dyDescent="0.25">
      <c r="E850" s="113">
        <f t="shared" ref="E850:E913" si="14">E849+D850-C850</f>
        <v>337764</v>
      </c>
    </row>
    <row r="851" spans="5:5" x14ac:dyDescent="0.25">
      <c r="E851" s="113">
        <f t="shared" si="14"/>
        <v>337764</v>
      </c>
    </row>
    <row r="852" spans="5:5" x14ac:dyDescent="0.25">
      <c r="E852" s="113">
        <f t="shared" si="14"/>
        <v>337764</v>
      </c>
    </row>
    <row r="853" spans="5:5" x14ac:dyDescent="0.25">
      <c r="E853" s="113">
        <f t="shared" si="14"/>
        <v>337764</v>
      </c>
    </row>
    <row r="854" spans="5:5" x14ac:dyDescent="0.25">
      <c r="E854" s="113">
        <f t="shared" si="14"/>
        <v>337764</v>
      </c>
    </row>
    <row r="855" spans="5:5" x14ac:dyDescent="0.25">
      <c r="E855" s="113">
        <f t="shared" si="14"/>
        <v>337764</v>
      </c>
    </row>
    <row r="856" spans="5:5" x14ac:dyDescent="0.25">
      <c r="E856" s="113">
        <f t="shared" si="14"/>
        <v>337764</v>
      </c>
    </row>
    <row r="857" spans="5:5" x14ac:dyDescent="0.25">
      <c r="E857" s="113">
        <f t="shared" si="14"/>
        <v>337764</v>
      </c>
    </row>
    <row r="858" spans="5:5" x14ac:dyDescent="0.25">
      <c r="E858" s="113">
        <f t="shared" si="14"/>
        <v>337764</v>
      </c>
    </row>
    <row r="859" spans="5:5" x14ac:dyDescent="0.25">
      <c r="E859" s="113">
        <f t="shared" si="14"/>
        <v>337764</v>
      </c>
    </row>
    <row r="860" spans="5:5" x14ac:dyDescent="0.25">
      <c r="E860" s="113">
        <f t="shared" si="14"/>
        <v>337764</v>
      </c>
    </row>
    <row r="861" spans="5:5" x14ac:dyDescent="0.25">
      <c r="E861" s="113">
        <f t="shared" si="14"/>
        <v>337764</v>
      </c>
    </row>
    <row r="862" spans="5:5" x14ac:dyDescent="0.25">
      <c r="E862" s="113">
        <f t="shared" si="14"/>
        <v>337764</v>
      </c>
    </row>
    <row r="863" spans="5:5" x14ac:dyDescent="0.25">
      <c r="E863" s="113">
        <f t="shared" si="14"/>
        <v>337764</v>
      </c>
    </row>
    <row r="864" spans="5:5" x14ac:dyDescent="0.25">
      <c r="E864" s="113">
        <f t="shared" si="14"/>
        <v>337764</v>
      </c>
    </row>
    <row r="865" spans="5:5" x14ac:dyDescent="0.25">
      <c r="E865" s="113">
        <f t="shared" si="14"/>
        <v>337764</v>
      </c>
    </row>
    <row r="866" spans="5:5" x14ac:dyDescent="0.25">
      <c r="E866" s="113">
        <f t="shared" si="14"/>
        <v>337764</v>
      </c>
    </row>
    <row r="867" spans="5:5" x14ac:dyDescent="0.25">
      <c r="E867" s="113">
        <f t="shared" si="14"/>
        <v>337764</v>
      </c>
    </row>
    <row r="868" spans="5:5" x14ac:dyDescent="0.25">
      <c r="E868" s="113">
        <f t="shared" si="14"/>
        <v>337764</v>
      </c>
    </row>
    <row r="869" spans="5:5" x14ac:dyDescent="0.25">
      <c r="E869" s="113">
        <f t="shared" si="14"/>
        <v>337764</v>
      </c>
    </row>
    <row r="870" spans="5:5" x14ac:dyDescent="0.25">
      <c r="E870" s="113">
        <f t="shared" si="14"/>
        <v>337764</v>
      </c>
    </row>
    <row r="871" spans="5:5" x14ac:dyDescent="0.25">
      <c r="E871" s="113">
        <f t="shared" si="14"/>
        <v>337764</v>
      </c>
    </row>
    <row r="872" spans="5:5" x14ac:dyDescent="0.25">
      <c r="E872" s="113">
        <f t="shared" si="14"/>
        <v>337764</v>
      </c>
    </row>
    <row r="873" spans="5:5" x14ac:dyDescent="0.25">
      <c r="E873" s="113">
        <f t="shared" si="14"/>
        <v>337764</v>
      </c>
    </row>
    <row r="874" spans="5:5" x14ac:dyDescent="0.25">
      <c r="E874" s="113">
        <f t="shared" si="14"/>
        <v>337764</v>
      </c>
    </row>
    <row r="875" spans="5:5" x14ac:dyDescent="0.25">
      <c r="E875" s="113">
        <f t="shared" si="14"/>
        <v>337764</v>
      </c>
    </row>
    <row r="876" spans="5:5" x14ac:dyDescent="0.25">
      <c r="E876" s="113">
        <f t="shared" si="14"/>
        <v>337764</v>
      </c>
    </row>
    <row r="877" spans="5:5" x14ac:dyDescent="0.25">
      <c r="E877" s="113">
        <f t="shared" si="14"/>
        <v>337764</v>
      </c>
    </row>
    <row r="878" spans="5:5" x14ac:dyDescent="0.25">
      <c r="E878" s="113">
        <f t="shared" si="14"/>
        <v>337764</v>
      </c>
    </row>
    <row r="879" spans="5:5" x14ac:dyDescent="0.25">
      <c r="E879" s="113">
        <f t="shared" si="14"/>
        <v>337764</v>
      </c>
    </row>
    <row r="880" spans="5:5" x14ac:dyDescent="0.25">
      <c r="E880" s="113">
        <f t="shared" si="14"/>
        <v>337764</v>
      </c>
    </row>
    <row r="881" spans="5:5" x14ac:dyDescent="0.25">
      <c r="E881" s="113">
        <f t="shared" si="14"/>
        <v>337764</v>
      </c>
    </row>
    <row r="882" spans="5:5" x14ac:dyDescent="0.25">
      <c r="E882" s="113">
        <f t="shared" si="14"/>
        <v>337764</v>
      </c>
    </row>
    <row r="883" spans="5:5" x14ac:dyDescent="0.25">
      <c r="E883" s="113">
        <f t="shared" si="14"/>
        <v>337764</v>
      </c>
    </row>
    <row r="884" spans="5:5" x14ac:dyDescent="0.25">
      <c r="E884" s="113">
        <f t="shared" si="14"/>
        <v>337764</v>
      </c>
    </row>
    <row r="885" spans="5:5" x14ac:dyDescent="0.25">
      <c r="E885" s="113">
        <f t="shared" si="14"/>
        <v>337764</v>
      </c>
    </row>
    <row r="886" spans="5:5" x14ac:dyDescent="0.25">
      <c r="E886" s="113">
        <f t="shared" si="14"/>
        <v>337764</v>
      </c>
    </row>
    <row r="887" spans="5:5" x14ac:dyDescent="0.25">
      <c r="E887" s="113">
        <f t="shared" si="14"/>
        <v>337764</v>
      </c>
    </row>
    <row r="888" spans="5:5" x14ac:dyDescent="0.25">
      <c r="E888" s="113">
        <f t="shared" si="14"/>
        <v>337764</v>
      </c>
    </row>
    <row r="889" spans="5:5" x14ac:dyDescent="0.25">
      <c r="E889" s="113">
        <f t="shared" si="14"/>
        <v>337764</v>
      </c>
    </row>
    <row r="890" spans="5:5" x14ac:dyDescent="0.25">
      <c r="E890" s="113">
        <f t="shared" si="14"/>
        <v>337764</v>
      </c>
    </row>
    <row r="891" spans="5:5" x14ac:dyDescent="0.25">
      <c r="E891" s="113">
        <f t="shared" si="14"/>
        <v>337764</v>
      </c>
    </row>
    <row r="892" spans="5:5" x14ac:dyDescent="0.25">
      <c r="E892" s="113">
        <f t="shared" si="14"/>
        <v>337764</v>
      </c>
    </row>
    <row r="893" spans="5:5" x14ac:dyDescent="0.25">
      <c r="E893" s="113">
        <f t="shared" si="14"/>
        <v>337764</v>
      </c>
    </row>
    <row r="894" spans="5:5" x14ac:dyDescent="0.25">
      <c r="E894" s="113">
        <f t="shared" si="14"/>
        <v>337764</v>
      </c>
    </row>
    <row r="895" spans="5:5" x14ac:dyDescent="0.25">
      <c r="E895" s="113">
        <f t="shared" si="14"/>
        <v>337764</v>
      </c>
    </row>
    <row r="896" spans="5:5" x14ac:dyDescent="0.25">
      <c r="E896" s="113">
        <f t="shared" si="14"/>
        <v>337764</v>
      </c>
    </row>
    <row r="897" spans="5:5" x14ac:dyDescent="0.25">
      <c r="E897" s="113">
        <f t="shared" si="14"/>
        <v>337764</v>
      </c>
    </row>
    <row r="898" spans="5:5" x14ac:dyDescent="0.25">
      <c r="E898" s="113">
        <f t="shared" si="14"/>
        <v>337764</v>
      </c>
    </row>
    <row r="899" spans="5:5" x14ac:dyDescent="0.25">
      <c r="E899" s="113">
        <f t="shared" si="14"/>
        <v>337764</v>
      </c>
    </row>
    <row r="900" spans="5:5" x14ac:dyDescent="0.25">
      <c r="E900" s="113">
        <f t="shared" si="14"/>
        <v>337764</v>
      </c>
    </row>
    <row r="901" spans="5:5" x14ac:dyDescent="0.25">
      <c r="E901" s="113">
        <f t="shared" si="14"/>
        <v>337764</v>
      </c>
    </row>
    <row r="902" spans="5:5" x14ac:dyDescent="0.25">
      <c r="E902" s="113">
        <f t="shared" si="14"/>
        <v>337764</v>
      </c>
    </row>
    <row r="903" spans="5:5" x14ac:dyDescent="0.25">
      <c r="E903" s="113">
        <f t="shared" si="14"/>
        <v>337764</v>
      </c>
    </row>
    <row r="904" spans="5:5" x14ac:dyDescent="0.25">
      <c r="E904" s="113">
        <f t="shared" si="14"/>
        <v>337764</v>
      </c>
    </row>
    <row r="905" spans="5:5" x14ac:dyDescent="0.25">
      <c r="E905" s="113">
        <f t="shared" si="14"/>
        <v>337764</v>
      </c>
    </row>
    <row r="906" spans="5:5" x14ac:dyDescent="0.25">
      <c r="E906" s="113">
        <f t="shared" si="14"/>
        <v>337764</v>
      </c>
    </row>
    <row r="907" spans="5:5" x14ac:dyDescent="0.25">
      <c r="E907" s="113">
        <f t="shared" si="14"/>
        <v>337764</v>
      </c>
    </row>
    <row r="908" spans="5:5" x14ac:dyDescent="0.25">
      <c r="E908" s="113">
        <f t="shared" si="14"/>
        <v>337764</v>
      </c>
    </row>
    <row r="909" spans="5:5" x14ac:dyDescent="0.25">
      <c r="E909" s="113">
        <f t="shared" si="14"/>
        <v>337764</v>
      </c>
    </row>
    <row r="910" spans="5:5" x14ac:dyDescent="0.25">
      <c r="E910" s="113">
        <f t="shared" si="14"/>
        <v>337764</v>
      </c>
    </row>
    <row r="911" spans="5:5" x14ac:dyDescent="0.25">
      <c r="E911" s="113">
        <f t="shared" si="14"/>
        <v>337764</v>
      </c>
    </row>
    <row r="912" spans="5:5" x14ac:dyDescent="0.25">
      <c r="E912" s="113">
        <f t="shared" si="14"/>
        <v>337764</v>
      </c>
    </row>
    <row r="913" spans="5:5" x14ac:dyDescent="0.25">
      <c r="E913" s="113">
        <f t="shared" si="14"/>
        <v>337764</v>
      </c>
    </row>
    <row r="914" spans="5:5" x14ac:dyDescent="0.25">
      <c r="E914" s="113">
        <f t="shared" ref="E914:E977" si="15">E913+D914-C914</f>
        <v>337764</v>
      </c>
    </row>
    <row r="915" spans="5:5" x14ac:dyDescent="0.25">
      <c r="E915" s="113">
        <f t="shared" si="15"/>
        <v>337764</v>
      </c>
    </row>
    <row r="916" spans="5:5" x14ac:dyDescent="0.25">
      <c r="E916" s="113">
        <f t="shared" si="15"/>
        <v>337764</v>
      </c>
    </row>
    <row r="917" spans="5:5" x14ac:dyDescent="0.25">
      <c r="E917" s="113">
        <f t="shared" si="15"/>
        <v>337764</v>
      </c>
    </row>
    <row r="918" spans="5:5" x14ac:dyDescent="0.25">
      <c r="E918" s="113">
        <f t="shared" si="15"/>
        <v>337764</v>
      </c>
    </row>
    <row r="919" spans="5:5" x14ac:dyDescent="0.25">
      <c r="E919" s="113">
        <f t="shared" si="15"/>
        <v>337764</v>
      </c>
    </row>
    <row r="920" spans="5:5" x14ac:dyDescent="0.25">
      <c r="E920" s="113">
        <f t="shared" si="15"/>
        <v>337764</v>
      </c>
    </row>
    <row r="921" spans="5:5" x14ac:dyDescent="0.25">
      <c r="E921" s="113">
        <f t="shared" si="15"/>
        <v>337764</v>
      </c>
    </row>
    <row r="922" spans="5:5" x14ac:dyDescent="0.25">
      <c r="E922" s="113">
        <f t="shared" si="15"/>
        <v>337764</v>
      </c>
    </row>
    <row r="923" spans="5:5" x14ac:dyDescent="0.25">
      <c r="E923" s="113">
        <f t="shared" si="15"/>
        <v>337764</v>
      </c>
    </row>
    <row r="924" spans="5:5" x14ac:dyDescent="0.25">
      <c r="E924" s="113">
        <f t="shared" si="15"/>
        <v>337764</v>
      </c>
    </row>
    <row r="925" spans="5:5" x14ac:dyDescent="0.25">
      <c r="E925" s="113">
        <f t="shared" si="15"/>
        <v>337764</v>
      </c>
    </row>
    <row r="926" spans="5:5" x14ac:dyDescent="0.25">
      <c r="E926" s="113">
        <f t="shared" si="15"/>
        <v>337764</v>
      </c>
    </row>
    <row r="927" spans="5:5" x14ac:dyDescent="0.25">
      <c r="E927" s="113">
        <f t="shared" si="15"/>
        <v>337764</v>
      </c>
    </row>
    <row r="928" spans="5:5" x14ac:dyDescent="0.25">
      <c r="E928" s="113">
        <f t="shared" si="15"/>
        <v>337764</v>
      </c>
    </row>
    <row r="929" spans="5:5" x14ac:dyDescent="0.25">
      <c r="E929" s="113">
        <f t="shared" si="15"/>
        <v>337764</v>
      </c>
    </row>
    <row r="930" spans="5:5" x14ac:dyDescent="0.25">
      <c r="E930" s="113">
        <f t="shared" si="15"/>
        <v>337764</v>
      </c>
    </row>
    <row r="931" spans="5:5" x14ac:dyDescent="0.25">
      <c r="E931" s="113">
        <f t="shared" si="15"/>
        <v>337764</v>
      </c>
    </row>
    <row r="932" spans="5:5" x14ac:dyDescent="0.25">
      <c r="E932" s="113">
        <f t="shared" si="15"/>
        <v>337764</v>
      </c>
    </row>
    <row r="933" spans="5:5" x14ac:dyDescent="0.25">
      <c r="E933" s="113">
        <f t="shared" si="15"/>
        <v>337764</v>
      </c>
    </row>
    <row r="934" spans="5:5" x14ac:dyDescent="0.25">
      <c r="E934" s="113">
        <f t="shared" si="15"/>
        <v>337764</v>
      </c>
    </row>
    <row r="935" spans="5:5" x14ac:dyDescent="0.25">
      <c r="E935" s="113">
        <f t="shared" si="15"/>
        <v>337764</v>
      </c>
    </row>
    <row r="936" spans="5:5" x14ac:dyDescent="0.25">
      <c r="E936" s="113">
        <f t="shared" si="15"/>
        <v>337764</v>
      </c>
    </row>
    <row r="937" spans="5:5" x14ac:dyDescent="0.25">
      <c r="E937" s="113">
        <f t="shared" si="15"/>
        <v>337764</v>
      </c>
    </row>
    <row r="938" spans="5:5" x14ac:dyDescent="0.25">
      <c r="E938" s="113">
        <f t="shared" si="15"/>
        <v>337764</v>
      </c>
    </row>
    <row r="939" spans="5:5" x14ac:dyDescent="0.25">
      <c r="E939" s="113">
        <f t="shared" si="15"/>
        <v>337764</v>
      </c>
    </row>
    <row r="940" spans="5:5" x14ac:dyDescent="0.25">
      <c r="E940" s="113">
        <f t="shared" si="15"/>
        <v>337764</v>
      </c>
    </row>
    <row r="941" spans="5:5" x14ac:dyDescent="0.25">
      <c r="E941" s="113">
        <f t="shared" si="15"/>
        <v>337764</v>
      </c>
    </row>
    <row r="942" spans="5:5" x14ac:dyDescent="0.25">
      <c r="E942" s="113">
        <f t="shared" si="15"/>
        <v>337764</v>
      </c>
    </row>
    <row r="943" spans="5:5" x14ac:dyDescent="0.25">
      <c r="E943" s="113">
        <f t="shared" si="15"/>
        <v>337764</v>
      </c>
    </row>
    <row r="944" spans="5:5" x14ac:dyDescent="0.25">
      <c r="E944" s="113">
        <f t="shared" si="15"/>
        <v>337764</v>
      </c>
    </row>
    <row r="945" spans="5:5" x14ac:dyDescent="0.25">
      <c r="E945" s="113">
        <f t="shared" si="15"/>
        <v>337764</v>
      </c>
    </row>
    <row r="946" spans="5:5" x14ac:dyDescent="0.25">
      <c r="E946" s="113">
        <f t="shared" si="15"/>
        <v>337764</v>
      </c>
    </row>
    <row r="947" spans="5:5" x14ac:dyDescent="0.25">
      <c r="E947" s="113">
        <f t="shared" si="15"/>
        <v>337764</v>
      </c>
    </row>
    <row r="948" spans="5:5" x14ac:dyDescent="0.25">
      <c r="E948" s="113">
        <f t="shared" si="15"/>
        <v>337764</v>
      </c>
    </row>
    <row r="949" spans="5:5" x14ac:dyDescent="0.25">
      <c r="E949" s="113">
        <f t="shared" si="15"/>
        <v>337764</v>
      </c>
    </row>
    <row r="950" spans="5:5" x14ac:dyDescent="0.25">
      <c r="E950" s="113">
        <f t="shared" si="15"/>
        <v>337764</v>
      </c>
    </row>
    <row r="951" spans="5:5" x14ac:dyDescent="0.25">
      <c r="E951" s="113">
        <f t="shared" si="15"/>
        <v>337764</v>
      </c>
    </row>
    <row r="952" spans="5:5" x14ac:dyDescent="0.25">
      <c r="E952" s="113">
        <f t="shared" si="15"/>
        <v>337764</v>
      </c>
    </row>
    <row r="953" spans="5:5" x14ac:dyDescent="0.25">
      <c r="E953" s="113">
        <f t="shared" si="15"/>
        <v>337764</v>
      </c>
    </row>
    <row r="954" spans="5:5" x14ac:dyDescent="0.25">
      <c r="E954" s="113">
        <f t="shared" si="15"/>
        <v>337764</v>
      </c>
    </row>
    <row r="955" spans="5:5" x14ac:dyDescent="0.25">
      <c r="E955" s="113">
        <f t="shared" si="15"/>
        <v>337764</v>
      </c>
    </row>
    <row r="956" spans="5:5" x14ac:dyDescent="0.25">
      <c r="E956" s="113">
        <f t="shared" si="15"/>
        <v>337764</v>
      </c>
    </row>
    <row r="957" spans="5:5" x14ac:dyDescent="0.25">
      <c r="E957" s="113">
        <f t="shared" si="15"/>
        <v>337764</v>
      </c>
    </row>
    <row r="958" spans="5:5" x14ac:dyDescent="0.25">
      <c r="E958" s="113">
        <f t="shared" si="15"/>
        <v>337764</v>
      </c>
    </row>
    <row r="959" spans="5:5" x14ac:dyDescent="0.25">
      <c r="E959" s="113">
        <f t="shared" si="15"/>
        <v>337764</v>
      </c>
    </row>
    <row r="960" spans="5:5" x14ac:dyDescent="0.25">
      <c r="E960" s="113">
        <f t="shared" si="15"/>
        <v>337764</v>
      </c>
    </row>
    <row r="961" spans="5:5" x14ac:dyDescent="0.25">
      <c r="E961" s="113">
        <f t="shared" si="15"/>
        <v>337764</v>
      </c>
    </row>
    <row r="962" spans="5:5" x14ac:dyDescent="0.25">
      <c r="E962" s="113">
        <f t="shared" si="15"/>
        <v>337764</v>
      </c>
    </row>
    <row r="963" spans="5:5" x14ac:dyDescent="0.25">
      <c r="E963" s="113">
        <f t="shared" si="15"/>
        <v>337764</v>
      </c>
    </row>
    <row r="964" spans="5:5" x14ac:dyDescent="0.25">
      <c r="E964" s="113">
        <f t="shared" si="15"/>
        <v>337764</v>
      </c>
    </row>
    <row r="965" spans="5:5" x14ac:dyDescent="0.25">
      <c r="E965" s="113">
        <f t="shared" si="15"/>
        <v>337764</v>
      </c>
    </row>
    <row r="966" spans="5:5" x14ac:dyDescent="0.25">
      <c r="E966" s="113">
        <f t="shared" si="15"/>
        <v>337764</v>
      </c>
    </row>
    <row r="967" spans="5:5" x14ac:dyDescent="0.25">
      <c r="E967" s="113">
        <f t="shared" si="15"/>
        <v>337764</v>
      </c>
    </row>
    <row r="968" spans="5:5" x14ac:dyDescent="0.25">
      <c r="E968" s="113">
        <f t="shared" si="15"/>
        <v>337764</v>
      </c>
    </row>
    <row r="969" spans="5:5" x14ac:dyDescent="0.25">
      <c r="E969" s="113">
        <f t="shared" si="15"/>
        <v>337764</v>
      </c>
    </row>
    <row r="970" spans="5:5" x14ac:dyDescent="0.25">
      <c r="E970" s="113">
        <f t="shared" si="15"/>
        <v>337764</v>
      </c>
    </row>
    <row r="971" spans="5:5" x14ac:dyDescent="0.25">
      <c r="E971" s="113">
        <f t="shared" si="15"/>
        <v>337764</v>
      </c>
    </row>
    <row r="972" spans="5:5" x14ac:dyDescent="0.25">
      <c r="E972" s="113">
        <f t="shared" si="15"/>
        <v>337764</v>
      </c>
    </row>
    <row r="973" spans="5:5" x14ac:dyDescent="0.25">
      <c r="E973" s="113">
        <f t="shared" si="15"/>
        <v>337764</v>
      </c>
    </row>
    <row r="974" spans="5:5" x14ac:dyDescent="0.25">
      <c r="E974" s="113">
        <f t="shared" si="15"/>
        <v>337764</v>
      </c>
    </row>
    <row r="975" spans="5:5" x14ac:dyDescent="0.25">
      <c r="E975" s="113">
        <f t="shared" si="15"/>
        <v>337764</v>
      </c>
    </row>
    <row r="976" spans="5:5" x14ac:dyDescent="0.25">
      <c r="E976" s="113">
        <f t="shared" si="15"/>
        <v>337764</v>
      </c>
    </row>
    <row r="977" spans="5:5" x14ac:dyDescent="0.25">
      <c r="E977" s="113">
        <f t="shared" si="15"/>
        <v>337764</v>
      </c>
    </row>
    <row r="978" spans="5:5" x14ac:dyDescent="0.25">
      <c r="E978" s="113">
        <f t="shared" ref="E978:E997" si="16">E977+D978-C978</f>
        <v>337764</v>
      </c>
    </row>
    <row r="979" spans="5:5" x14ac:dyDescent="0.25">
      <c r="E979" s="113">
        <f t="shared" si="16"/>
        <v>337764</v>
      </c>
    </row>
    <row r="980" spans="5:5" x14ac:dyDescent="0.25">
      <c r="E980" s="113">
        <f t="shared" si="16"/>
        <v>337764</v>
      </c>
    </row>
    <row r="981" spans="5:5" x14ac:dyDescent="0.25">
      <c r="E981" s="113">
        <f t="shared" si="16"/>
        <v>337764</v>
      </c>
    </row>
    <row r="982" spans="5:5" x14ac:dyDescent="0.25">
      <c r="E982" s="113">
        <f t="shared" si="16"/>
        <v>337764</v>
      </c>
    </row>
    <row r="983" spans="5:5" x14ac:dyDescent="0.25">
      <c r="E983" s="113">
        <f t="shared" si="16"/>
        <v>337764</v>
      </c>
    </row>
    <row r="984" spans="5:5" x14ac:dyDescent="0.25">
      <c r="E984" s="113">
        <f t="shared" si="16"/>
        <v>337764</v>
      </c>
    </row>
    <row r="985" spans="5:5" x14ac:dyDescent="0.25">
      <c r="E985" s="113">
        <f t="shared" si="16"/>
        <v>337764</v>
      </c>
    </row>
    <row r="986" spans="5:5" x14ac:dyDescent="0.25">
      <c r="E986" s="113">
        <f t="shared" si="16"/>
        <v>337764</v>
      </c>
    </row>
    <row r="987" spans="5:5" x14ac:dyDescent="0.25">
      <c r="E987" s="113">
        <f t="shared" si="16"/>
        <v>337764</v>
      </c>
    </row>
    <row r="988" spans="5:5" x14ac:dyDescent="0.25">
      <c r="E988" s="113">
        <f t="shared" si="16"/>
        <v>337764</v>
      </c>
    </row>
    <row r="989" spans="5:5" x14ac:dyDescent="0.25">
      <c r="E989" s="113">
        <f t="shared" si="16"/>
        <v>337764</v>
      </c>
    </row>
    <row r="990" spans="5:5" x14ac:dyDescent="0.25">
      <c r="E990" s="113">
        <f t="shared" si="16"/>
        <v>337764</v>
      </c>
    </row>
    <row r="991" spans="5:5" x14ac:dyDescent="0.25">
      <c r="E991" s="113">
        <f t="shared" si="16"/>
        <v>337764</v>
      </c>
    </row>
    <row r="992" spans="5:5" x14ac:dyDescent="0.25">
      <c r="E992" s="113">
        <f t="shared" si="16"/>
        <v>337764</v>
      </c>
    </row>
    <row r="993" spans="5:5" x14ac:dyDescent="0.25">
      <c r="E993" s="113">
        <f t="shared" si="16"/>
        <v>337764</v>
      </c>
    </row>
    <row r="994" spans="5:5" x14ac:dyDescent="0.25">
      <c r="E994" s="113">
        <f t="shared" si="16"/>
        <v>337764</v>
      </c>
    </row>
    <row r="995" spans="5:5" x14ac:dyDescent="0.25">
      <c r="E995" s="113">
        <f t="shared" si="16"/>
        <v>337764</v>
      </c>
    </row>
    <row r="996" spans="5:5" x14ac:dyDescent="0.25">
      <c r="E996" s="113">
        <f t="shared" si="16"/>
        <v>337764</v>
      </c>
    </row>
    <row r="997" spans="5:5" x14ac:dyDescent="0.25">
      <c r="E997" s="113">
        <f t="shared" si="16"/>
        <v>337764</v>
      </c>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G167"/>
  <sheetViews>
    <sheetView topLeftCell="A145" zoomScale="110" zoomScaleNormal="110" workbookViewId="0">
      <selection activeCell="E167" sqref="E167"/>
    </sheetView>
  </sheetViews>
  <sheetFormatPr defaultColWidth="8.85546875" defaultRowHeight="15" x14ac:dyDescent="0.25"/>
  <cols>
    <col min="1" max="1" width="12.42578125" style="5" customWidth="1"/>
    <col min="2" max="2" width="36.28515625" style="5" customWidth="1"/>
    <col min="3" max="3" width="11.5703125" style="10" bestFit="1" customWidth="1"/>
    <col min="4" max="4" width="12.42578125" style="10" bestFit="1" customWidth="1"/>
    <col min="5" max="5" width="11.28515625" style="6" customWidth="1"/>
    <col min="6" max="6" width="15.5703125" style="5" customWidth="1"/>
    <col min="7" max="7" width="11.140625" style="10" bestFit="1" customWidth="1"/>
    <col min="8" max="16384" width="8.85546875" style="5"/>
  </cols>
  <sheetData>
    <row r="1" spans="1:7" s="101" customFormat="1" ht="31.5" x14ac:dyDescent="0.25">
      <c r="A1" s="45" t="s">
        <v>1</v>
      </c>
      <c r="B1" s="45" t="s">
        <v>3</v>
      </c>
      <c r="C1" s="125" t="s">
        <v>4365</v>
      </c>
      <c r="D1" s="125" t="s">
        <v>4364</v>
      </c>
      <c r="E1" s="135" t="s">
        <v>4366</v>
      </c>
      <c r="G1" s="54"/>
    </row>
    <row r="2" spans="1:7" s="101" customFormat="1" ht="15.75" x14ac:dyDescent="0.25">
      <c r="A2" s="124"/>
      <c r="B2" s="127" t="s">
        <v>4654</v>
      </c>
      <c r="C2" s="126"/>
      <c r="D2" s="126">
        <v>7250</v>
      </c>
      <c r="E2" s="136">
        <f>D2</f>
        <v>7250</v>
      </c>
      <c r="G2" s="54"/>
    </row>
    <row r="3" spans="1:7" s="101" customFormat="1" ht="15.75" x14ac:dyDescent="0.25">
      <c r="A3" s="124"/>
      <c r="B3" s="127" t="s">
        <v>32</v>
      </c>
      <c r="C3" s="126"/>
      <c r="D3" s="126">
        <v>5000</v>
      </c>
      <c r="E3" s="136">
        <f t="shared" ref="E3:E29" si="0">E2+D3-C3</f>
        <v>12250</v>
      </c>
      <c r="G3" s="54"/>
    </row>
    <row r="4" spans="1:7" s="101" customFormat="1" ht="15.75" x14ac:dyDescent="0.25">
      <c r="A4" s="124"/>
      <c r="B4" s="127" t="s">
        <v>32</v>
      </c>
      <c r="C4" s="126"/>
      <c r="D4" s="126">
        <v>42000</v>
      </c>
      <c r="E4" s="136">
        <f t="shared" si="0"/>
        <v>54250</v>
      </c>
      <c r="G4" s="54"/>
    </row>
    <row r="5" spans="1:7" s="101" customFormat="1" ht="15.75" x14ac:dyDescent="0.25">
      <c r="A5" s="124"/>
      <c r="B5" s="127" t="s">
        <v>32</v>
      </c>
      <c r="C5" s="126"/>
      <c r="D5" s="126">
        <v>60000</v>
      </c>
      <c r="E5" s="136">
        <f t="shared" si="0"/>
        <v>114250</v>
      </c>
      <c r="G5" s="54"/>
    </row>
    <row r="6" spans="1:7" s="101" customFormat="1" ht="15.75" x14ac:dyDescent="0.25">
      <c r="A6" s="124"/>
      <c r="B6" s="127" t="s">
        <v>32</v>
      </c>
      <c r="C6" s="126"/>
      <c r="D6" s="126">
        <v>25000</v>
      </c>
      <c r="E6" s="136">
        <f t="shared" si="0"/>
        <v>139250</v>
      </c>
      <c r="G6" s="54"/>
    </row>
    <row r="7" spans="1:7" s="101" customFormat="1" ht="15.75" x14ac:dyDescent="0.25">
      <c r="A7" s="124"/>
      <c r="B7" s="127" t="s">
        <v>6338</v>
      </c>
      <c r="C7" s="126">
        <v>47150</v>
      </c>
      <c r="D7" s="126"/>
      <c r="E7" s="136">
        <f t="shared" si="0"/>
        <v>92100</v>
      </c>
      <c r="G7" s="54"/>
    </row>
    <row r="8" spans="1:7" s="101" customFormat="1" ht="15.75" x14ac:dyDescent="0.25">
      <c r="A8" s="144">
        <v>43907</v>
      </c>
      <c r="B8" s="127" t="s">
        <v>6324</v>
      </c>
      <c r="C8" s="126">
        <v>50500</v>
      </c>
      <c r="D8" s="126"/>
      <c r="E8" s="136">
        <f t="shared" si="0"/>
        <v>41600</v>
      </c>
      <c r="G8" s="54"/>
    </row>
    <row r="9" spans="1:7" s="101" customFormat="1" ht="15.75" x14ac:dyDescent="0.25">
      <c r="A9" s="144">
        <v>43908</v>
      </c>
      <c r="B9" s="127" t="s">
        <v>6324</v>
      </c>
      <c r="C9" s="126">
        <v>21600</v>
      </c>
      <c r="D9" s="126"/>
      <c r="E9" s="136">
        <f t="shared" si="0"/>
        <v>20000</v>
      </c>
      <c r="F9" s="101" t="s">
        <v>6339</v>
      </c>
      <c r="G9" s="54"/>
    </row>
    <row r="10" spans="1:7" s="101" customFormat="1" ht="15.75" x14ac:dyDescent="0.25">
      <c r="A10" s="144">
        <v>43909</v>
      </c>
      <c r="B10" s="127" t="s">
        <v>6324</v>
      </c>
      <c r="C10" s="126">
        <v>8000</v>
      </c>
      <c r="D10" s="126"/>
      <c r="E10" s="136">
        <f t="shared" si="0"/>
        <v>12000</v>
      </c>
      <c r="F10" s="101" t="s">
        <v>6339</v>
      </c>
      <c r="G10" s="54"/>
    </row>
    <row r="11" spans="1:7" ht="15.75" x14ac:dyDescent="0.25">
      <c r="A11" s="144">
        <v>43908</v>
      </c>
      <c r="B11" s="34" t="s">
        <v>6342</v>
      </c>
      <c r="C11" s="8">
        <v>2400</v>
      </c>
      <c r="D11" s="8"/>
      <c r="E11" s="136">
        <f t="shared" si="0"/>
        <v>9600</v>
      </c>
      <c r="F11" s="101" t="s">
        <v>6339</v>
      </c>
      <c r="G11" s="47"/>
    </row>
    <row r="12" spans="1:7" ht="15.75" x14ac:dyDescent="0.25">
      <c r="A12" s="144">
        <v>43994</v>
      </c>
      <c r="B12" s="34" t="s">
        <v>3924</v>
      </c>
      <c r="C12" s="8">
        <v>10170</v>
      </c>
      <c r="D12" s="8"/>
      <c r="E12" s="136">
        <f t="shared" si="0"/>
        <v>-570</v>
      </c>
      <c r="G12" s="47"/>
    </row>
    <row r="13" spans="1:7" ht="15.75" x14ac:dyDescent="0.25">
      <c r="A13" s="144">
        <v>43994</v>
      </c>
      <c r="B13" s="34"/>
      <c r="C13" s="8"/>
      <c r="D13" s="8">
        <v>570</v>
      </c>
      <c r="E13" s="136">
        <f t="shared" si="0"/>
        <v>0</v>
      </c>
      <c r="G13" s="5"/>
    </row>
    <row r="14" spans="1:7" ht="15.75" x14ac:dyDescent="0.25">
      <c r="A14" s="144">
        <v>43994</v>
      </c>
      <c r="B14" s="34" t="s">
        <v>295</v>
      </c>
      <c r="C14" s="8"/>
      <c r="D14" s="8">
        <v>5000</v>
      </c>
      <c r="E14" s="136">
        <f t="shared" si="0"/>
        <v>5000</v>
      </c>
      <c r="G14" s="47"/>
    </row>
    <row r="15" spans="1:7" ht="15.75" x14ac:dyDescent="0.25">
      <c r="A15" s="144">
        <v>44000</v>
      </c>
      <c r="B15" s="34" t="s">
        <v>295</v>
      </c>
      <c r="C15" s="8"/>
      <c r="D15" s="8">
        <v>600</v>
      </c>
      <c r="E15" s="136">
        <f t="shared" si="0"/>
        <v>5600</v>
      </c>
      <c r="G15" s="5"/>
    </row>
    <row r="16" spans="1:7" ht="15.75" x14ac:dyDescent="0.25">
      <c r="A16" s="144">
        <v>44005</v>
      </c>
      <c r="B16" s="34" t="s">
        <v>295</v>
      </c>
      <c r="C16" s="8"/>
      <c r="D16" s="14">
        <v>2000</v>
      </c>
      <c r="E16" s="136">
        <f t="shared" si="0"/>
        <v>7600</v>
      </c>
      <c r="G16" s="5"/>
    </row>
    <row r="17" spans="1:7" ht="15.75" x14ac:dyDescent="0.25">
      <c r="A17" s="144">
        <v>44009</v>
      </c>
      <c r="B17" s="34" t="s">
        <v>439</v>
      </c>
      <c r="C17" s="8"/>
      <c r="D17" s="14">
        <v>3000</v>
      </c>
      <c r="E17" s="136">
        <f t="shared" si="0"/>
        <v>10600</v>
      </c>
      <c r="G17" s="5"/>
    </row>
    <row r="18" spans="1:7" ht="15.75" x14ac:dyDescent="0.25">
      <c r="A18" s="144">
        <v>44011</v>
      </c>
      <c r="B18" s="34" t="s">
        <v>295</v>
      </c>
      <c r="C18" s="8"/>
      <c r="D18" s="8">
        <v>5000</v>
      </c>
      <c r="E18" s="136">
        <f t="shared" si="0"/>
        <v>15600</v>
      </c>
      <c r="G18" s="5"/>
    </row>
    <row r="19" spans="1:7" ht="15.75" x14ac:dyDescent="0.25">
      <c r="A19" s="144">
        <v>44013</v>
      </c>
      <c r="B19" s="52" t="s">
        <v>6653</v>
      </c>
      <c r="C19" s="8"/>
      <c r="D19" s="8">
        <v>15000</v>
      </c>
      <c r="E19" s="136">
        <f t="shared" si="0"/>
        <v>30600</v>
      </c>
      <c r="F19" s="101" t="s">
        <v>6339</v>
      </c>
    </row>
    <row r="20" spans="1:7" ht="15.75" x14ac:dyDescent="0.25">
      <c r="A20" s="144">
        <v>44017</v>
      </c>
      <c r="B20" s="52"/>
      <c r="C20" s="8">
        <v>26950</v>
      </c>
      <c r="D20" s="8"/>
      <c r="E20" s="136">
        <f t="shared" si="0"/>
        <v>3650</v>
      </c>
      <c r="F20" s="101" t="s">
        <v>6339</v>
      </c>
    </row>
    <row r="21" spans="1:7" ht="15.75" x14ac:dyDescent="0.25">
      <c r="A21" s="144">
        <v>44034</v>
      </c>
      <c r="B21" s="34" t="s">
        <v>295</v>
      </c>
      <c r="C21" s="8"/>
      <c r="D21" s="8">
        <v>8000</v>
      </c>
      <c r="E21" s="136">
        <f t="shared" si="0"/>
        <v>11650</v>
      </c>
    </row>
    <row r="22" spans="1:7" ht="15.75" x14ac:dyDescent="0.25">
      <c r="A22" s="144">
        <v>44034</v>
      </c>
      <c r="B22" s="34" t="s">
        <v>5634</v>
      </c>
      <c r="C22" s="8">
        <v>2950</v>
      </c>
      <c r="D22" s="8"/>
      <c r="E22" s="136">
        <f t="shared" si="0"/>
        <v>8700</v>
      </c>
    </row>
    <row r="23" spans="1:7" ht="15.75" x14ac:dyDescent="0.25">
      <c r="A23" s="144">
        <v>44034</v>
      </c>
      <c r="B23" s="34" t="s">
        <v>6713</v>
      </c>
      <c r="C23" s="8">
        <v>6700</v>
      </c>
      <c r="D23" s="8"/>
      <c r="E23" s="136">
        <f t="shared" si="0"/>
        <v>2000</v>
      </c>
    </row>
    <row r="24" spans="1:7" ht="15.75" x14ac:dyDescent="0.25">
      <c r="A24" s="144">
        <v>44016</v>
      </c>
      <c r="B24" s="34" t="s">
        <v>6753</v>
      </c>
      <c r="C24" s="8"/>
      <c r="D24" s="8">
        <v>400</v>
      </c>
      <c r="E24" s="136">
        <f t="shared" si="0"/>
        <v>2400</v>
      </c>
    </row>
    <row r="25" spans="1:7" ht="15.75" x14ac:dyDescent="0.25">
      <c r="A25" s="144">
        <v>44016</v>
      </c>
      <c r="B25" s="34" t="s">
        <v>295</v>
      </c>
      <c r="C25" s="8"/>
      <c r="D25" s="8">
        <v>5000</v>
      </c>
      <c r="E25" s="136">
        <f t="shared" si="0"/>
        <v>7400</v>
      </c>
    </row>
    <row r="26" spans="1:7" ht="15.75" x14ac:dyDescent="0.25">
      <c r="A26" s="144">
        <v>44018</v>
      </c>
      <c r="B26" s="34" t="s">
        <v>295</v>
      </c>
      <c r="C26" s="8"/>
      <c r="D26" s="8">
        <v>10000</v>
      </c>
      <c r="E26" s="136">
        <f t="shared" si="0"/>
        <v>17400</v>
      </c>
    </row>
    <row r="27" spans="1:7" ht="15.75" x14ac:dyDescent="0.25">
      <c r="A27" s="144">
        <v>44077</v>
      </c>
      <c r="B27" s="34" t="s">
        <v>295</v>
      </c>
      <c r="C27" s="8"/>
      <c r="D27" s="8">
        <v>10000</v>
      </c>
      <c r="E27" s="136">
        <f t="shared" si="0"/>
        <v>27400</v>
      </c>
      <c r="F27" s="101" t="s">
        <v>6339</v>
      </c>
    </row>
    <row r="28" spans="1:7" ht="15.75" x14ac:dyDescent="0.25">
      <c r="A28" s="144">
        <v>44081</v>
      </c>
      <c r="B28" s="34" t="s">
        <v>5830</v>
      </c>
      <c r="C28" s="8"/>
      <c r="D28" s="8">
        <v>25000</v>
      </c>
      <c r="E28" s="136">
        <f t="shared" si="0"/>
        <v>52400</v>
      </c>
      <c r="F28" s="101" t="s">
        <v>6339</v>
      </c>
    </row>
    <row r="29" spans="1:7" ht="15.75" x14ac:dyDescent="0.25">
      <c r="A29" s="144">
        <v>44082</v>
      </c>
      <c r="B29" s="34" t="s">
        <v>3924</v>
      </c>
      <c r="C29" s="8">
        <v>27875</v>
      </c>
      <c r="D29" s="8"/>
      <c r="E29" s="136">
        <f t="shared" si="0"/>
        <v>24525</v>
      </c>
    </row>
    <row r="30" spans="1:7" ht="15.75" x14ac:dyDescent="0.25">
      <c r="A30" s="144">
        <v>44082</v>
      </c>
      <c r="B30" s="34" t="s">
        <v>295</v>
      </c>
      <c r="C30" s="8"/>
      <c r="D30" s="8">
        <v>7000</v>
      </c>
      <c r="E30" s="136">
        <f t="shared" ref="E30:E115" si="1">E29+D30-C30</f>
        <v>31525</v>
      </c>
    </row>
    <row r="31" spans="1:7" ht="15.75" x14ac:dyDescent="0.25">
      <c r="A31" s="144">
        <v>44082</v>
      </c>
      <c r="B31" s="34" t="s">
        <v>6865</v>
      </c>
      <c r="C31" s="8">
        <v>5160</v>
      </c>
      <c r="D31" s="8"/>
      <c r="E31" s="136">
        <f t="shared" si="1"/>
        <v>26365</v>
      </c>
    </row>
    <row r="32" spans="1:7" ht="15.75" x14ac:dyDescent="0.25">
      <c r="A32" s="144">
        <v>44082</v>
      </c>
      <c r="B32" s="34" t="s">
        <v>6864</v>
      </c>
      <c r="C32" s="8">
        <v>4840</v>
      </c>
      <c r="D32" s="8"/>
      <c r="E32" s="136">
        <f t="shared" si="1"/>
        <v>21525</v>
      </c>
    </row>
    <row r="33" spans="1:6" ht="15.75" x14ac:dyDescent="0.25">
      <c r="A33" s="144">
        <v>44097</v>
      </c>
      <c r="B33" s="52" t="s">
        <v>6947</v>
      </c>
      <c r="C33" s="8">
        <v>15020</v>
      </c>
      <c r="D33" s="8"/>
      <c r="E33" s="136">
        <f t="shared" si="1"/>
        <v>6505</v>
      </c>
    </row>
    <row r="34" spans="1:6" ht="15.75" x14ac:dyDescent="0.25">
      <c r="A34" s="144">
        <v>44097</v>
      </c>
      <c r="B34" s="34" t="s">
        <v>4370</v>
      </c>
      <c r="C34" s="140">
        <v>6905</v>
      </c>
      <c r="D34" s="8"/>
      <c r="E34" s="136">
        <f t="shared" si="1"/>
        <v>-400</v>
      </c>
    </row>
    <row r="35" spans="1:6" ht="15.75" x14ac:dyDescent="0.25">
      <c r="A35" s="144">
        <v>44098</v>
      </c>
      <c r="B35" s="52" t="s">
        <v>295</v>
      </c>
      <c r="C35" s="14"/>
      <c r="D35" s="8">
        <v>5000</v>
      </c>
      <c r="E35" s="136">
        <f t="shared" si="1"/>
        <v>4600</v>
      </c>
    </row>
    <row r="36" spans="1:6" ht="15.75" x14ac:dyDescent="0.25">
      <c r="A36" s="144">
        <v>44099</v>
      </c>
      <c r="B36" s="52" t="s">
        <v>6969</v>
      </c>
      <c r="C36" s="14"/>
      <c r="D36" s="8">
        <v>5000</v>
      </c>
      <c r="E36" s="136">
        <f t="shared" si="1"/>
        <v>9600</v>
      </c>
    </row>
    <row r="37" spans="1:6" ht="15.75" x14ac:dyDescent="0.25">
      <c r="A37" s="144">
        <v>44102</v>
      </c>
      <c r="B37" s="48" t="s">
        <v>6984</v>
      </c>
      <c r="D37" s="8">
        <v>5000</v>
      </c>
      <c r="E37" s="136">
        <f t="shared" si="1"/>
        <v>14600</v>
      </c>
      <c r="F37" s="5" t="s">
        <v>6985</v>
      </c>
    </row>
    <row r="38" spans="1:6" ht="15.75" x14ac:dyDescent="0.25">
      <c r="A38" s="144">
        <v>44109</v>
      </c>
      <c r="B38" s="48" t="s">
        <v>295</v>
      </c>
      <c r="D38" s="10">
        <v>5000</v>
      </c>
      <c r="E38" s="136">
        <f t="shared" si="1"/>
        <v>19600</v>
      </c>
      <c r="F38" s="5" t="s">
        <v>6339</v>
      </c>
    </row>
    <row r="39" spans="1:6" ht="15.75" x14ac:dyDescent="0.25">
      <c r="A39" s="144">
        <v>44113</v>
      </c>
      <c r="B39" s="48" t="s">
        <v>295</v>
      </c>
      <c r="D39" s="10">
        <v>5000</v>
      </c>
      <c r="E39" s="136">
        <f t="shared" si="1"/>
        <v>24600</v>
      </c>
      <c r="F39" s="5" t="s">
        <v>6339</v>
      </c>
    </row>
    <row r="40" spans="1:6" ht="15.75" x14ac:dyDescent="0.25">
      <c r="A40" s="144">
        <v>44114</v>
      </c>
      <c r="B40" s="48" t="s">
        <v>295</v>
      </c>
      <c r="D40" s="10">
        <v>100000</v>
      </c>
      <c r="E40" s="136">
        <f t="shared" si="1"/>
        <v>124600</v>
      </c>
      <c r="F40" s="5" t="s">
        <v>6339</v>
      </c>
    </row>
    <row r="41" spans="1:6" ht="15.75" x14ac:dyDescent="0.25">
      <c r="A41" s="144">
        <v>44116</v>
      </c>
      <c r="B41" s="52" t="s">
        <v>7084</v>
      </c>
      <c r="C41" s="8">
        <v>1000</v>
      </c>
      <c r="D41" s="8"/>
      <c r="E41" s="136">
        <f t="shared" si="1"/>
        <v>123600</v>
      </c>
    </row>
    <row r="42" spans="1:6" ht="15.75" x14ac:dyDescent="0.25">
      <c r="A42" s="144">
        <v>44124</v>
      </c>
      <c r="B42" s="52" t="s">
        <v>7117</v>
      </c>
      <c r="C42" s="8"/>
      <c r="D42" s="8">
        <v>10000</v>
      </c>
      <c r="E42" s="136">
        <f t="shared" si="1"/>
        <v>133600</v>
      </c>
    </row>
    <row r="43" spans="1:6" ht="15.75" x14ac:dyDescent="0.25">
      <c r="A43" s="144">
        <v>44127</v>
      </c>
      <c r="B43" s="52" t="s">
        <v>7126</v>
      </c>
      <c r="C43" s="8"/>
      <c r="D43" s="8">
        <v>5000</v>
      </c>
      <c r="E43" s="136">
        <f t="shared" si="1"/>
        <v>138600</v>
      </c>
      <c r="F43" s="5" t="s">
        <v>6339</v>
      </c>
    </row>
    <row r="44" spans="1:6" ht="15.75" x14ac:dyDescent="0.25">
      <c r="A44" s="144">
        <v>44131</v>
      </c>
      <c r="B44" s="52" t="s">
        <v>7143</v>
      </c>
      <c r="C44" s="8">
        <v>96280</v>
      </c>
      <c r="D44" s="8"/>
      <c r="E44" s="136">
        <f t="shared" si="1"/>
        <v>42320</v>
      </c>
    </row>
    <row r="45" spans="1:6" ht="15.75" x14ac:dyDescent="0.25">
      <c r="A45" s="144">
        <v>44131</v>
      </c>
      <c r="B45" s="52" t="s">
        <v>7144</v>
      </c>
      <c r="C45" s="8">
        <v>7664</v>
      </c>
      <c r="D45" s="8"/>
      <c r="E45" s="136">
        <f t="shared" si="1"/>
        <v>34656</v>
      </c>
    </row>
    <row r="46" spans="1:6" ht="15.75" x14ac:dyDescent="0.25">
      <c r="A46" s="144">
        <v>44131</v>
      </c>
      <c r="B46" s="52" t="s">
        <v>4368</v>
      </c>
      <c r="C46" s="8">
        <v>25000</v>
      </c>
      <c r="D46" s="8"/>
      <c r="E46" s="136">
        <f t="shared" si="1"/>
        <v>9656</v>
      </c>
    </row>
    <row r="47" spans="1:6" ht="15.75" x14ac:dyDescent="0.25">
      <c r="A47" s="144">
        <v>44138</v>
      </c>
      <c r="B47" s="52" t="s">
        <v>7174</v>
      </c>
      <c r="C47" s="8"/>
      <c r="D47" s="8">
        <v>5000</v>
      </c>
      <c r="E47" s="136">
        <f t="shared" si="1"/>
        <v>14656</v>
      </c>
      <c r="F47" s="5" t="s">
        <v>6339</v>
      </c>
    </row>
    <row r="48" spans="1:6" ht="15.75" x14ac:dyDescent="0.25">
      <c r="A48" s="144">
        <v>44139</v>
      </c>
      <c r="B48" s="52" t="s">
        <v>295</v>
      </c>
      <c r="C48" s="8"/>
      <c r="D48" s="8">
        <v>10000</v>
      </c>
      <c r="E48" s="136">
        <f t="shared" si="1"/>
        <v>24656</v>
      </c>
    </row>
    <row r="49" spans="1:5" ht="15.75" x14ac:dyDescent="0.25">
      <c r="A49" s="144">
        <v>44155</v>
      </c>
      <c r="B49" s="52" t="s">
        <v>4632</v>
      </c>
      <c r="C49" s="8">
        <v>16075</v>
      </c>
      <c r="D49" s="8"/>
      <c r="E49" s="136">
        <f t="shared" si="1"/>
        <v>8581</v>
      </c>
    </row>
    <row r="50" spans="1:5" ht="15.75" x14ac:dyDescent="0.25">
      <c r="A50" s="144">
        <v>44159</v>
      </c>
      <c r="B50" s="52" t="s">
        <v>7239</v>
      </c>
      <c r="C50" s="8">
        <v>3000</v>
      </c>
      <c r="D50" s="8"/>
      <c r="E50" s="136">
        <f t="shared" si="1"/>
        <v>5581</v>
      </c>
    </row>
    <row r="51" spans="1:5" ht="15.75" x14ac:dyDescent="0.25">
      <c r="A51" s="144">
        <v>44155</v>
      </c>
      <c r="B51" s="52" t="s">
        <v>295</v>
      </c>
      <c r="C51" s="8"/>
      <c r="D51" s="8">
        <v>5000</v>
      </c>
      <c r="E51" s="136">
        <f t="shared" si="1"/>
        <v>10581</v>
      </c>
    </row>
    <row r="52" spans="1:5" ht="15.75" x14ac:dyDescent="0.25">
      <c r="A52" s="144">
        <v>44160</v>
      </c>
      <c r="B52" s="52" t="s">
        <v>5432</v>
      </c>
      <c r="C52" s="8">
        <v>4050</v>
      </c>
      <c r="D52" s="8"/>
      <c r="E52" s="136">
        <f t="shared" si="1"/>
        <v>6531</v>
      </c>
    </row>
    <row r="53" spans="1:5" ht="15.75" x14ac:dyDescent="0.25">
      <c r="A53" s="144">
        <v>44160</v>
      </c>
      <c r="B53" s="52" t="s">
        <v>7243</v>
      </c>
      <c r="C53" s="8">
        <v>1300</v>
      </c>
      <c r="D53" s="8"/>
      <c r="E53" s="136">
        <f t="shared" si="1"/>
        <v>5231</v>
      </c>
    </row>
    <row r="54" spans="1:5" ht="15.75" x14ac:dyDescent="0.25">
      <c r="A54" s="144">
        <v>44160</v>
      </c>
      <c r="B54" s="52" t="s">
        <v>295</v>
      </c>
      <c r="C54" s="8"/>
      <c r="D54" s="8">
        <v>5000</v>
      </c>
      <c r="E54" s="136">
        <f t="shared" si="1"/>
        <v>10231</v>
      </c>
    </row>
    <row r="55" spans="1:5" ht="15.75" x14ac:dyDescent="0.25">
      <c r="A55" s="144">
        <v>44169</v>
      </c>
      <c r="B55" s="52" t="s">
        <v>295</v>
      </c>
      <c r="C55" s="8"/>
      <c r="D55" s="8">
        <v>10000</v>
      </c>
      <c r="E55" s="136">
        <f t="shared" si="1"/>
        <v>20231</v>
      </c>
    </row>
    <row r="56" spans="1:5" ht="15.75" x14ac:dyDescent="0.25">
      <c r="A56" s="144">
        <v>44170</v>
      </c>
      <c r="B56" s="52" t="s">
        <v>7287</v>
      </c>
      <c r="C56" s="8">
        <v>14415</v>
      </c>
      <c r="D56" s="8"/>
      <c r="E56" s="136">
        <f t="shared" si="1"/>
        <v>5816</v>
      </c>
    </row>
    <row r="57" spans="1:5" ht="15.75" x14ac:dyDescent="0.25">
      <c r="A57" s="144">
        <v>44170</v>
      </c>
      <c r="B57" s="34" t="s">
        <v>7201</v>
      </c>
      <c r="C57" s="8">
        <v>2200</v>
      </c>
      <c r="D57" s="8"/>
      <c r="E57" s="136">
        <f t="shared" si="1"/>
        <v>3616</v>
      </c>
    </row>
    <row r="58" spans="1:5" ht="15.75" x14ac:dyDescent="0.25">
      <c r="A58" s="144">
        <v>44170</v>
      </c>
      <c r="B58" s="34" t="s">
        <v>295</v>
      </c>
      <c r="C58" s="8"/>
      <c r="D58" s="8">
        <v>1000</v>
      </c>
      <c r="E58" s="136">
        <f t="shared" si="1"/>
        <v>4616</v>
      </c>
    </row>
    <row r="59" spans="1:5" ht="15.75" x14ac:dyDescent="0.25">
      <c r="A59" s="144">
        <v>44170</v>
      </c>
      <c r="B59" s="34" t="s">
        <v>7362</v>
      </c>
      <c r="C59" s="8">
        <v>1000</v>
      </c>
      <c r="D59" s="8"/>
      <c r="E59" s="136">
        <f t="shared" si="1"/>
        <v>3616</v>
      </c>
    </row>
    <row r="60" spans="1:5" ht="15.75" x14ac:dyDescent="0.25">
      <c r="A60" s="144">
        <v>44200</v>
      </c>
      <c r="B60" s="34" t="s">
        <v>5870</v>
      </c>
      <c r="C60" s="8"/>
      <c r="D60" s="8">
        <v>300</v>
      </c>
      <c r="E60" s="136">
        <f t="shared" si="1"/>
        <v>3916</v>
      </c>
    </row>
    <row r="61" spans="1:5" ht="15.75" x14ac:dyDescent="0.25">
      <c r="A61" s="144">
        <v>44200</v>
      </c>
      <c r="B61" s="34" t="s">
        <v>7378</v>
      </c>
      <c r="C61" s="8"/>
      <c r="D61" s="8">
        <v>5000</v>
      </c>
      <c r="E61" s="136">
        <f t="shared" si="1"/>
        <v>8916</v>
      </c>
    </row>
    <row r="62" spans="1:5" ht="15.75" x14ac:dyDescent="0.25">
      <c r="A62" s="144">
        <v>44207</v>
      </c>
      <c r="B62" s="34" t="s">
        <v>79</v>
      </c>
      <c r="C62" s="8">
        <v>2200</v>
      </c>
      <c r="D62" s="8"/>
      <c r="E62" s="136">
        <f t="shared" si="1"/>
        <v>6716</v>
      </c>
    </row>
    <row r="63" spans="1:5" ht="15.75" x14ac:dyDescent="0.25">
      <c r="A63" s="144">
        <v>44207</v>
      </c>
      <c r="B63" s="34" t="s">
        <v>641</v>
      </c>
      <c r="C63" s="8">
        <v>850</v>
      </c>
      <c r="D63" s="8"/>
      <c r="E63" s="136">
        <f t="shared" si="1"/>
        <v>5866</v>
      </c>
    </row>
    <row r="64" spans="1:5" ht="15.75" x14ac:dyDescent="0.25">
      <c r="A64" s="144">
        <v>44221</v>
      </c>
      <c r="B64" s="52" t="s">
        <v>7459</v>
      </c>
      <c r="C64" s="8"/>
      <c r="D64" s="8">
        <v>50000</v>
      </c>
      <c r="E64" s="136">
        <f t="shared" si="1"/>
        <v>55866</v>
      </c>
    </row>
    <row r="65" spans="1:5" ht="15.75" x14ac:dyDescent="0.25">
      <c r="A65" s="144">
        <v>44222</v>
      </c>
      <c r="B65" s="52" t="s">
        <v>7459</v>
      </c>
      <c r="C65" s="8"/>
      <c r="D65" s="8">
        <v>20000</v>
      </c>
      <c r="E65" s="136">
        <f t="shared" si="1"/>
        <v>75866</v>
      </c>
    </row>
    <row r="66" spans="1:5" ht="15.75" x14ac:dyDescent="0.25">
      <c r="A66" s="144">
        <v>44222</v>
      </c>
      <c r="B66" s="34" t="s">
        <v>7465</v>
      </c>
      <c r="C66" s="8">
        <v>73906</v>
      </c>
      <c r="D66" s="8"/>
      <c r="E66" s="136">
        <f t="shared" si="1"/>
        <v>1960</v>
      </c>
    </row>
    <row r="67" spans="1:5" ht="15.75" x14ac:dyDescent="0.25">
      <c r="A67" s="144">
        <v>44222</v>
      </c>
      <c r="B67" s="34" t="s">
        <v>7468</v>
      </c>
      <c r="C67" s="8">
        <v>1150</v>
      </c>
      <c r="D67" s="8"/>
      <c r="E67" s="136">
        <f t="shared" si="1"/>
        <v>810</v>
      </c>
    </row>
    <row r="68" spans="1:5" ht="15.75" x14ac:dyDescent="0.25">
      <c r="A68" s="144">
        <v>44224</v>
      </c>
      <c r="B68" s="34" t="s">
        <v>41</v>
      </c>
      <c r="C68" s="8"/>
      <c r="D68" s="8">
        <v>15000</v>
      </c>
      <c r="E68" s="136">
        <f t="shared" si="1"/>
        <v>15810</v>
      </c>
    </row>
    <row r="69" spans="1:5" ht="15.75" x14ac:dyDescent="0.25">
      <c r="A69" s="144">
        <v>44224</v>
      </c>
      <c r="B69" s="34" t="s">
        <v>3924</v>
      </c>
      <c r="C69" s="8">
        <v>13160</v>
      </c>
      <c r="D69" s="8"/>
      <c r="E69" s="136">
        <f t="shared" si="1"/>
        <v>2650</v>
      </c>
    </row>
    <row r="70" spans="1:5" ht="15.75" x14ac:dyDescent="0.25">
      <c r="A70" s="144">
        <v>44225</v>
      </c>
      <c r="B70" s="34" t="s">
        <v>295</v>
      </c>
      <c r="C70" s="8"/>
      <c r="D70" s="8">
        <v>10000</v>
      </c>
      <c r="E70" s="136">
        <f t="shared" si="1"/>
        <v>12650</v>
      </c>
    </row>
    <row r="71" spans="1:5" ht="15.75" x14ac:dyDescent="0.25">
      <c r="A71" s="144">
        <v>44225</v>
      </c>
      <c r="B71" s="34" t="s">
        <v>295</v>
      </c>
      <c r="C71" s="8"/>
      <c r="D71" s="8">
        <v>5000</v>
      </c>
      <c r="E71" s="136">
        <f t="shared" si="1"/>
        <v>17650</v>
      </c>
    </row>
    <row r="72" spans="1:5" ht="15.75" x14ac:dyDescent="0.25">
      <c r="A72" s="144">
        <v>44235</v>
      </c>
      <c r="B72" s="34" t="s">
        <v>295</v>
      </c>
      <c r="C72" s="8"/>
      <c r="D72" s="8">
        <v>35000</v>
      </c>
      <c r="E72" s="136">
        <f t="shared" si="1"/>
        <v>52650</v>
      </c>
    </row>
    <row r="73" spans="1:5" ht="15.75" x14ac:dyDescent="0.25">
      <c r="A73" s="144">
        <v>44237</v>
      </c>
      <c r="B73" s="34" t="s">
        <v>295</v>
      </c>
      <c r="C73" s="8"/>
      <c r="D73" s="8">
        <v>13000</v>
      </c>
      <c r="E73" s="136">
        <f t="shared" si="1"/>
        <v>65650</v>
      </c>
    </row>
    <row r="74" spans="1:5" ht="15.75" x14ac:dyDescent="0.25">
      <c r="A74" s="144">
        <v>44237</v>
      </c>
      <c r="B74" s="34" t="s">
        <v>3924</v>
      </c>
      <c r="C74" s="8">
        <v>33600</v>
      </c>
      <c r="D74" s="8"/>
      <c r="E74" s="136">
        <f t="shared" si="1"/>
        <v>32050</v>
      </c>
    </row>
    <row r="75" spans="1:5" ht="15.75" x14ac:dyDescent="0.25">
      <c r="A75" s="144">
        <v>44237</v>
      </c>
      <c r="B75" s="52" t="s">
        <v>7530</v>
      </c>
      <c r="C75" s="8"/>
      <c r="D75" s="8">
        <v>7000</v>
      </c>
      <c r="E75" s="136">
        <f t="shared" si="1"/>
        <v>39050</v>
      </c>
    </row>
    <row r="76" spans="1:5" ht="15.75" x14ac:dyDescent="0.25">
      <c r="A76" s="144">
        <v>44237</v>
      </c>
      <c r="B76" s="52" t="s">
        <v>3924</v>
      </c>
      <c r="C76" s="8">
        <v>36278</v>
      </c>
      <c r="D76" s="8"/>
      <c r="E76" s="136">
        <f t="shared" si="1"/>
        <v>2772</v>
      </c>
    </row>
    <row r="77" spans="1:5" ht="15.75" x14ac:dyDescent="0.25">
      <c r="A77" s="144">
        <v>44242</v>
      </c>
      <c r="B77" s="52" t="s">
        <v>295</v>
      </c>
      <c r="C77" s="14"/>
      <c r="D77" s="8">
        <v>20000</v>
      </c>
      <c r="E77" s="136">
        <f t="shared" si="1"/>
        <v>22772</v>
      </c>
    </row>
    <row r="78" spans="1:5" ht="15.75" x14ac:dyDescent="0.25">
      <c r="A78" s="144">
        <v>44242</v>
      </c>
      <c r="B78" s="52" t="s">
        <v>7465</v>
      </c>
      <c r="C78" s="14">
        <v>12070</v>
      </c>
      <c r="D78" s="8"/>
      <c r="E78" s="136">
        <f t="shared" si="1"/>
        <v>10702</v>
      </c>
    </row>
    <row r="79" spans="1:5" ht="15.75" x14ac:dyDescent="0.25">
      <c r="A79" s="144">
        <v>44242</v>
      </c>
      <c r="B79" s="52" t="s">
        <v>5337</v>
      </c>
      <c r="C79" s="14">
        <v>1200</v>
      </c>
      <c r="D79" s="8"/>
      <c r="E79" s="136">
        <f t="shared" si="1"/>
        <v>9502</v>
      </c>
    </row>
    <row r="80" spans="1:5" ht="15.75" x14ac:dyDescent="0.25">
      <c r="A80" s="144">
        <v>44244</v>
      </c>
      <c r="B80" s="52" t="s">
        <v>295</v>
      </c>
      <c r="C80" s="8"/>
      <c r="D80" s="8">
        <v>15000</v>
      </c>
      <c r="E80" s="136">
        <f t="shared" si="1"/>
        <v>24502</v>
      </c>
    </row>
    <row r="81" spans="1:5" ht="15.75" x14ac:dyDescent="0.25">
      <c r="A81" s="144">
        <v>44245</v>
      </c>
      <c r="B81" s="52" t="s">
        <v>295</v>
      </c>
      <c r="C81" s="14"/>
      <c r="D81" s="8">
        <v>3000</v>
      </c>
      <c r="E81" s="136">
        <f t="shared" si="1"/>
        <v>27502</v>
      </c>
    </row>
    <row r="82" spans="1:5" ht="15.75" x14ac:dyDescent="0.25">
      <c r="A82" s="144">
        <v>44246</v>
      </c>
      <c r="B82" s="52" t="s">
        <v>295</v>
      </c>
      <c r="C82" s="14"/>
      <c r="D82" s="8">
        <v>30000</v>
      </c>
      <c r="E82" s="136">
        <f t="shared" si="1"/>
        <v>57502</v>
      </c>
    </row>
    <row r="83" spans="1:5" ht="15.75" x14ac:dyDescent="0.25">
      <c r="A83" s="144">
        <v>44247</v>
      </c>
      <c r="B83" s="52" t="s">
        <v>295</v>
      </c>
      <c r="C83" s="139"/>
      <c r="D83" s="139">
        <v>35000</v>
      </c>
      <c r="E83" s="136">
        <f t="shared" si="1"/>
        <v>92502</v>
      </c>
    </row>
    <row r="84" spans="1:5" ht="15.75" x14ac:dyDescent="0.25">
      <c r="A84" s="144">
        <v>44247</v>
      </c>
      <c r="B84" s="52" t="s">
        <v>7602</v>
      </c>
      <c r="C84" s="8"/>
      <c r="D84" s="8">
        <v>10000</v>
      </c>
      <c r="E84" s="136">
        <f t="shared" si="1"/>
        <v>102502</v>
      </c>
    </row>
    <row r="85" spans="1:5" ht="15.75" x14ac:dyDescent="0.25">
      <c r="A85" s="144">
        <v>44251</v>
      </c>
      <c r="B85" s="34" t="s">
        <v>7621</v>
      </c>
      <c r="C85" s="8">
        <v>6000</v>
      </c>
      <c r="D85" s="8"/>
      <c r="E85" s="136">
        <f t="shared" si="1"/>
        <v>96502</v>
      </c>
    </row>
    <row r="86" spans="1:5" ht="15.75" x14ac:dyDescent="0.25">
      <c r="A86" s="144">
        <v>44251</v>
      </c>
      <c r="B86" s="34" t="s">
        <v>7623</v>
      </c>
      <c r="C86" s="8">
        <v>75600</v>
      </c>
      <c r="D86" s="8"/>
      <c r="E86" s="136">
        <f t="shared" si="1"/>
        <v>20902</v>
      </c>
    </row>
    <row r="87" spans="1:5" ht="15.75" x14ac:dyDescent="0.25">
      <c r="A87" s="144">
        <v>44251</v>
      </c>
      <c r="B87" s="34" t="s">
        <v>7622</v>
      </c>
      <c r="C87" s="8">
        <v>10000</v>
      </c>
      <c r="D87" s="8"/>
      <c r="E87" s="136">
        <f t="shared" si="1"/>
        <v>10902</v>
      </c>
    </row>
    <row r="88" spans="1:5" ht="15.75" x14ac:dyDescent="0.25">
      <c r="A88" s="144">
        <v>44253</v>
      </c>
      <c r="B88" s="34" t="s">
        <v>4369</v>
      </c>
      <c r="C88" s="8"/>
      <c r="D88" s="8">
        <v>30000</v>
      </c>
      <c r="E88" s="136">
        <f t="shared" si="1"/>
        <v>40902</v>
      </c>
    </row>
    <row r="89" spans="1:5" ht="15.75" x14ac:dyDescent="0.25">
      <c r="A89" s="144">
        <v>44254</v>
      </c>
      <c r="B89" s="34" t="s">
        <v>4390</v>
      </c>
      <c r="C89" s="8">
        <v>29600</v>
      </c>
      <c r="D89" s="8"/>
      <c r="E89" s="136">
        <f t="shared" si="1"/>
        <v>11302</v>
      </c>
    </row>
    <row r="90" spans="1:5" ht="15.75" x14ac:dyDescent="0.25">
      <c r="A90" s="144">
        <v>44254</v>
      </c>
      <c r="B90" s="341" t="s">
        <v>7622</v>
      </c>
      <c r="C90" s="12">
        <v>400</v>
      </c>
      <c r="D90" s="12"/>
      <c r="E90" s="136">
        <f t="shared" si="1"/>
        <v>10902</v>
      </c>
    </row>
    <row r="91" spans="1:5" ht="15.75" x14ac:dyDescent="0.25">
      <c r="A91" s="144">
        <v>44256</v>
      </c>
      <c r="B91" s="48" t="s">
        <v>7646</v>
      </c>
      <c r="D91" s="10">
        <v>15000</v>
      </c>
      <c r="E91" s="136">
        <f t="shared" si="1"/>
        <v>25902</v>
      </c>
    </row>
    <row r="92" spans="1:5" ht="15.75" x14ac:dyDescent="0.25">
      <c r="A92" s="144">
        <v>44256</v>
      </c>
      <c r="B92" s="48" t="s">
        <v>4367</v>
      </c>
      <c r="D92" s="10">
        <v>50000</v>
      </c>
      <c r="E92" s="136">
        <f t="shared" si="1"/>
        <v>75902</v>
      </c>
    </row>
    <row r="93" spans="1:5" ht="15.75" x14ac:dyDescent="0.25">
      <c r="A93" s="144">
        <v>44256</v>
      </c>
      <c r="B93" s="48" t="s">
        <v>7649</v>
      </c>
      <c r="C93" s="10">
        <v>46300</v>
      </c>
      <c r="E93" s="136">
        <f t="shared" si="1"/>
        <v>29602</v>
      </c>
    </row>
    <row r="94" spans="1:5" ht="15.75" x14ac:dyDescent="0.25">
      <c r="A94" s="144">
        <v>44256</v>
      </c>
      <c r="B94" s="48" t="s">
        <v>7657</v>
      </c>
      <c r="C94" s="10">
        <f>4760+2900+800</f>
        <v>8460</v>
      </c>
      <c r="E94" s="136">
        <f t="shared" si="1"/>
        <v>21142</v>
      </c>
    </row>
    <row r="95" spans="1:5" ht="15.75" x14ac:dyDescent="0.25">
      <c r="A95" s="144">
        <v>44256</v>
      </c>
      <c r="B95" s="48" t="s">
        <v>7658</v>
      </c>
      <c r="C95" s="10">
        <v>12000</v>
      </c>
      <c r="E95" s="136">
        <f t="shared" si="1"/>
        <v>9142</v>
      </c>
    </row>
    <row r="96" spans="1:5" ht="15.75" x14ac:dyDescent="0.25">
      <c r="A96" s="144">
        <v>44257</v>
      </c>
      <c r="B96" s="48" t="s">
        <v>7666</v>
      </c>
      <c r="C96" s="10">
        <v>1500</v>
      </c>
      <c r="E96" s="136">
        <f t="shared" si="1"/>
        <v>7642</v>
      </c>
    </row>
    <row r="97" spans="1:5" ht="15.75" x14ac:dyDescent="0.25">
      <c r="A97" s="144">
        <v>44260</v>
      </c>
      <c r="B97" s="48" t="s">
        <v>295</v>
      </c>
      <c r="D97" s="10">
        <v>5000</v>
      </c>
      <c r="E97" s="136">
        <f t="shared" si="1"/>
        <v>12642</v>
      </c>
    </row>
    <row r="98" spans="1:5" ht="15.75" x14ac:dyDescent="0.25">
      <c r="A98" s="144">
        <v>44263</v>
      </c>
      <c r="B98" s="48" t="s">
        <v>4367</v>
      </c>
      <c r="D98" s="10">
        <v>15000</v>
      </c>
      <c r="E98" s="136">
        <f t="shared" si="1"/>
        <v>27642</v>
      </c>
    </row>
    <row r="99" spans="1:5" ht="15.75" x14ac:dyDescent="0.25">
      <c r="A99" s="144">
        <v>44263</v>
      </c>
      <c r="B99" s="48" t="s">
        <v>3924</v>
      </c>
      <c r="C99" s="10">
        <v>26920</v>
      </c>
      <c r="E99" s="136">
        <f t="shared" si="1"/>
        <v>722</v>
      </c>
    </row>
    <row r="100" spans="1:5" ht="15.75" x14ac:dyDescent="0.25">
      <c r="A100" s="144">
        <v>44263</v>
      </c>
      <c r="B100" s="48" t="s">
        <v>4367</v>
      </c>
      <c r="D100" s="10">
        <v>7000</v>
      </c>
      <c r="E100" s="136">
        <f t="shared" si="1"/>
        <v>7722</v>
      </c>
    </row>
    <row r="101" spans="1:5" ht="15.75" x14ac:dyDescent="0.25">
      <c r="A101" s="144">
        <v>44263</v>
      </c>
      <c r="B101" s="48" t="s">
        <v>7725</v>
      </c>
      <c r="C101" s="10">
        <v>1000</v>
      </c>
      <c r="E101" s="136">
        <f t="shared" si="1"/>
        <v>6722</v>
      </c>
    </row>
    <row r="102" spans="1:5" ht="15.75" x14ac:dyDescent="0.25">
      <c r="A102" s="144">
        <v>44264</v>
      </c>
      <c r="B102" s="48" t="s">
        <v>295</v>
      </c>
      <c r="D102" s="10">
        <v>50000</v>
      </c>
      <c r="E102" s="136">
        <f t="shared" si="1"/>
        <v>56722</v>
      </c>
    </row>
    <row r="103" spans="1:5" ht="15.75" x14ac:dyDescent="0.25">
      <c r="A103" s="144">
        <v>44264</v>
      </c>
      <c r="B103" s="48" t="s">
        <v>3924</v>
      </c>
      <c r="C103" s="10">
        <v>44319</v>
      </c>
      <c r="E103" s="136">
        <f t="shared" si="1"/>
        <v>12403</v>
      </c>
    </row>
    <row r="104" spans="1:5" ht="15.75" x14ac:dyDescent="0.25">
      <c r="A104" s="144">
        <v>44267</v>
      </c>
      <c r="B104" s="48" t="s">
        <v>295</v>
      </c>
      <c r="D104" s="10">
        <v>30000</v>
      </c>
      <c r="E104" s="136">
        <f t="shared" si="1"/>
        <v>42403</v>
      </c>
    </row>
    <row r="105" spans="1:5" ht="15.75" x14ac:dyDescent="0.25">
      <c r="A105" s="144">
        <v>44270</v>
      </c>
      <c r="B105" s="48" t="s">
        <v>295</v>
      </c>
      <c r="D105" s="10">
        <v>5000</v>
      </c>
      <c r="E105" s="136">
        <f t="shared" si="1"/>
        <v>47403</v>
      </c>
    </row>
    <row r="106" spans="1:5" ht="15.75" x14ac:dyDescent="0.25">
      <c r="A106" s="144">
        <v>44271</v>
      </c>
      <c r="B106" s="48" t="s">
        <v>295</v>
      </c>
      <c r="D106" s="10">
        <v>20000</v>
      </c>
      <c r="E106" s="136">
        <f t="shared" si="1"/>
        <v>67403</v>
      </c>
    </row>
    <row r="107" spans="1:5" ht="15.75" x14ac:dyDescent="0.25">
      <c r="A107" s="144">
        <v>44271</v>
      </c>
      <c r="B107" s="48" t="s">
        <v>7812</v>
      </c>
      <c r="C107" s="10">
        <v>29610</v>
      </c>
      <c r="E107" s="136">
        <f t="shared" si="1"/>
        <v>37793</v>
      </c>
    </row>
    <row r="108" spans="1:5" ht="15.75" x14ac:dyDescent="0.25">
      <c r="A108" s="144">
        <v>44271</v>
      </c>
      <c r="B108" s="48" t="s">
        <v>7812</v>
      </c>
      <c r="C108" s="10">
        <v>30000</v>
      </c>
      <c r="E108" s="136">
        <f t="shared" si="1"/>
        <v>7793</v>
      </c>
    </row>
    <row r="109" spans="1:5" ht="15.75" x14ac:dyDescent="0.25">
      <c r="A109" s="144">
        <v>44273</v>
      </c>
      <c r="B109" s="48" t="s">
        <v>295</v>
      </c>
      <c r="D109" s="10">
        <v>10000</v>
      </c>
      <c r="E109" s="136">
        <f t="shared" si="1"/>
        <v>17793</v>
      </c>
    </row>
    <row r="110" spans="1:5" ht="15.75" x14ac:dyDescent="0.25">
      <c r="A110" s="144">
        <v>44274</v>
      </c>
      <c r="B110" s="48" t="s">
        <v>7832</v>
      </c>
      <c r="C110" s="10">
        <v>7950</v>
      </c>
      <c r="E110" s="136">
        <f t="shared" si="1"/>
        <v>9843</v>
      </c>
    </row>
    <row r="111" spans="1:5" ht="15.75" x14ac:dyDescent="0.25">
      <c r="A111" s="144">
        <v>44274</v>
      </c>
      <c r="B111" s="48" t="s">
        <v>7836</v>
      </c>
      <c r="C111" s="10">
        <v>500</v>
      </c>
      <c r="E111" s="136">
        <f t="shared" si="1"/>
        <v>9343</v>
      </c>
    </row>
    <row r="112" spans="1:5" ht="15.75" x14ac:dyDescent="0.25">
      <c r="A112" s="144">
        <v>44277</v>
      </c>
      <c r="B112" s="48" t="s">
        <v>295</v>
      </c>
      <c r="D112" s="10">
        <v>40000</v>
      </c>
      <c r="E112" s="136">
        <f t="shared" si="1"/>
        <v>49343</v>
      </c>
    </row>
    <row r="113" spans="1:5" ht="15.75" x14ac:dyDescent="0.25">
      <c r="A113" s="383">
        <v>44279</v>
      </c>
      <c r="B113" s="48" t="s">
        <v>3924</v>
      </c>
      <c r="C113" s="10">
        <v>37950</v>
      </c>
      <c r="E113" s="150">
        <f t="shared" si="1"/>
        <v>11393</v>
      </c>
    </row>
    <row r="114" spans="1:5" ht="15.75" x14ac:dyDescent="0.25">
      <c r="A114" s="144">
        <v>44279</v>
      </c>
      <c r="B114" s="59" t="s">
        <v>3924</v>
      </c>
      <c r="C114" s="384">
        <v>4858</v>
      </c>
      <c r="D114" s="384"/>
      <c r="E114" s="136">
        <f t="shared" si="1"/>
        <v>6535</v>
      </c>
    </row>
    <row r="115" spans="1:5" ht="15.75" x14ac:dyDescent="0.25">
      <c r="A115" s="144">
        <v>44286</v>
      </c>
      <c r="B115" s="48" t="s">
        <v>295</v>
      </c>
      <c r="C115" s="12"/>
      <c r="D115" s="12">
        <v>18000</v>
      </c>
      <c r="E115" s="136">
        <f t="shared" si="1"/>
        <v>24535</v>
      </c>
    </row>
    <row r="116" spans="1:5" ht="15.75" x14ac:dyDescent="0.25">
      <c r="A116" s="144">
        <v>44289</v>
      </c>
      <c r="B116" s="48" t="s">
        <v>32</v>
      </c>
      <c r="C116" s="12"/>
      <c r="D116" s="12">
        <v>25000</v>
      </c>
      <c r="E116" s="136">
        <f t="shared" ref="E116:E124" si="2">E115+D116-C116</f>
        <v>49535</v>
      </c>
    </row>
    <row r="117" spans="1:5" ht="15.75" x14ac:dyDescent="0.25">
      <c r="A117" s="383">
        <v>44289</v>
      </c>
      <c r="B117" s="48" t="s">
        <v>3924</v>
      </c>
      <c r="C117" s="12">
        <v>45780</v>
      </c>
      <c r="D117" s="12"/>
      <c r="E117" s="150">
        <f t="shared" si="2"/>
        <v>3755</v>
      </c>
    </row>
    <row r="118" spans="1:5" ht="15.75" x14ac:dyDescent="0.25">
      <c r="A118" s="144">
        <v>44291</v>
      </c>
      <c r="B118" s="52" t="s">
        <v>7925</v>
      </c>
      <c r="C118" s="8"/>
      <c r="D118" s="8">
        <v>5000</v>
      </c>
      <c r="E118" s="136">
        <f t="shared" si="2"/>
        <v>8755</v>
      </c>
    </row>
    <row r="119" spans="1:5" ht="15.75" x14ac:dyDescent="0.25">
      <c r="A119" s="144">
        <v>44291</v>
      </c>
      <c r="B119" s="52" t="s">
        <v>3924</v>
      </c>
      <c r="C119" s="8">
        <v>6550</v>
      </c>
      <c r="D119" s="8"/>
      <c r="E119" s="136">
        <f t="shared" si="2"/>
        <v>2205</v>
      </c>
    </row>
    <row r="120" spans="1:5" ht="15.75" x14ac:dyDescent="0.25">
      <c r="A120" s="144">
        <v>44291</v>
      </c>
      <c r="B120" s="52" t="s">
        <v>7926</v>
      </c>
      <c r="C120" s="8"/>
      <c r="D120" s="8">
        <v>5000</v>
      </c>
      <c r="E120" s="136">
        <f t="shared" si="2"/>
        <v>7205</v>
      </c>
    </row>
    <row r="121" spans="1:5" ht="15.75" x14ac:dyDescent="0.25">
      <c r="A121" s="144">
        <v>44292</v>
      </c>
      <c r="B121" s="52" t="s">
        <v>7927</v>
      </c>
      <c r="C121" s="8">
        <v>4688</v>
      </c>
      <c r="D121" s="8"/>
      <c r="E121" s="136">
        <f t="shared" si="2"/>
        <v>2517</v>
      </c>
    </row>
    <row r="122" spans="1:5" ht="15.75" x14ac:dyDescent="0.25">
      <c r="A122" s="144">
        <v>44294</v>
      </c>
      <c r="B122" s="52" t="s">
        <v>5628</v>
      </c>
      <c r="C122" s="8"/>
      <c r="D122" s="8">
        <v>1000</v>
      </c>
      <c r="E122" s="136">
        <f t="shared" si="2"/>
        <v>3517</v>
      </c>
    </row>
    <row r="123" spans="1:5" ht="15.75" x14ac:dyDescent="0.25">
      <c r="A123" s="144">
        <v>44294</v>
      </c>
      <c r="B123" s="52" t="s">
        <v>4369</v>
      </c>
      <c r="C123" s="8"/>
      <c r="D123" s="8">
        <v>1000</v>
      </c>
      <c r="E123" s="136">
        <f t="shared" si="2"/>
        <v>4517</v>
      </c>
    </row>
    <row r="124" spans="1:5" ht="15.75" x14ac:dyDescent="0.25">
      <c r="A124" s="144">
        <v>44294</v>
      </c>
      <c r="B124" s="52" t="s">
        <v>3924</v>
      </c>
      <c r="C124" s="8">
        <v>4707</v>
      </c>
      <c r="D124" s="8"/>
      <c r="E124" s="136">
        <f t="shared" si="2"/>
        <v>-190</v>
      </c>
    </row>
    <row r="125" spans="1:5" ht="15.75" x14ac:dyDescent="0.25">
      <c r="A125" s="144">
        <v>44294</v>
      </c>
      <c r="B125" s="52" t="s">
        <v>32</v>
      </c>
      <c r="C125" s="8"/>
      <c r="D125" s="8">
        <v>200</v>
      </c>
      <c r="E125" s="26">
        <v>0</v>
      </c>
    </row>
    <row r="126" spans="1:5" ht="15.75" x14ac:dyDescent="0.25">
      <c r="A126" s="144">
        <v>44299</v>
      </c>
      <c r="B126" s="52" t="s">
        <v>32</v>
      </c>
      <c r="C126" s="8"/>
      <c r="D126" s="8">
        <v>10000</v>
      </c>
      <c r="E126" s="386">
        <f t="shared" ref="E126:E167" si="3">D126+E125-C126</f>
        <v>10000</v>
      </c>
    </row>
    <row r="127" spans="1:5" ht="15.75" x14ac:dyDescent="0.25">
      <c r="A127" s="144">
        <v>44299</v>
      </c>
      <c r="B127" s="34" t="s">
        <v>3924</v>
      </c>
      <c r="C127" s="8">
        <v>8750</v>
      </c>
      <c r="D127" s="8"/>
      <c r="E127" s="386">
        <f t="shared" si="3"/>
        <v>1250</v>
      </c>
    </row>
    <row r="128" spans="1:5" ht="15.75" x14ac:dyDescent="0.25">
      <c r="A128" s="144">
        <v>44310</v>
      </c>
      <c r="B128" s="34" t="s">
        <v>295</v>
      </c>
      <c r="C128" s="8"/>
      <c r="D128" s="8">
        <v>30000</v>
      </c>
      <c r="E128" s="386">
        <f t="shared" si="3"/>
        <v>31250</v>
      </c>
    </row>
    <row r="129" spans="1:5" ht="15.75" x14ac:dyDescent="0.25">
      <c r="A129" s="144">
        <v>44312</v>
      </c>
      <c r="B129" s="34" t="s">
        <v>3924</v>
      </c>
      <c r="C129" s="8">
        <v>550</v>
      </c>
      <c r="D129" s="8"/>
      <c r="E129" s="386">
        <f t="shared" si="3"/>
        <v>30700</v>
      </c>
    </row>
    <row r="130" spans="1:5" ht="15.75" x14ac:dyDescent="0.25">
      <c r="A130" s="144">
        <v>44312</v>
      </c>
      <c r="B130" s="34" t="s">
        <v>3924</v>
      </c>
      <c r="C130" s="8">
        <v>450</v>
      </c>
      <c r="D130" s="8"/>
      <c r="E130" s="386">
        <f t="shared" si="3"/>
        <v>30250</v>
      </c>
    </row>
    <row r="131" spans="1:5" ht="15.75" x14ac:dyDescent="0.25">
      <c r="A131" s="144">
        <v>44312</v>
      </c>
      <c r="B131" s="34" t="s">
        <v>8012</v>
      </c>
      <c r="C131" s="8">
        <v>21330</v>
      </c>
      <c r="D131" s="8"/>
      <c r="E131" s="386">
        <f t="shared" si="3"/>
        <v>8920</v>
      </c>
    </row>
    <row r="132" spans="1:5" ht="15.75" x14ac:dyDescent="0.25">
      <c r="A132" s="144">
        <v>44319</v>
      </c>
      <c r="B132" s="34" t="s">
        <v>295</v>
      </c>
      <c r="C132" s="8"/>
      <c r="D132" s="8">
        <v>15000</v>
      </c>
      <c r="E132" s="386">
        <f t="shared" si="3"/>
        <v>23920</v>
      </c>
    </row>
    <row r="133" spans="1:5" ht="15.75" x14ac:dyDescent="0.25">
      <c r="A133" s="144">
        <v>44320</v>
      </c>
      <c r="B133" s="34" t="s">
        <v>7465</v>
      </c>
      <c r="C133" s="12">
        <v>15340</v>
      </c>
      <c r="D133" s="12"/>
      <c r="E133" s="386">
        <f t="shared" si="3"/>
        <v>8580</v>
      </c>
    </row>
    <row r="134" spans="1:5" ht="15.75" x14ac:dyDescent="0.25">
      <c r="A134" s="144">
        <v>44320</v>
      </c>
      <c r="B134" s="34" t="s">
        <v>7465</v>
      </c>
      <c r="C134" s="12">
        <v>4180</v>
      </c>
      <c r="D134" s="12"/>
      <c r="E134" s="386">
        <f t="shared" si="3"/>
        <v>4400</v>
      </c>
    </row>
    <row r="135" spans="1:5" ht="15.75" x14ac:dyDescent="0.25">
      <c r="A135" s="144">
        <v>44320</v>
      </c>
      <c r="B135" s="48" t="s">
        <v>8040</v>
      </c>
      <c r="C135" s="12">
        <v>1150</v>
      </c>
      <c r="D135" s="12"/>
      <c r="E135" s="386">
        <f t="shared" si="3"/>
        <v>3250</v>
      </c>
    </row>
    <row r="136" spans="1:5" ht="15.75" x14ac:dyDescent="0.25">
      <c r="A136" s="144">
        <v>44334</v>
      </c>
      <c r="B136" s="34" t="s">
        <v>8105</v>
      </c>
      <c r="C136" s="12"/>
      <c r="D136" s="12">
        <v>100000</v>
      </c>
      <c r="E136" s="386">
        <f t="shared" si="3"/>
        <v>103250</v>
      </c>
    </row>
    <row r="137" spans="1:5" ht="15.75" x14ac:dyDescent="0.25">
      <c r="A137" s="144">
        <v>44334</v>
      </c>
      <c r="B137" s="34" t="s">
        <v>8106</v>
      </c>
      <c r="C137" s="385">
        <v>1650</v>
      </c>
      <c r="D137" s="385"/>
      <c r="E137" s="386">
        <f t="shared" si="3"/>
        <v>101600</v>
      </c>
    </row>
    <row r="138" spans="1:5" ht="15.75" x14ac:dyDescent="0.25">
      <c r="A138" s="144">
        <v>44334</v>
      </c>
      <c r="B138" s="34" t="s">
        <v>8107</v>
      </c>
      <c r="C138" s="10">
        <f>17100+79500</f>
        <v>96600</v>
      </c>
      <c r="E138" s="386">
        <f t="shared" si="3"/>
        <v>5000</v>
      </c>
    </row>
    <row r="139" spans="1:5" ht="15.75" x14ac:dyDescent="0.25">
      <c r="A139" s="144">
        <v>44335</v>
      </c>
      <c r="B139" s="48" t="s">
        <v>8108</v>
      </c>
      <c r="C139" s="10">
        <v>5000</v>
      </c>
      <c r="E139" s="386">
        <f t="shared" si="3"/>
        <v>0</v>
      </c>
    </row>
    <row r="140" spans="1:5" ht="15.75" x14ac:dyDescent="0.25">
      <c r="A140" s="144">
        <v>44335</v>
      </c>
      <c r="B140" s="48" t="s">
        <v>295</v>
      </c>
      <c r="D140" s="10">
        <v>10000</v>
      </c>
      <c r="E140" s="386">
        <f t="shared" si="3"/>
        <v>10000</v>
      </c>
    </row>
    <row r="141" spans="1:5" ht="15.75" x14ac:dyDescent="0.25">
      <c r="A141" s="144">
        <v>44347</v>
      </c>
      <c r="B141" s="34" t="s">
        <v>8106</v>
      </c>
      <c r="C141" s="10">
        <v>9200</v>
      </c>
      <c r="E141" s="386">
        <f t="shared" si="3"/>
        <v>800</v>
      </c>
    </row>
    <row r="142" spans="1:5" ht="15.75" x14ac:dyDescent="0.25">
      <c r="A142" s="144">
        <v>44349</v>
      </c>
      <c r="B142" s="48" t="s">
        <v>295</v>
      </c>
      <c r="D142" s="10">
        <v>10000</v>
      </c>
      <c r="E142" s="386">
        <f t="shared" si="3"/>
        <v>10800</v>
      </c>
    </row>
    <row r="143" spans="1:5" ht="15.75" x14ac:dyDescent="0.25">
      <c r="A143" s="144">
        <v>44351</v>
      </c>
      <c r="B143" s="48" t="s">
        <v>295</v>
      </c>
      <c r="D143" s="10">
        <v>115000</v>
      </c>
      <c r="E143" s="386">
        <f t="shared" si="3"/>
        <v>125800</v>
      </c>
    </row>
    <row r="144" spans="1:5" ht="15.75" x14ac:dyDescent="0.25">
      <c r="A144" s="144">
        <v>44351</v>
      </c>
      <c r="B144" s="34" t="s">
        <v>8194</v>
      </c>
      <c r="C144" s="10">
        <v>115350</v>
      </c>
      <c r="E144" s="386">
        <f t="shared" si="3"/>
        <v>10450</v>
      </c>
    </row>
    <row r="145" spans="1:5" ht="15.75" x14ac:dyDescent="0.25">
      <c r="A145" s="144">
        <v>44351</v>
      </c>
      <c r="B145" s="48" t="s">
        <v>7143</v>
      </c>
      <c r="C145" s="10">
        <v>1200</v>
      </c>
      <c r="E145" s="386">
        <f t="shared" si="3"/>
        <v>9250</v>
      </c>
    </row>
    <row r="146" spans="1:5" ht="15.75" x14ac:dyDescent="0.25">
      <c r="A146" s="144">
        <v>44358</v>
      </c>
      <c r="B146" s="48" t="s">
        <v>3924</v>
      </c>
      <c r="C146" s="10">
        <v>4285</v>
      </c>
      <c r="E146" s="386">
        <f t="shared" si="3"/>
        <v>4965</v>
      </c>
    </row>
    <row r="147" spans="1:5" ht="15.75" x14ac:dyDescent="0.25">
      <c r="A147" s="144">
        <v>44359</v>
      </c>
      <c r="B147" s="48" t="s">
        <v>295</v>
      </c>
      <c r="D147" s="10">
        <v>25000</v>
      </c>
      <c r="E147" s="386">
        <f t="shared" si="3"/>
        <v>29965</v>
      </c>
    </row>
    <row r="148" spans="1:5" ht="15.75" x14ac:dyDescent="0.25">
      <c r="A148" s="144">
        <v>44359</v>
      </c>
      <c r="B148" s="48" t="s">
        <v>3924</v>
      </c>
      <c r="C148" s="10">
        <v>17830</v>
      </c>
      <c r="E148" s="386">
        <f t="shared" si="3"/>
        <v>12135</v>
      </c>
    </row>
    <row r="149" spans="1:5" ht="15.75" x14ac:dyDescent="0.25">
      <c r="A149" s="144">
        <v>44359</v>
      </c>
      <c r="B149" s="48" t="s">
        <v>3924</v>
      </c>
      <c r="C149" s="10">
        <v>3250</v>
      </c>
      <c r="E149" s="386">
        <f t="shared" si="3"/>
        <v>8885</v>
      </c>
    </row>
    <row r="150" spans="1:5" ht="15.75" x14ac:dyDescent="0.25">
      <c r="A150" s="144">
        <v>44362</v>
      </c>
      <c r="B150" s="48" t="s">
        <v>295</v>
      </c>
      <c r="D150" s="10">
        <v>35000</v>
      </c>
      <c r="E150" s="386">
        <f t="shared" si="3"/>
        <v>43885</v>
      </c>
    </row>
    <row r="151" spans="1:5" ht="15.75" x14ac:dyDescent="0.25">
      <c r="A151" s="144">
        <v>44362</v>
      </c>
      <c r="B151" s="48" t="s">
        <v>3924</v>
      </c>
      <c r="C151" s="10">
        <v>32400</v>
      </c>
      <c r="E151" s="386">
        <f t="shared" si="3"/>
        <v>11485</v>
      </c>
    </row>
    <row r="152" spans="1:5" ht="15.75" x14ac:dyDescent="0.25">
      <c r="A152" s="144">
        <v>44362</v>
      </c>
      <c r="B152" s="48" t="s">
        <v>3924</v>
      </c>
      <c r="C152" s="10">
        <v>3425</v>
      </c>
      <c r="E152" s="386">
        <f t="shared" si="3"/>
        <v>8060</v>
      </c>
    </row>
    <row r="153" spans="1:5" ht="15.75" x14ac:dyDescent="0.25">
      <c r="A153" s="144">
        <v>44362</v>
      </c>
      <c r="B153" s="48" t="s">
        <v>3924</v>
      </c>
      <c r="C153" s="10">
        <v>1750</v>
      </c>
      <c r="E153" s="386">
        <f t="shared" si="3"/>
        <v>6310</v>
      </c>
    </row>
    <row r="154" spans="1:5" ht="15.75" x14ac:dyDescent="0.25">
      <c r="A154" s="144">
        <v>44363</v>
      </c>
      <c r="B154" s="48" t="s">
        <v>295</v>
      </c>
      <c r="D154" s="10">
        <v>25000</v>
      </c>
      <c r="E154" s="386">
        <f t="shared" si="3"/>
        <v>31310</v>
      </c>
    </row>
    <row r="155" spans="1:5" ht="15.75" x14ac:dyDescent="0.25">
      <c r="A155" s="144">
        <v>44364</v>
      </c>
      <c r="B155" s="48" t="s">
        <v>3924</v>
      </c>
      <c r="C155" s="10">
        <v>25950</v>
      </c>
      <c r="E155" s="386">
        <f t="shared" si="3"/>
        <v>5360</v>
      </c>
    </row>
    <row r="156" spans="1:5" ht="15.75" x14ac:dyDescent="0.25">
      <c r="A156" s="144">
        <v>44368</v>
      </c>
      <c r="B156" s="48" t="s">
        <v>8274</v>
      </c>
      <c r="C156" s="10">
        <v>5000</v>
      </c>
      <c r="E156" s="386">
        <f t="shared" si="3"/>
        <v>360</v>
      </c>
    </row>
    <row r="157" spans="1:5" ht="15.75" x14ac:dyDescent="0.25">
      <c r="A157" s="144">
        <v>44370</v>
      </c>
      <c r="B157" s="48" t="s">
        <v>8292</v>
      </c>
      <c r="D157" s="10">
        <v>40000</v>
      </c>
      <c r="E157" s="386">
        <f t="shared" si="3"/>
        <v>40360</v>
      </c>
    </row>
    <row r="158" spans="1:5" ht="15.75" x14ac:dyDescent="0.25">
      <c r="A158" s="144">
        <v>44371</v>
      </c>
      <c r="B158" s="48" t="s">
        <v>295</v>
      </c>
      <c r="D158" s="10">
        <v>15000</v>
      </c>
      <c r="E158" s="386">
        <f t="shared" si="3"/>
        <v>55360</v>
      </c>
    </row>
    <row r="159" spans="1:5" ht="15.75" x14ac:dyDescent="0.25">
      <c r="A159" s="144">
        <v>44372</v>
      </c>
      <c r="B159" s="48" t="s">
        <v>3924</v>
      </c>
      <c r="C159" s="10">
        <v>49016</v>
      </c>
      <c r="E159" s="386">
        <f t="shared" si="3"/>
        <v>6344</v>
      </c>
    </row>
    <row r="160" spans="1:5" ht="15.75" x14ac:dyDescent="0.25">
      <c r="A160" s="144">
        <v>44375</v>
      </c>
      <c r="B160" s="48" t="s">
        <v>295</v>
      </c>
      <c r="D160" s="10">
        <v>9000</v>
      </c>
      <c r="E160" s="386">
        <f t="shared" si="3"/>
        <v>15344</v>
      </c>
    </row>
    <row r="161" spans="1:5" ht="15.75" x14ac:dyDescent="0.25">
      <c r="A161" s="144">
        <v>44378</v>
      </c>
      <c r="B161" s="48" t="s">
        <v>295</v>
      </c>
      <c r="D161" s="10">
        <v>5000</v>
      </c>
      <c r="E161" s="386">
        <f t="shared" si="3"/>
        <v>20344</v>
      </c>
    </row>
    <row r="162" spans="1:5" ht="15.75" x14ac:dyDescent="0.25">
      <c r="A162" s="144">
        <v>44379</v>
      </c>
      <c r="B162" s="48" t="s">
        <v>8357</v>
      </c>
      <c r="C162" s="10">
        <v>17236</v>
      </c>
      <c r="E162" s="386">
        <f t="shared" si="3"/>
        <v>3108</v>
      </c>
    </row>
    <row r="163" spans="1:5" ht="15.75" x14ac:dyDescent="0.25">
      <c r="A163" s="144">
        <v>44380</v>
      </c>
      <c r="B163" s="48" t="s">
        <v>295</v>
      </c>
      <c r="D163" s="10">
        <v>40000</v>
      </c>
      <c r="E163" s="386">
        <f t="shared" si="3"/>
        <v>43108</v>
      </c>
    </row>
    <row r="164" spans="1:5" ht="15.75" x14ac:dyDescent="0.25">
      <c r="A164" s="144">
        <v>44382</v>
      </c>
      <c r="B164" s="48" t="s">
        <v>295</v>
      </c>
      <c r="D164" s="10">
        <v>10000</v>
      </c>
      <c r="E164" s="386">
        <f t="shared" si="3"/>
        <v>53108</v>
      </c>
    </row>
    <row r="165" spans="1:5" ht="15.75" x14ac:dyDescent="0.25">
      <c r="A165" s="144">
        <v>44382</v>
      </c>
      <c r="B165" s="48" t="s">
        <v>3924</v>
      </c>
      <c r="C165" s="10">
        <v>51221</v>
      </c>
      <c r="E165" s="386">
        <f t="shared" si="3"/>
        <v>1887</v>
      </c>
    </row>
    <row r="166" spans="1:5" ht="15.75" x14ac:dyDescent="0.25">
      <c r="A166" s="144">
        <v>44383</v>
      </c>
      <c r="B166" s="48" t="s">
        <v>295</v>
      </c>
      <c r="D166" s="10">
        <v>6000</v>
      </c>
      <c r="E166" s="386">
        <f t="shared" si="3"/>
        <v>7887</v>
      </c>
    </row>
    <row r="167" spans="1:5" ht="15.75" x14ac:dyDescent="0.25">
      <c r="A167" s="144">
        <v>44384</v>
      </c>
      <c r="B167" s="48" t="s">
        <v>3924</v>
      </c>
      <c r="C167" s="10">
        <v>7880</v>
      </c>
      <c r="E167" s="386"/>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5</vt:i4>
      </vt:variant>
    </vt:vector>
  </HeadingPairs>
  <TitlesOfParts>
    <vt:vector size="21" baseType="lpstr">
      <vt:lpstr>Petty cash</vt:lpstr>
      <vt:lpstr>Cash Book</vt:lpstr>
      <vt:lpstr>Person 2222)</vt:lpstr>
      <vt:lpstr>Sheet2</vt:lpstr>
      <vt:lpstr>Person</vt:lpstr>
      <vt:lpstr>Imran engr</vt:lpstr>
      <vt:lpstr>Bilal bhai</vt:lpstr>
      <vt:lpstr>Nadeem</vt:lpstr>
      <vt:lpstr>azeem</vt:lpstr>
      <vt:lpstr>zeeshan ac</vt:lpstr>
      <vt:lpstr>Imran-mukhtiar-asif</vt:lpstr>
      <vt:lpstr>Abbas</vt:lpstr>
      <vt:lpstr>khalid man</vt:lpstr>
      <vt:lpstr>Jahangeer</vt:lpstr>
      <vt:lpstr>Khalid bhai</vt:lpstr>
      <vt:lpstr>Haneef</vt:lpstr>
      <vt:lpstr>'Bilal bhai'!Print_Area</vt:lpstr>
      <vt:lpstr>'Cash Book'!Print_Area</vt:lpstr>
      <vt:lpstr>Nadeem!Print_Area</vt:lpstr>
      <vt:lpstr>'Petty cash'!Print_Area</vt:lpstr>
      <vt:lpstr>'Petty cash'!Print_Titles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MorisWalaComputer</dc:creator>
  <cp:lastModifiedBy>Pioneer Engineeering</cp:lastModifiedBy>
  <cp:lastPrinted>2021-07-08T10:45:33Z</cp:lastPrinted>
  <dcterms:created xsi:type="dcterms:W3CDTF">2016-01-07T05:07:25Z</dcterms:created>
  <dcterms:modified xsi:type="dcterms:W3CDTF">2021-07-16T06:58:22Z</dcterms:modified>
</cp:coreProperties>
</file>